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0.xml" ContentType="application/vnd.openxmlformats-officedocument.spreadsheetml.comments+xml"/>
  <Override PartName="/xl/comments17.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18.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19.xml" ContentType="application/vnd.openxmlformats-officedocument.spreadsheetml.comments+xml"/>
  <Override PartName="/xl/persons/person.xml" ContentType="application/vnd.ms-excel.person+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omments1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Rebuttal Testimony\3) Schultz\LMT Long Model\"/>
    </mc:Choice>
  </mc:AlternateContent>
  <xr:revisionPtr revIDLastSave="0" documentId="13_ncr:1_{13764354-2214-4BBE-A023-1BAB0C56A04C}" xr6:coauthVersionLast="47" xr6:coauthVersionMax="47" xr10:uidLastSave="{00000000-0000-0000-0000-000000000000}"/>
  <bookViews>
    <workbookView xWindow="28680" yWindow="-120" windowWidth="29040" windowHeight="1584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22" r:id="rId40"/>
    <sheet name="G-3.18 New Reg Amort" sheetId="115" r:id="rId41"/>
    <sheet name="G-3.19,5.05 PF Nuc-ETRM" sheetId="116" r:id="rId42"/>
    <sheet name="G-3.20 PF BOD" sheetId="117" r:id="rId43"/>
    <sheet name="G-4.02,5.08 PV Offsets" sheetId="118" r:id="rId44"/>
    <sheet name="G-PC Adj. Investor Relations" sheetId="123" r:id="rId45"/>
    <sheet name="Recap Summary" sheetId="69" r:id="rId46"/>
    <sheet name="LEAD SHEETS-DO NOT ENTER" sheetId="76" r:id="rId47"/>
  </sheets>
  <externalReferences>
    <externalReference r:id="rId48"/>
    <externalReference r:id="rId49"/>
    <externalReference r:id="rId50"/>
    <externalReference r:id="rId51"/>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INPUT'!$A$2:$BI$84</definedName>
    <definedName name="_xlnm.Print_Area" localSheetId="6">'ADJ SUMMARY'!$A$1:$G$68</definedName>
    <definedName name="_xlnm.Print_Area" localSheetId="4">CF!$A$1:$F$29</definedName>
    <definedName name="_xlnm.Print_Area" localSheetId="25">'DEBT CALC 2.14'!$A$1:$I$68</definedName>
    <definedName name="_xlnm.Print_Area" localSheetId="46">'LEAD SHEETS-DO NOT ENTER'!$A$2:$BD$82</definedName>
    <definedName name="_xlnm.Print_Area" localSheetId="1">'PROPOSED RATES-12.2024'!$A$1:$L$82</definedName>
    <definedName name="_xlnm.Print_Area" localSheetId="2">'PROPOSED RATES-12.2025'!$A$1:$K$82</definedName>
    <definedName name="_xlnm.Print_Area" localSheetId="45">'Recap Summary'!$A$1:$R$71</definedName>
    <definedName name="_xlnm.Print_Area" localSheetId="8">'ROO INPUT 1.00'!$A$3:$G$82</definedName>
    <definedName name="_xlnm.Print_Area" localSheetId="3">'RR SUMMARY'!$A$1:$H$34,'RR SUMMARY'!$J$1:$P$18</definedName>
    <definedName name="Print_for_CBReport" localSheetId="45">'Recap Summary'!$A$11:$I$61</definedName>
    <definedName name="Print_for_Checking" localSheetId="45">'Recap Summary'!$A$11:$I$61</definedName>
    <definedName name="_xlnm.Print_Titles" localSheetId="5">'ADJ DETAIL INPUT'!$A:$D,'ADJ DETAIL INPUT'!$2:$10</definedName>
    <definedName name="_xlnm.Print_Titles" localSheetId="46">'LEAD SHEETS-DO NOT ENTER'!$A:$D,'LEAD SHEETS-DO NOT ENTER'!$2:$11</definedName>
    <definedName name="rbcalc" localSheetId="28">[2]DATA!$H$3</definedName>
    <definedName name="rbcalc_heading" localSheetId="28">[2]DATA!$H$5</definedName>
    <definedName name="Recover">[3]Macro1!$A$69</definedName>
    <definedName name="TableName">"Dummy"</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6"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6" hidden="1">'LEAD SHEETS-DO NOT ENTER'!$E$12:$AD$83</definedName>
    <definedName name="Z_5BE913A1_B14F_11D2_B0DC_0000832CDFF0_.wvu.PrintArea" localSheetId="45"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6"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5" hidden="1">'Recap Summary'!$31:$31,'Recap Summary'!$35:$61,'Recap Summary'!#REF!</definedName>
    <definedName name="Z_A15D1964_B049_11D2_8670_0000832CEEE8_.wvu.Cols" localSheetId="5" hidden="1">'ADJ DETAIL INPUT'!$V:$AW</definedName>
    <definedName name="Z_A15D1964_B049_11D2_8670_0000832CEEE8_.wvu.Cols" localSheetId="46"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6" hidden="1">'LEAD SHEETS-DO NOT ENTER'!$E$12:$AD$83</definedName>
    <definedName name="Z_A15D1964_B049_11D2_8670_0000832CEEE8_.wvu.PrintArea" localSheetId="45"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6"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5" hidden="1">'Recap Summary'!$31:$31,'Recap Summary'!$35:$61,'Recap Summary'!#REF!</definedName>
  </definedNames>
  <calcPr calcId="191029"/>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3" i="1" l="1"/>
  <c r="AF39" i="1"/>
  <c r="AF22" i="1"/>
  <c r="BA43" i="1"/>
  <c r="BB38" i="1"/>
  <c r="BA38" i="1"/>
  <c r="AE43" i="1"/>
  <c r="AD22" i="1"/>
  <c r="AT69" i="1"/>
  <c r="AP69" i="1"/>
  <c r="AP68" i="1"/>
  <c r="E62" i="88" l="1"/>
  <c r="C62" i="88"/>
  <c r="B62" i="88"/>
  <c r="E40" i="88"/>
  <c r="C40" i="88"/>
  <c r="B40" i="88"/>
  <c r="AM4" i="88" l="1"/>
  <c r="AO4" i="88" s="1"/>
  <c r="AQ4" i="88" s="1"/>
  <c r="AS4" i="88" s="1"/>
  <c r="AT4" i="88" s="1"/>
  <c r="AU4" i="88" s="1"/>
  <c r="AV4" i="88" s="1"/>
  <c r="AW4" i="88" s="1"/>
  <c r="AM5" i="88"/>
  <c r="AO5" i="88" s="1"/>
  <c r="AQ5" i="88"/>
  <c r="AS5" i="88" s="1"/>
  <c r="AT5" i="88" s="1"/>
  <c r="AU5" i="88" s="1"/>
  <c r="AV5" i="88" s="1"/>
  <c r="AW5" i="88" s="1"/>
  <c r="AM6" i="88"/>
  <c r="AO6" i="88"/>
  <c r="AQ6" i="88"/>
  <c r="AS6" i="88"/>
  <c r="AT6" i="88"/>
  <c r="AU6" i="88"/>
  <c r="AV6" i="88" s="1"/>
  <c r="AW6" i="88" s="1"/>
  <c r="AM15" i="88"/>
  <c r="AM17" i="88" s="1"/>
  <c r="AO15" i="88"/>
  <c r="AO17" i="88" s="1"/>
  <c r="AQ15" i="88"/>
  <c r="AQ17" i="88" s="1"/>
  <c r="AS15" i="88"/>
  <c r="AS17" i="88" s="1"/>
  <c r="AT15" i="88"/>
  <c r="AT17" i="88" s="1"/>
  <c r="AU15" i="88"/>
  <c r="AU17" i="88" s="1"/>
  <c r="AV15" i="88"/>
  <c r="AV17" i="88" s="1"/>
  <c r="AW15" i="88"/>
  <c r="AW17" i="88"/>
  <c r="AM18" i="88"/>
  <c r="AO18" i="88"/>
  <c r="AQ18" i="88"/>
  <c r="AM21" i="88"/>
  <c r="AL21" i="88" s="1"/>
  <c r="AN21" i="88"/>
  <c r="AO21" i="88"/>
  <c r="AQ21" i="88"/>
  <c r="AP21" i="88" s="1"/>
  <c r="AS21" i="88"/>
  <c r="AT21" i="88"/>
  <c r="AU21" i="88"/>
  <c r="AV21" i="88" s="1"/>
  <c r="AW21" i="88" s="1"/>
  <c r="AS28" i="88"/>
  <c r="AT28" i="88"/>
  <c r="AU28" i="88"/>
  <c r="AV28" i="88"/>
  <c r="AW28" i="88"/>
  <c r="AM32" i="88"/>
  <c r="AM34" i="88" s="1"/>
  <c r="AO32" i="88"/>
  <c r="AO34" i="88" s="1"/>
  <c r="AO36" i="88" s="1"/>
  <c r="AQ32" i="88"/>
  <c r="AQ34" i="88" s="1"/>
  <c r="AQ36" i="88" s="1"/>
  <c r="AS32" i="88"/>
  <c r="AT32" i="88"/>
  <c r="AU32" i="88"/>
  <c r="AV32" i="88"/>
  <c r="AV34" i="88" s="1"/>
  <c r="AV36" i="88" s="1"/>
  <c r="AW32" i="88"/>
  <c r="AS34" i="88"/>
  <c r="AS36" i="88" s="1"/>
  <c r="AT34" i="88"/>
  <c r="AU34" i="88"/>
  <c r="AW34" i="88"/>
  <c r="AW36" i="88" s="1"/>
  <c r="AK36" i="88"/>
  <c r="AM36" i="88"/>
  <c r="AT36" i="88"/>
  <c r="AU36" i="88"/>
  <c r="AQ44" i="88"/>
  <c r="AS44" i="88"/>
  <c r="AT44" i="88"/>
  <c r="AU44" i="88"/>
  <c r="AV44" i="88"/>
  <c r="AW44" i="88"/>
  <c r="AM48" i="88"/>
  <c r="AM50" i="88" s="1"/>
  <c r="AO48" i="88"/>
  <c r="AO50" i="88" s="1"/>
  <c r="AQ48" i="88"/>
  <c r="AQ50" i="88" s="1"/>
  <c r="AS48" i="88"/>
  <c r="AS50" i="88" s="1"/>
  <c r="AS52" i="88" s="1"/>
  <c r="AT48" i="88"/>
  <c r="AT50" i="88" s="1"/>
  <c r="AT52" i="88" s="1"/>
  <c r="AU48" i="88"/>
  <c r="AU50" i="88" s="1"/>
  <c r="AU52" i="88" s="1"/>
  <c r="AV48" i="88"/>
  <c r="AV50" i="88" s="1"/>
  <c r="AW48" i="88"/>
  <c r="AW50" i="88" s="1"/>
  <c r="AM52" i="88"/>
  <c r="AO52" i="88"/>
  <c r="AQ52" i="88"/>
  <c r="AV52" i="88"/>
  <c r="AW52" i="88"/>
  <c r="AM53" i="88"/>
  <c r="AL53" i="88" s="1"/>
  <c r="AM63" i="88"/>
  <c r="AM64" i="88" s="1"/>
  <c r="AL64" i="88" s="1"/>
  <c r="AO63" i="88"/>
  <c r="AQ63" i="88"/>
  <c r="AS63" i="88" s="1"/>
  <c r="AT63" i="88" s="1"/>
  <c r="AU63" i="88" s="1"/>
  <c r="AM68" i="88"/>
  <c r="AO68" i="88"/>
  <c r="AQ68" i="88"/>
  <c r="AS68" i="88"/>
  <c r="AT68" i="88"/>
  <c r="AU68" i="88"/>
  <c r="AV68" i="88"/>
  <c r="AW68" i="88"/>
  <c r="AM70" i="88"/>
  <c r="AL70" i="88" s="1"/>
  <c r="AO70" i="88"/>
  <c r="AQ70" i="88"/>
  <c r="AQ71" i="88" s="1"/>
  <c r="AK73" i="88"/>
  <c r="AS80" i="88"/>
  <c r="AT80" i="88"/>
  <c r="AU80" i="88"/>
  <c r="AV80" i="88"/>
  <c r="AW80" i="88"/>
  <c r="AM84" i="88"/>
  <c r="AO84" i="88"/>
  <c r="AQ84" i="88"/>
  <c r="AS84" i="88"/>
  <c r="AT84" i="88"/>
  <c r="AU84" i="88"/>
  <c r="AV84" i="88"/>
  <c r="AW84" i="88"/>
  <c r="AM85" i="88"/>
  <c r="AO85" i="88"/>
  <c r="AQ85" i="88"/>
  <c r="AQ86" i="88" s="1"/>
  <c r="AM86" i="88"/>
  <c r="AK87" i="88"/>
  <c r="AS87" i="88"/>
  <c r="AT87" i="88"/>
  <c r="AU87" i="88"/>
  <c r="AV87" i="88"/>
  <c r="AW87" i="88"/>
  <c r="AM88" i="88"/>
  <c r="AL88" i="88" s="1"/>
  <c r="AO88" i="88"/>
  <c r="AN88" i="88" s="1"/>
  <c r="AQ88" i="88"/>
  <c r="AP88" i="88" s="1"/>
  <c r="AS95" i="88"/>
  <c r="AT95" i="88"/>
  <c r="AU95" i="88"/>
  <c r="AV95" i="88"/>
  <c r="AW95" i="88"/>
  <c r="AM98" i="88"/>
  <c r="AO98" i="88"/>
  <c r="AQ98" i="88"/>
  <c r="AS98" i="88"/>
  <c r="AT98" i="88"/>
  <c r="AU98" i="88"/>
  <c r="AV98" i="88"/>
  <c r="AW98" i="88"/>
  <c r="AQ99" i="88"/>
  <c r="AT99" i="88"/>
  <c r="AU99" i="88" s="1"/>
  <c r="AM100" i="88"/>
  <c r="AM103" i="88" s="1"/>
  <c r="AO100" i="88"/>
  <c r="AO102" i="88" s="1"/>
  <c r="AQ100" i="88"/>
  <c r="AQ102" i="88" s="1"/>
  <c r="AS100" i="88"/>
  <c r="AS102" i="88" s="1"/>
  <c r="AT100" i="88"/>
  <c r="AT102" i="88" s="1"/>
  <c r="AK102" i="88"/>
  <c r="AL103" i="88"/>
  <c r="AQ103" i="88"/>
  <c r="AS103" i="88"/>
  <c r="AT103" i="88"/>
  <c r="AU103" i="88" s="1"/>
  <c r="AV103" i="88" s="1"/>
  <c r="AW103" i="88" s="1"/>
  <c r="AM112" i="88"/>
  <c r="AM113" i="88" s="1"/>
  <c r="AM132" i="88" s="1"/>
  <c r="AO112" i="88"/>
  <c r="AO113" i="88" s="1"/>
  <c r="AO132" i="88" s="1"/>
  <c r="AQ112" i="88"/>
  <c r="AQ113" i="88" s="1"/>
  <c r="AQ120" i="88"/>
  <c r="AS120" i="88" s="1"/>
  <c r="AT120" i="88" s="1"/>
  <c r="AU120" i="88" s="1"/>
  <c r="AV120" i="88" s="1"/>
  <c r="AW120" i="88" s="1"/>
  <c r="AQ132" i="88"/>
  <c r="AQ37" i="88" l="1"/>
  <c r="AQ38" i="88" s="1"/>
  <c r="AQ123" i="88" s="1"/>
  <c r="AO65" i="88"/>
  <c r="AO125" i="88" s="1"/>
  <c r="AO37" i="88"/>
  <c r="AO38" i="88"/>
  <c r="AO123" i="88" s="1"/>
  <c r="AV99" i="88"/>
  <c r="AU100" i="88"/>
  <c r="AU102" i="88" s="1"/>
  <c r="AU104" i="88" s="1"/>
  <c r="AU89" i="88"/>
  <c r="AO86" i="88"/>
  <c r="AO87" i="88" s="1"/>
  <c r="AO89" i="88" s="1"/>
  <c r="AO130" i="88" s="1"/>
  <c r="AO134" i="88" s="1"/>
  <c r="AS88" i="88"/>
  <c r="AT88" i="88" s="1"/>
  <c r="AU88" i="88" s="1"/>
  <c r="AV88" i="88" s="1"/>
  <c r="AW88" i="88" s="1"/>
  <c r="AW89" i="88" s="1"/>
  <c r="AQ87" i="88"/>
  <c r="AQ89" i="88" s="1"/>
  <c r="AQ130" i="88" s="1"/>
  <c r="AQ134" i="88" s="1"/>
  <c r="AS70" i="88"/>
  <c r="AO64" i="88"/>
  <c r="AV63" i="88"/>
  <c r="AU20" i="88"/>
  <c r="AU22" i="88" s="1"/>
  <c r="AM87" i="88"/>
  <c r="AM89" i="88" s="1"/>
  <c r="AM130" i="88" s="1"/>
  <c r="AM134" i="88" s="1"/>
  <c r="AN70" i="88"/>
  <c r="AO71" i="88"/>
  <c r="AT20" i="88"/>
  <c r="AT22" i="88" s="1"/>
  <c r="AS20" i="88"/>
  <c r="AS22" i="88" s="1"/>
  <c r="AO20" i="88"/>
  <c r="AO22" i="88" s="1"/>
  <c r="AO122" i="88" s="1"/>
  <c r="AM20" i="88"/>
  <c r="AM22" i="88" s="1"/>
  <c r="AM122" i="88" s="1"/>
  <c r="AM54" i="88"/>
  <c r="AQ20" i="88"/>
  <c r="AQ22" i="88" s="1"/>
  <c r="AQ122" i="88" s="1"/>
  <c r="AO54" i="88"/>
  <c r="AS112" i="88"/>
  <c r="AO103" i="88"/>
  <c r="AO104" i="88"/>
  <c r="AO131" i="88" s="1"/>
  <c r="AN112" i="88"/>
  <c r="AM65" i="88"/>
  <c r="AM125" i="88" s="1"/>
  <c r="AM37" i="88"/>
  <c r="AL37" i="88" s="1"/>
  <c r="AO19" i="88"/>
  <c r="AL112" i="88"/>
  <c r="AM19" i="88"/>
  <c r="AQ126" i="88"/>
  <c r="AW20" i="88"/>
  <c r="AW22" i="88" s="1"/>
  <c r="AT104" i="88"/>
  <c r="AS104" i="88"/>
  <c r="AQ104" i="88"/>
  <c r="AQ131" i="88" s="1"/>
  <c r="AQ19" i="88"/>
  <c r="AS19" i="88" s="1"/>
  <c r="AT19" i="88" s="1"/>
  <c r="AU19" i="88" s="1"/>
  <c r="AV19" i="88" s="1"/>
  <c r="AW19" i="88" s="1"/>
  <c r="AO53" i="88"/>
  <c r="AM102" i="88"/>
  <c r="AM104" i="88" s="1"/>
  <c r="AM131" i="88" s="1"/>
  <c r="AM71" i="88"/>
  <c r="AW130" i="88" l="1"/>
  <c r="AS131" i="88"/>
  <c r="AS105" i="88"/>
  <c r="AT89" i="88"/>
  <c r="AT105" i="88"/>
  <c r="AT131" i="88"/>
  <c r="AO55" i="88"/>
  <c r="AO56" i="88" s="1"/>
  <c r="AO124" i="88" s="1"/>
  <c r="AO127" i="88" s="1"/>
  <c r="AO136" i="88" s="1"/>
  <c r="AW122" i="88"/>
  <c r="AM55" i="88"/>
  <c r="AL55" i="88" s="1"/>
  <c r="AT23" i="88"/>
  <c r="AT122" i="88"/>
  <c r="AV89" i="88"/>
  <c r="AS122" i="88"/>
  <c r="AS23" i="88"/>
  <c r="AO73" i="88"/>
  <c r="AO126" i="88"/>
  <c r="AN37" i="88"/>
  <c r="AM73" i="88"/>
  <c r="AM126" i="88"/>
  <c r="AW99" i="88"/>
  <c r="AW100" i="88" s="1"/>
  <c r="AW102" i="88" s="1"/>
  <c r="AW104" i="88" s="1"/>
  <c r="AV100" i="88"/>
  <c r="AV102" i="88" s="1"/>
  <c r="AV104" i="88" s="1"/>
  <c r="AQ53" i="88"/>
  <c r="AN53" i="88"/>
  <c r="AN103" i="88"/>
  <c r="AP103" i="88"/>
  <c r="AV20" i="88"/>
  <c r="AV22" i="88" s="1"/>
  <c r="AW23" i="88" s="1"/>
  <c r="AU90" i="88"/>
  <c r="AU130" i="88"/>
  <c r="AU23" i="88"/>
  <c r="AU122" i="88"/>
  <c r="AM38" i="88"/>
  <c r="AM123" i="88" s="1"/>
  <c r="AS89" i="88"/>
  <c r="AN64" i="88"/>
  <c r="AQ64" i="88"/>
  <c r="AP37" i="88"/>
  <c r="AS37" i="88"/>
  <c r="AU105" i="88"/>
  <c r="AU131" i="88"/>
  <c r="AW63" i="88"/>
  <c r="AT112" i="88"/>
  <c r="AS113" i="88"/>
  <c r="AS71" i="88"/>
  <c r="AT70" i="88"/>
  <c r="AS130" i="88" l="1"/>
  <c r="AS90" i="88"/>
  <c r="AV90" i="88"/>
  <c r="AV130" i="88"/>
  <c r="AT71" i="88"/>
  <c r="AU70" i="88"/>
  <c r="AV122" i="88"/>
  <c r="AV23" i="88"/>
  <c r="AT90" i="88"/>
  <c r="AT130" i="88"/>
  <c r="AM56" i="88"/>
  <c r="AM124" i="88" s="1"/>
  <c r="AM127" i="88" s="1"/>
  <c r="AM136" i="88" s="1"/>
  <c r="AS114" i="88"/>
  <c r="AS132" i="88"/>
  <c r="AV105" i="88"/>
  <c r="AV131" i="88"/>
  <c r="AT37" i="88"/>
  <c r="AS38" i="88"/>
  <c r="AS126" i="88"/>
  <c r="AS53" i="88"/>
  <c r="AQ54" i="88"/>
  <c r="AW105" i="88"/>
  <c r="AW131" i="88"/>
  <c r="AN55" i="88"/>
  <c r="AQ55" i="88"/>
  <c r="AS55" i="88" s="1"/>
  <c r="AT55" i="88" s="1"/>
  <c r="AU55" i="88" s="1"/>
  <c r="AV55" i="88" s="1"/>
  <c r="AW55" i="88" s="1"/>
  <c r="AU112" i="88"/>
  <c r="AT113" i="88"/>
  <c r="AS64" i="88"/>
  <c r="AQ65" i="88"/>
  <c r="AW90" i="88"/>
  <c r="AT64" i="88" l="1"/>
  <c r="AS65" i="88"/>
  <c r="AT132" i="88"/>
  <c r="AT114" i="88"/>
  <c r="AV112" i="88"/>
  <c r="AU113" i="88"/>
  <c r="AT134" i="88"/>
  <c r="AT126" i="88"/>
  <c r="AT53" i="88"/>
  <c r="AS54" i="88"/>
  <c r="AS56" i="88" s="1"/>
  <c r="AS134" i="88"/>
  <c r="AQ125" i="88"/>
  <c r="AQ73" i="88"/>
  <c r="AQ56" i="88"/>
  <c r="AQ124" i="88" s="1"/>
  <c r="AQ127" i="88" s="1"/>
  <c r="AQ136" i="88" s="1"/>
  <c r="AS39" i="88"/>
  <c r="AS123" i="88"/>
  <c r="AU71" i="88"/>
  <c r="AV70" i="88"/>
  <c r="AU37" i="88"/>
  <c r="AT38" i="88"/>
  <c r="AU126" i="88" l="1"/>
  <c r="AU53" i="88"/>
  <c r="AT54" i="88"/>
  <c r="AT56" i="88" s="1"/>
  <c r="AS57" i="88"/>
  <c r="AS124" i="88"/>
  <c r="AS127" i="88" s="1"/>
  <c r="AS136" i="88" s="1"/>
  <c r="AS137" i="88" s="1"/>
  <c r="AW112" i="88"/>
  <c r="AW113" i="88" s="1"/>
  <c r="AV113" i="88"/>
  <c r="AT39" i="88"/>
  <c r="AT123" i="88"/>
  <c r="AU132" i="88"/>
  <c r="AU134" i="88" s="1"/>
  <c r="AU114" i="88"/>
  <c r="AV37" i="88"/>
  <c r="AU38" i="88"/>
  <c r="AS125" i="88"/>
  <c r="AS73" i="88"/>
  <c r="AS74" i="88" s="1"/>
  <c r="AW70" i="88"/>
  <c r="AW71" i="88" s="1"/>
  <c r="AV71" i="88"/>
  <c r="AU64" i="88"/>
  <c r="AT65" i="88"/>
  <c r="AW126" i="88" l="1"/>
  <c r="AU39" i="88"/>
  <c r="AU123" i="88"/>
  <c r="AW37" i="88"/>
  <c r="AW38" i="88" s="1"/>
  <c r="AV38" i="88"/>
  <c r="AV126" i="88"/>
  <c r="AW132" i="88"/>
  <c r="AW134" i="88" s="1"/>
  <c r="AW114" i="88"/>
  <c r="AV53" i="88"/>
  <c r="AU54" i="88"/>
  <c r="AU56" i="88" s="1"/>
  <c r="AV64" i="88"/>
  <c r="AU65" i="88"/>
  <c r="AV132" i="88"/>
  <c r="AV134" i="88" s="1"/>
  <c r="AV114" i="88"/>
  <c r="AT57" i="88"/>
  <c r="AT124" i="88"/>
  <c r="AT127" i="88" s="1"/>
  <c r="AT136" i="88" s="1"/>
  <c r="AT137" i="88" s="1"/>
  <c r="AT125" i="88"/>
  <c r="AT73" i="88"/>
  <c r="AT74" i="88" s="1"/>
  <c r="AU124" i="88" l="1"/>
  <c r="AU57" i="88"/>
  <c r="AU125" i="88"/>
  <c r="AU73" i="88"/>
  <c r="AU74" i="88" s="1"/>
  <c r="AW53" i="88"/>
  <c r="AW54" i="88" s="1"/>
  <c r="AW56" i="88" s="1"/>
  <c r="AV54" i="88"/>
  <c r="AV56" i="88" s="1"/>
  <c r="AV39" i="88"/>
  <c r="AV123" i="88"/>
  <c r="AW39" i="88"/>
  <c r="AW123" i="88"/>
  <c r="AW64" i="88"/>
  <c r="AW65" i="88" s="1"/>
  <c r="AV65" i="88"/>
  <c r="AU127" i="88"/>
  <c r="AU136" i="88" s="1"/>
  <c r="AU137" i="88" s="1"/>
  <c r="AW125" i="88" l="1"/>
  <c r="AW73" i="88"/>
  <c r="AV124" i="88"/>
  <c r="AV57" i="88"/>
  <c r="AW124" i="88"/>
  <c r="AW127" i="88" s="1"/>
  <c r="AW136" i="88" s="1"/>
  <c r="AW57" i="88"/>
  <c r="AV125" i="88"/>
  <c r="AV127" i="88" s="1"/>
  <c r="AV136" i="88" s="1"/>
  <c r="AV137" i="88" s="1"/>
  <c r="AV73" i="88"/>
  <c r="AV74" i="88" s="1"/>
  <c r="AW137" i="88" l="1"/>
  <c r="AW74" i="88"/>
  <c r="AV43" i="1" l="1"/>
  <c r="G20" i="123"/>
  <c r="G19" i="123"/>
  <c r="F19" i="123"/>
  <c r="F20" i="123" s="1"/>
  <c r="G16" i="123"/>
  <c r="G17" i="123" s="1"/>
  <c r="F16" i="123"/>
  <c r="F17" i="123" s="1"/>
  <c r="J132" i="122" l="1"/>
  <c r="AJ125" i="122"/>
  <c r="AJ121" i="122"/>
  <c r="AJ105" i="122"/>
  <c r="AJ98" i="122"/>
  <c r="AJ91" i="122"/>
  <c r="AJ83" i="122"/>
  <c r="AJ55" i="122"/>
  <c r="AJ32" i="122"/>
  <c r="AJ123" i="122" s="1"/>
  <c r="AN123" i="122" s="1"/>
  <c r="BE43" i="1" l="1"/>
  <c r="BE39" i="1"/>
  <c r="BE38" i="1"/>
  <c r="BE33" i="1"/>
  <c r="BE27" i="1"/>
  <c r="BE22" i="1"/>
  <c r="Q83" i="122"/>
  <c r="O121" i="122"/>
  <c r="G121" i="122"/>
  <c r="E121" i="122"/>
  <c r="F120" i="122"/>
  <c r="J120" i="122" s="1"/>
  <c r="F119" i="122"/>
  <c r="J119" i="122" s="1"/>
  <c r="F118" i="122"/>
  <c r="J118" i="122" s="1"/>
  <c r="F117" i="122"/>
  <c r="J117" i="122" s="1"/>
  <c r="J116" i="122"/>
  <c r="L116" i="122" s="1"/>
  <c r="I115" i="122"/>
  <c r="J115" i="122" s="1"/>
  <c r="H115" i="122"/>
  <c r="F115" i="122"/>
  <c r="I114" i="122"/>
  <c r="I121" i="122" s="1"/>
  <c r="F114" i="122"/>
  <c r="J113" i="122"/>
  <c r="L113" i="122" s="1"/>
  <c r="F112" i="122"/>
  <c r="H111" i="122"/>
  <c r="J111" i="122" s="1"/>
  <c r="F110" i="122"/>
  <c r="J110" i="122" s="1"/>
  <c r="F109" i="122"/>
  <c r="O105" i="122"/>
  <c r="I105" i="122"/>
  <c r="H105" i="122"/>
  <c r="G105" i="122"/>
  <c r="F105" i="122"/>
  <c r="E105" i="122"/>
  <c r="J104" i="122"/>
  <c r="L104" i="122" s="1"/>
  <c r="J103" i="122"/>
  <c r="J102" i="122"/>
  <c r="J105" i="122" s="1"/>
  <c r="L101" i="122"/>
  <c r="J101" i="122"/>
  <c r="K101" i="122" s="1"/>
  <c r="O98" i="122"/>
  <c r="H98" i="122"/>
  <c r="G98" i="122"/>
  <c r="E98" i="122"/>
  <c r="F97" i="122"/>
  <c r="J97" i="122" s="1"/>
  <c r="F96" i="122"/>
  <c r="J96" i="122" s="1"/>
  <c r="I95" i="122"/>
  <c r="I98" i="122" s="1"/>
  <c r="F95" i="122"/>
  <c r="F98" i="122" s="1"/>
  <c r="L94" i="122"/>
  <c r="J94" i="122"/>
  <c r="K94" i="122" s="1"/>
  <c r="O91" i="122"/>
  <c r="I91" i="122"/>
  <c r="H91" i="122"/>
  <c r="G91" i="122"/>
  <c r="E91" i="122"/>
  <c r="F90" i="122"/>
  <c r="J90" i="122" s="1"/>
  <c r="H89" i="122"/>
  <c r="J89" i="122" s="1"/>
  <c r="F88" i="122"/>
  <c r="F91" i="122" s="1"/>
  <c r="F87" i="122"/>
  <c r="J87" i="122" s="1"/>
  <c r="F86" i="122"/>
  <c r="J86" i="122" s="1"/>
  <c r="M85" i="122"/>
  <c r="M84" i="122"/>
  <c r="O83" i="122"/>
  <c r="P83" i="122" s="1"/>
  <c r="AM33" i="1" s="1"/>
  <c r="I81" i="122"/>
  <c r="H81" i="122"/>
  <c r="G81" i="122"/>
  <c r="G83" i="122" s="1"/>
  <c r="F81" i="122"/>
  <c r="E81" i="122"/>
  <c r="F80" i="122"/>
  <c r="J80" i="122" s="1"/>
  <c r="F79" i="122"/>
  <c r="J79" i="122" s="1"/>
  <c r="F78" i="122"/>
  <c r="J78" i="122" s="1"/>
  <c r="F77" i="122"/>
  <c r="J77" i="122" s="1"/>
  <c r="F76" i="122"/>
  <c r="J76" i="122" s="1"/>
  <c r="F75" i="122"/>
  <c r="J75" i="122" s="1"/>
  <c r="J74" i="122"/>
  <c r="F73" i="122"/>
  <c r="J73" i="122" s="1"/>
  <c r="J72" i="122"/>
  <c r="F72" i="122"/>
  <c r="I70" i="122"/>
  <c r="I83" i="122" s="1"/>
  <c r="H70" i="122"/>
  <c r="H83" i="122" s="1"/>
  <c r="G70" i="122"/>
  <c r="E70" i="122"/>
  <c r="E83" i="122" s="1"/>
  <c r="J69" i="122"/>
  <c r="L69" i="122" s="1"/>
  <c r="I68" i="122"/>
  <c r="J68" i="122" s="1"/>
  <c r="F68" i="122"/>
  <c r="I67" i="122"/>
  <c r="J67" i="122" s="1"/>
  <c r="F67" i="122"/>
  <c r="F66" i="122"/>
  <c r="J66" i="122" s="1"/>
  <c r="F65" i="122"/>
  <c r="J65" i="122" s="1"/>
  <c r="F64" i="122"/>
  <c r="J64" i="122" s="1"/>
  <c r="F63" i="122"/>
  <c r="J63" i="122" s="1"/>
  <c r="I62" i="122"/>
  <c r="J62" i="122" s="1"/>
  <c r="F62" i="122"/>
  <c r="L61" i="122"/>
  <c r="J61" i="122"/>
  <c r="J60" i="122"/>
  <c r="K60" i="122" s="1"/>
  <c r="I59" i="122"/>
  <c r="F59" i="122"/>
  <c r="F70" i="122" s="1"/>
  <c r="F83" i="122" s="1"/>
  <c r="O55" i="122"/>
  <c r="I55" i="122"/>
  <c r="H55" i="122"/>
  <c r="G55" i="122"/>
  <c r="E55" i="122"/>
  <c r="J54" i="122"/>
  <c r="K54" i="122" s="1"/>
  <c r="J53" i="122"/>
  <c r="K53" i="122" s="1"/>
  <c r="V52" i="122"/>
  <c r="H112" i="122" s="1"/>
  <c r="J52" i="122"/>
  <c r="V51" i="122"/>
  <c r="J51" i="122"/>
  <c r="L51" i="122" s="1"/>
  <c r="V50" i="122"/>
  <c r="J50" i="122"/>
  <c r="K50" i="122" s="1"/>
  <c r="V49" i="122"/>
  <c r="J49" i="122"/>
  <c r="L49" i="122" s="1"/>
  <c r="V48" i="122"/>
  <c r="J48" i="122"/>
  <c r="L48" i="122" s="1"/>
  <c r="J47" i="122"/>
  <c r="L47" i="122" s="1"/>
  <c r="J46" i="122"/>
  <c r="J45" i="122"/>
  <c r="U44" i="122"/>
  <c r="J44" i="122"/>
  <c r="L44" i="122" s="1"/>
  <c r="J43" i="122"/>
  <c r="L43" i="122" s="1"/>
  <c r="L42" i="122"/>
  <c r="J42" i="122"/>
  <c r="J41" i="122"/>
  <c r="J40" i="122"/>
  <c r="L40" i="122" s="1"/>
  <c r="J39" i="122"/>
  <c r="K39" i="122" s="1"/>
  <c r="L38" i="122"/>
  <c r="J38" i="122"/>
  <c r="J37" i="122"/>
  <c r="K37" i="122" s="1"/>
  <c r="J36" i="122"/>
  <c r="L36" i="122" s="1"/>
  <c r="F35" i="122"/>
  <c r="J35" i="122" s="1"/>
  <c r="O32" i="122"/>
  <c r="F31" i="122"/>
  <c r="J31" i="122" s="1"/>
  <c r="J30" i="122"/>
  <c r="L30" i="122" s="1"/>
  <c r="G30" i="122"/>
  <c r="G29" i="122"/>
  <c r="J29" i="122" s="1"/>
  <c r="I28" i="122"/>
  <c r="I32" i="122" s="1"/>
  <c r="H28" i="122"/>
  <c r="H32" i="122" s="1"/>
  <c r="G28" i="122"/>
  <c r="G32" i="122" s="1"/>
  <c r="F28" i="122"/>
  <c r="E28" i="122"/>
  <c r="E32" i="122" s="1"/>
  <c r="J27" i="122"/>
  <c r="L27" i="122" s="1"/>
  <c r="G26" i="122"/>
  <c r="J26" i="122" s="1"/>
  <c r="J25" i="122"/>
  <c r="L25" i="122" s="1"/>
  <c r="J24" i="122"/>
  <c r="L24" i="122" s="1"/>
  <c r="J23" i="122"/>
  <c r="L23" i="122" s="1"/>
  <c r="J22" i="122"/>
  <c r="K22" i="122" s="1"/>
  <c r="J21" i="122"/>
  <c r="L21" i="122" s="1"/>
  <c r="J20" i="122"/>
  <c r="L20" i="122" s="1"/>
  <c r="J19" i="122"/>
  <c r="L19" i="122" s="1"/>
  <c r="J18" i="122"/>
  <c r="K18" i="122" s="1"/>
  <c r="J17" i="122"/>
  <c r="K17" i="122" s="1"/>
  <c r="J16" i="122"/>
  <c r="L16" i="122" s="1"/>
  <c r="J15" i="122"/>
  <c r="L15" i="122" s="1"/>
  <c r="J14" i="122"/>
  <c r="J13" i="122"/>
  <c r="L13" i="122" s="1"/>
  <c r="J12" i="122"/>
  <c r="L12" i="122" s="1"/>
  <c r="G11" i="122"/>
  <c r="J11" i="122" s="1"/>
  <c r="L8" i="122"/>
  <c r="L37" i="122" s="1"/>
  <c r="M37" i="122" s="1"/>
  <c r="M4" i="122"/>
  <c r="L4" i="122"/>
  <c r="K4" i="122"/>
  <c r="J4" i="122"/>
  <c r="I4" i="122"/>
  <c r="N4" i="122" s="1"/>
  <c r="G3" i="122"/>
  <c r="K8" i="122" s="1"/>
  <c r="O123" i="122" l="1"/>
  <c r="L65" i="122"/>
  <c r="K65" i="122"/>
  <c r="L76" i="122"/>
  <c r="K76" i="122"/>
  <c r="L89" i="122"/>
  <c r="M89" i="122" s="1"/>
  <c r="K89" i="122"/>
  <c r="K75" i="122"/>
  <c r="L75" i="122"/>
  <c r="K29" i="122"/>
  <c r="L29" i="122"/>
  <c r="M29" i="122" s="1"/>
  <c r="L66" i="122"/>
  <c r="M66" i="122" s="1"/>
  <c r="K66" i="122"/>
  <c r="K90" i="122"/>
  <c r="L90" i="122"/>
  <c r="L78" i="122"/>
  <c r="K78" i="122"/>
  <c r="I123" i="122"/>
  <c r="M23" i="122"/>
  <c r="J112" i="122"/>
  <c r="L77" i="122"/>
  <c r="K77" i="122"/>
  <c r="L79" i="122"/>
  <c r="M79" i="122" s="1"/>
  <c r="K79" i="122"/>
  <c r="M25" i="122"/>
  <c r="L64" i="122"/>
  <c r="M64" i="122" s="1"/>
  <c r="K64" i="122"/>
  <c r="K67" i="122"/>
  <c r="L67" i="122"/>
  <c r="M67" i="122" s="1"/>
  <c r="K61" i="122"/>
  <c r="K38" i="122"/>
  <c r="K52" i="122"/>
  <c r="K45" i="122"/>
  <c r="K27" i="122"/>
  <c r="K103" i="122"/>
  <c r="K42" i="122"/>
  <c r="M42" i="122" s="1"/>
  <c r="K31" i="122"/>
  <c r="L31" i="122"/>
  <c r="K46" i="122"/>
  <c r="L80" i="122"/>
  <c r="K80" i="122"/>
  <c r="M21" i="122"/>
  <c r="M47" i="122"/>
  <c r="K68" i="122"/>
  <c r="L68" i="122"/>
  <c r="L115" i="122"/>
  <c r="M115" i="122" s="1"/>
  <c r="K115" i="122"/>
  <c r="J55" i="122"/>
  <c r="K35" i="122"/>
  <c r="L35" i="122"/>
  <c r="M69" i="122"/>
  <c r="E107" i="122"/>
  <c r="M36" i="122"/>
  <c r="F107" i="122"/>
  <c r="L117" i="122"/>
  <c r="K117" i="122"/>
  <c r="G107" i="122"/>
  <c r="G123" i="122" s="1"/>
  <c r="L118" i="122"/>
  <c r="K118" i="122"/>
  <c r="H107" i="122"/>
  <c r="M38" i="122"/>
  <c r="I107" i="122"/>
  <c r="J28" i="122"/>
  <c r="J32" i="122" s="1"/>
  <c r="L11" i="122"/>
  <c r="K11" i="122"/>
  <c r="M61" i="122"/>
  <c r="L96" i="122"/>
  <c r="K96" i="122"/>
  <c r="M12" i="122"/>
  <c r="M51" i="122"/>
  <c r="K62" i="122"/>
  <c r="L62" i="122"/>
  <c r="L73" i="122"/>
  <c r="K73" i="122"/>
  <c r="L86" i="122"/>
  <c r="K86" i="122"/>
  <c r="L110" i="122"/>
  <c r="K110" i="122"/>
  <c r="L119" i="122"/>
  <c r="K119" i="122"/>
  <c r="L26" i="122"/>
  <c r="K26" i="122"/>
  <c r="K120" i="122"/>
  <c r="L120" i="122"/>
  <c r="M27" i="122"/>
  <c r="E123" i="122"/>
  <c r="J81" i="122"/>
  <c r="K97" i="122"/>
  <c r="L97" i="122"/>
  <c r="M97" i="122" s="1"/>
  <c r="K41" i="122"/>
  <c r="K14" i="122"/>
  <c r="L63" i="122"/>
  <c r="K63" i="122"/>
  <c r="K74" i="122"/>
  <c r="L87" i="122"/>
  <c r="K87" i="122"/>
  <c r="L111" i="122"/>
  <c r="M111" i="122" s="1"/>
  <c r="K111" i="122"/>
  <c r="M101" i="122"/>
  <c r="K21" i="122"/>
  <c r="L17" i="122"/>
  <c r="M17" i="122" s="1"/>
  <c r="K47" i="122"/>
  <c r="L18" i="122"/>
  <c r="M18" i="122" s="1"/>
  <c r="K36" i="122"/>
  <c r="K40" i="122"/>
  <c r="M40" i="122" s="1"/>
  <c r="K44" i="122"/>
  <c r="M44" i="122" s="1"/>
  <c r="K51" i="122"/>
  <c r="K72" i="122"/>
  <c r="L103" i="122"/>
  <c r="M103" i="122" s="1"/>
  <c r="M94" i="122"/>
  <c r="F121" i="122"/>
  <c r="F123" i="122" s="1"/>
  <c r="J88" i="122"/>
  <c r="J91" i="122" s="1"/>
  <c r="L102" i="122"/>
  <c r="M102" i="122" s="1"/>
  <c r="K48" i="122"/>
  <c r="M48" i="122" s="1"/>
  <c r="L72" i="122"/>
  <c r="L53" i="122"/>
  <c r="M53" i="122" s="1"/>
  <c r="L50" i="122"/>
  <c r="M50" i="122" s="1"/>
  <c r="L14" i="122"/>
  <c r="M14" i="122" s="1"/>
  <c r="K15" i="122"/>
  <c r="M15" i="122" s="1"/>
  <c r="K19" i="122"/>
  <c r="M19" i="122" s="1"/>
  <c r="K23" i="122"/>
  <c r="F55" i="122"/>
  <c r="K69" i="122"/>
  <c r="K113" i="122"/>
  <c r="M113" i="122" s="1"/>
  <c r="K13" i="122"/>
  <c r="M13" i="122" s="1"/>
  <c r="F32" i="122"/>
  <c r="L54" i="122"/>
  <c r="M54" i="122" s="1"/>
  <c r="K104" i="122"/>
  <c r="K105" i="122" s="1"/>
  <c r="K116" i="122"/>
  <c r="M116" i="122" s="1"/>
  <c r="K43" i="122"/>
  <c r="M43" i="122" s="1"/>
  <c r="J95" i="122"/>
  <c r="L39" i="122"/>
  <c r="M39" i="122" s="1"/>
  <c r="L22" i="122"/>
  <c r="M22" i="122" s="1"/>
  <c r="J59" i="122"/>
  <c r="K25" i="122"/>
  <c r="L46" i="122"/>
  <c r="M46" i="122" s="1"/>
  <c r="L74" i="122"/>
  <c r="H109" i="122"/>
  <c r="H121" i="122" s="1"/>
  <c r="H123" i="122" s="1"/>
  <c r="L41" i="122"/>
  <c r="L60" i="122"/>
  <c r="M60" i="122" s="1"/>
  <c r="K12" i="122"/>
  <c r="K20" i="122"/>
  <c r="M20" i="122" s="1"/>
  <c r="K24" i="122"/>
  <c r="M24" i="122" s="1"/>
  <c r="K30" i="122"/>
  <c r="M30" i="122" s="1"/>
  <c r="L45" i="122"/>
  <c r="M45" i="122" s="1"/>
  <c r="K49" i="122"/>
  <c r="M49" i="122" s="1"/>
  <c r="L52" i="122"/>
  <c r="K102" i="122"/>
  <c r="K16" i="122"/>
  <c r="M16" i="122" s="1"/>
  <c r="J114" i="122"/>
  <c r="P105" i="122" l="1"/>
  <c r="M26" i="122"/>
  <c r="M74" i="122"/>
  <c r="J109" i="122"/>
  <c r="L88" i="122"/>
  <c r="M88" i="122" s="1"/>
  <c r="K88" i="122"/>
  <c r="K91" i="122"/>
  <c r="P91" i="122" s="1"/>
  <c r="AM38" i="1" s="1"/>
  <c r="M35" i="122"/>
  <c r="M55" i="122" s="1"/>
  <c r="Q55" i="122" s="1"/>
  <c r="L55" i="122"/>
  <c r="K55" i="122"/>
  <c r="P55" i="122" s="1"/>
  <c r="AM27" i="1" s="1"/>
  <c r="K112" i="122"/>
  <c r="L112" i="122"/>
  <c r="M112" i="122" s="1"/>
  <c r="L105" i="122"/>
  <c r="M86" i="122"/>
  <c r="M91" i="122" s="1"/>
  <c r="Q91" i="122" s="1"/>
  <c r="K114" i="122"/>
  <c r="L114" i="122"/>
  <c r="M114" i="122" s="1"/>
  <c r="L59" i="122"/>
  <c r="J70" i="122"/>
  <c r="J83" i="122" s="1"/>
  <c r="K59" i="122"/>
  <c r="K70" i="122" s="1"/>
  <c r="M73" i="122"/>
  <c r="M118" i="122"/>
  <c r="M117" i="122"/>
  <c r="M76" i="122"/>
  <c r="M62" i="122"/>
  <c r="M75" i="122"/>
  <c r="M96" i="122"/>
  <c r="M52" i="122"/>
  <c r="L95" i="122"/>
  <c r="K95" i="122"/>
  <c r="K98" i="122" s="1"/>
  <c r="P98" i="122" s="1"/>
  <c r="AM39" i="1" s="1"/>
  <c r="J98" i="122"/>
  <c r="M72" i="122"/>
  <c r="L81" i="122"/>
  <c r="M104" i="122"/>
  <c r="M105" i="122" s="1"/>
  <c r="M120" i="122"/>
  <c r="M68" i="122"/>
  <c r="M77" i="122"/>
  <c r="M87" i="122"/>
  <c r="M119" i="122"/>
  <c r="K28" i="122"/>
  <c r="K32" i="122" s="1"/>
  <c r="P32" i="122" s="1"/>
  <c r="AM22" i="1" s="1"/>
  <c r="M80" i="122"/>
  <c r="M65" i="122"/>
  <c r="K81" i="122"/>
  <c r="M63" i="122"/>
  <c r="L28" i="122"/>
  <c r="L32" i="122" s="1"/>
  <c r="M11" i="122"/>
  <c r="M78" i="122"/>
  <c r="M41" i="122"/>
  <c r="M110" i="122"/>
  <c r="M31" i="122"/>
  <c r="M90" i="122"/>
  <c r="Q105" i="122" l="1"/>
  <c r="M95" i="122"/>
  <c r="M98" i="122" s="1"/>
  <c r="Q98" i="122" s="1"/>
  <c r="L98" i="122"/>
  <c r="K109" i="122"/>
  <c r="K121" i="122" s="1"/>
  <c r="J121" i="122"/>
  <c r="L109" i="122"/>
  <c r="K83" i="122"/>
  <c r="L70" i="122"/>
  <c r="L83" i="122" s="1"/>
  <c r="L107" i="122" s="1"/>
  <c r="M59" i="122"/>
  <c r="M70" i="122" s="1"/>
  <c r="M81" i="122"/>
  <c r="K107" i="122"/>
  <c r="M28" i="122"/>
  <c r="M32" i="122" s="1"/>
  <c r="Q32" i="122" s="1"/>
  <c r="J107" i="122"/>
  <c r="L91" i="122"/>
  <c r="M83" i="122" l="1"/>
  <c r="L121" i="122"/>
  <c r="L123" i="122" s="1"/>
  <c r="M109" i="122"/>
  <c r="M121" i="122" s="1"/>
  <c r="J123" i="122"/>
  <c r="P121" i="122"/>
  <c r="K123" i="122"/>
  <c r="M107" i="122"/>
  <c r="P123" i="122" l="1"/>
  <c r="AM43" i="1"/>
  <c r="J130" i="122"/>
  <c r="J133" i="122"/>
  <c r="J134" i="122" s="1"/>
  <c r="K125" i="122" s="1"/>
  <c r="M123" i="122"/>
  <c r="Q121" i="122"/>
  <c r="Q123" i="122" s="1"/>
  <c r="K142" i="122" l="1"/>
  <c r="K143" i="122" s="1"/>
  <c r="M127" i="122"/>
  <c r="K126" i="122" s="1"/>
  <c r="K128" i="122" s="1"/>
  <c r="K136" i="122" s="1"/>
  <c r="K127" i="122"/>
  <c r="M136" i="122"/>
  <c r="BO144" i="118" l="1"/>
  <c r="BN144" i="118"/>
  <c r="BN143" i="118"/>
  <c r="BE39" i="118"/>
  <c r="BF64" i="1" l="1"/>
  <c r="BA33" i="1" l="1"/>
  <c r="AF45" i="1" l="1"/>
  <c r="D32" i="108" l="1"/>
  <c r="E6" i="107"/>
  <c r="F29" i="107" s="1"/>
  <c r="H29" i="108" l="1"/>
  <c r="I29" i="108" s="1"/>
  <c r="F57" i="108"/>
  <c r="F49" i="108"/>
  <c r="Z38" i="108"/>
  <c r="Z39" i="108" s="1"/>
  <c r="Y38" i="108"/>
  <c r="Y39" i="108" s="1"/>
  <c r="W38" i="108"/>
  <c r="V38" i="108"/>
  <c r="X37" i="108"/>
  <c r="X36" i="108"/>
  <c r="X35" i="108"/>
  <c r="X34" i="108"/>
  <c r="X33" i="108"/>
  <c r="X32" i="108"/>
  <c r="X31" i="108"/>
  <c r="X38" i="108" s="1"/>
  <c r="Z16" i="108"/>
  <c r="Y16" i="108"/>
  <c r="Y13" i="108"/>
  <c r="Z13" i="108" s="1"/>
  <c r="Y12" i="108"/>
  <c r="Z12" i="108" s="1"/>
  <c r="Y17" i="108"/>
  <c r="E22" i="108"/>
  <c r="Z17" i="108" l="1"/>
  <c r="F6" i="107" l="1"/>
  <c r="F7" i="107"/>
  <c r="F8" i="107"/>
  <c r="F9" i="107"/>
  <c r="F10" i="107"/>
  <c r="F11" i="107"/>
  <c r="F12" i="107"/>
  <c r="F13" i="107"/>
  <c r="F14" i="107"/>
  <c r="F15" i="107"/>
  <c r="F16" i="107"/>
  <c r="F17" i="107"/>
  <c r="F40" i="107" s="1"/>
  <c r="G40" i="107" s="1"/>
  <c r="F18" i="107"/>
  <c r="F19" i="107"/>
  <c r="F20" i="107"/>
  <c r="E9" i="107"/>
  <c r="E7" i="107"/>
  <c r="E8" i="107"/>
  <c r="E10" i="107"/>
  <c r="E11" i="107"/>
  <c r="E12" i="107"/>
  <c r="E13" i="107"/>
  <c r="G13" i="107" s="1"/>
  <c r="M13" i="107" s="1"/>
  <c r="E14" i="107"/>
  <c r="E15" i="107"/>
  <c r="E16" i="107"/>
  <c r="E17" i="107"/>
  <c r="E18" i="107"/>
  <c r="E19" i="107"/>
  <c r="G19" i="107" s="1"/>
  <c r="E20" i="107"/>
  <c r="I6" i="107"/>
  <c r="J6" i="107"/>
  <c r="I7" i="107"/>
  <c r="J7" i="107"/>
  <c r="I8" i="107"/>
  <c r="J8" i="107"/>
  <c r="I9" i="107"/>
  <c r="J9" i="107"/>
  <c r="I10" i="107"/>
  <c r="J10" i="107"/>
  <c r="I11" i="107"/>
  <c r="J11" i="107"/>
  <c r="I12" i="107"/>
  <c r="J12" i="107"/>
  <c r="I13" i="107"/>
  <c r="J13" i="107"/>
  <c r="I14" i="107"/>
  <c r="J14" i="107"/>
  <c r="I15" i="107"/>
  <c r="J15" i="107"/>
  <c r="I16" i="107"/>
  <c r="J16" i="107"/>
  <c r="I17" i="107"/>
  <c r="J17" i="107"/>
  <c r="I18" i="107"/>
  <c r="J18" i="107"/>
  <c r="I19" i="107"/>
  <c r="J19" i="107"/>
  <c r="I20" i="107"/>
  <c r="J20" i="107"/>
  <c r="A23" i="107"/>
  <c r="E23" i="107"/>
  <c r="I23" i="107"/>
  <c r="J23" i="107"/>
  <c r="A29" i="107"/>
  <c r="E29" i="107"/>
  <c r="A30" i="107"/>
  <c r="A31" i="107"/>
  <c r="E31" i="107"/>
  <c r="A32" i="107"/>
  <c r="E32" i="107"/>
  <c r="A33" i="107"/>
  <c r="E33" i="107"/>
  <c r="A34" i="107"/>
  <c r="E34" i="107"/>
  <c r="A35" i="107"/>
  <c r="A36" i="107"/>
  <c r="E36" i="107"/>
  <c r="A37" i="107"/>
  <c r="E37" i="107"/>
  <c r="A38" i="107"/>
  <c r="E38" i="107"/>
  <c r="A39" i="107"/>
  <c r="E39" i="107"/>
  <c r="A40" i="107"/>
  <c r="E40" i="107"/>
  <c r="A41" i="107"/>
  <c r="E41" i="107"/>
  <c r="A42" i="107"/>
  <c r="E42" i="107"/>
  <c r="A43" i="107"/>
  <c r="E43" i="107"/>
  <c r="P43" i="107"/>
  <c r="D45" i="107"/>
  <c r="F36" i="107" l="1"/>
  <c r="G36" i="107" s="1"/>
  <c r="J36" i="107" s="1"/>
  <c r="F32" i="107"/>
  <c r="G32" i="107" s="1"/>
  <c r="I32" i="107" s="1"/>
  <c r="E45" i="107"/>
  <c r="G14" i="107"/>
  <c r="G9" i="107"/>
  <c r="L9" i="107" s="1"/>
  <c r="G18" i="107"/>
  <c r="G8" i="107"/>
  <c r="M8" i="107" s="1"/>
  <c r="G12" i="107"/>
  <c r="L12" i="107" s="1"/>
  <c r="O35" i="107" s="1"/>
  <c r="P35" i="107" s="1"/>
  <c r="G10" i="107"/>
  <c r="M10" i="107" s="1"/>
  <c r="F41" i="107"/>
  <c r="G41" i="107" s="1"/>
  <c r="F42" i="107"/>
  <c r="G42" i="107" s="1"/>
  <c r="J42" i="107" s="1"/>
  <c r="G6" i="107"/>
  <c r="M6" i="107" s="1"/>
  <c r="G11" i="107"/>
  <c r="L11" i="107" s="1"/>
  <c r="O34" i="107" s="1"/>
  <c r="P34" i="107" s="1"/>
  <c r="F30" i="107"/>
  <c r="G30" i="107" s="1"/>
  <c r="I30" i="107" s="1"/>
  <c r="G29" i="107"/>
  <c r="J29" i="107" s="1"/>
  <c r="G7" i="107"/>
  <c r="M7" i="107" s="1"/>
  <c r="M18" i="107"/>
  <c r="G17" i="107"/>
  <c r="L17" i="107" s="1"/>
  <c r="O40" i="107" s="1"/>
  <c r="P40" i="107" s="1"/>
  <c r="G16" i="107"/>
  <c r="L16" i="107" s="1"/>
  <c r="O39" i="107" s="1"/>
  <c r="P39" i="107" s="1"/>
  <c r="G15" i="107"/>
  <c r="L15" i="107" s="1"/>
  <c r="O38" i="107" s="1"/>
  <c r="P38" i="107" s="1"/>
  <c r="M14" i="107"/>
  <c r="F35" i="107"/>
  <c r="G35" i="107" s="1"/>
  <c r="I35" i="107" s="1"/>
  <c r="G20" i="107"/>
  <c r="L20" i="107" s="1"/>
  <c r="F22" i="107"/>
  <c r="F34" i="107"/>
  <c r="G34" i="107" s="1"/>
  <c r="J34" i="107" s="1"/>
  <c r="M19" i="107"/>
  <c r="M9" i="107"/>
  <c r="L19" i="107"/>
  <c r="O42" i="107" s="1"/>
  <c r="P42" i="107" s="1"/>
  <c r="L8" i="107"/>
  <c r="O31" i="107" s="1"/>
  <c r="P31" i="107" s="1"/>
  <c r="F33" i="107"/>
  <c r="G33" i="107" s="1"/>
  <c r="I33" i="107" s="1"/>
  <c r="L18" i="107"/>
  <c r="O41" i="107" s="1"/>
  <c r="P41" i="107" s="1"/>
  <c r="F37" i="107"/>
  <c r="G37" i="107" s="1"/>
  <c r="F39" i="107"/>
  <c r="G39" i="107" s="1"/>
  <c r="L14" i="107"/>
  <c r="O32" i="107"/>
  <c r="P32" i="107" s="1"/>
  <c r="F31" i="107"/>
  <c r="G31" i="107" s="1"/>
  <c r="I31" i="107" s="1"/>
  <c r="M12" i="107"/>
  <c r="F43" i="107"/>
  <c r="G43" i="107" s="1"/>
  <c r="J40" i="107"/>
  <c r="I40" i="107"/>
  <c r="L13" i="107"/>
  <c r="O36" i="107" s="1"/>
  <c r="P36" i="107" s="1"/>
  <c r="I22" i="107"/>
  <c r="O37" i="107"/>
  <c r="P37" i="107" s="1"/>
  <c r="E22" i="107"/>
  <c r="F38" i="107"/>
  <c r="G38" i="107" s="1"/>
  <c r="J22" i="107"/>
  <c r="J32" i="107" l="1"/>
  <c r="I36" i="107"/>
  <c r="L10" i="107"/>
  <c r="O33" i="107" s="1"/>
  <c r="P33" i="107" s="1"/>
  <c r="M11" i="107"/>
  <c r="I42" i="107"/>
  <c r="M20" i="107"/>
  <c r="J30" i="107"/>
  <c r="J31" i="107"/>
  <c r="L7" i="107"/>
  <c r="O30" i="107" s="1"/>
  <c r="P30" i="107" s="1"/>
  <c r="J35" i="107"/>
  <c r="L6" i="107"/>
  <c r="O29" i="107" s="1"/>
  <c r="P29" i="107" s="1"/>
  <c r="I34" i="107"/>
  <c r="I29" i="107"/>
  <c r="G22" i="107"/>
  <c r="M22" i="107" s="1"/>
  <c r="M17" i="107"/>
  <c r="M16" i="107"/>
  <c r="M15" i="107"/>
  <c r="G45" i="107"/>
  <c r="F23" i="107"/>
  <c r="J33" i="107"/>
  <c r="F45" i="107"/>
  <c r="F46" i="107" s="1"/>
  <c r="J38" i="107"/>
  <c r="I38" i="107"/>
  <c r="I37" i="107"/>
  <c r="J37" i="107"/>
  <c r="I41" i="107"/>
  <c r="J41" i="107"/>
  <c r="I43" i="107"/>
  <c r="J43" i="107"/>
  <c r="I39" i="107"/>
  <c r="J39" i="107"/>
  <c r="L22" i="107" l="1"/>
  <c r="I45" i="107"/>
  <c r="L45" i="107" s="1"/>
  <c r="J45" i="107"/>
  <c r="M45" i="107" s="1"/>
  <c r="Q55" i="107" l="1"/>
  <c r="Q51" i="107"/>
  <c r="G47" i="107"/>
  <c r="F51" i="107" s="1"/>
  <c r="J51" i="107" s="1"/>
  <c r="F55" i="107" l="1"/>
  <c r="J55" i="107" s="1"/>
  <c r="AD33" i="1" l="1"/>
  <c r="AD39" i="1"/>
  <c r="AD38" i="1"/>
  <c r="AH67" i="106"/>
  <c r="AI96" i="106"/>
  <c r="AH96" i="106"/>
  <c r="AG96" i="106"/>
  <c r="AF96" i="106"/>
  <c r="AE96" i="106"/>
  <c r="AC96" i="106"/>
  <c r="AB96" i="106"/>
  <c r="AA96" i="106"/>
  <c r="Z96" i="106"/>
  <c r="Y96" i="106"/>
  <c r="AI67" i="106"/>
  <c r="AI27" i="106"/>
  <c r="AH27" i="106"/>
  <c r="AG27" i="106"/>
  <c r="AF27" i="106"/>
  <c r="AC27" i="106"/>
  <c r="AB27" i="106"/>
  <c r="AA27" i="106"/>
  <c r="Z27" i="106"/>
  <c r="AU68" i="106"/>
  <c r="AU67" i="106"/>
  <c r="AT67" i="106"/>
  <c r="AU63" i="106"/>
  <c r="AU64" i="106" s="1"/>
  <c r="AT63" i="106"/>
  <c r="AR61" i="106"/>
  <c r="AU58" i="106"/>
  <c r="AU59" i="106" s="1"/>
  <c r="AT58" i="106"/>
  <c r="AR55" i="106"/>
  <c r="AU52" i="106"/>
  <c r="AU53" i="106" s="1"/>
  <c r="AT52" i="106"/>
  <c r="AR49" i="106"/>
  <c r="AU46" i="106"/>
  <c r="AU47" i="106" s="1"/>
  <c r="AT46" i="106"/>
  <c r="AR43" i="106"/>
  <c r="AU37" i="106"/>
  <c r="AU38" i="106" s="1"/>
  <c r="AT37" i="106"/>
  <c r="AU33" i="106"/>
  <c r="AU34" i="106" s="1"/>
  <c r="AT33" i="106"/>
  <c r="AU28" i="106"/>
  <c r="AU29" i="106" s="1"/>
  <c r="AT28" i="106"/>
  <c r="AU22" i="106"/>
  <c r="AU23" i="106" s="1"/>
  <c r="AT22" i="106"/>
  <c r="AU17" i="106"/>
  <c r="AU16" i="106"/>
  <c r="AT16" i="106"/>
  <c r="AU69" i="106" l="1"/>
  <c r="AU39" i="106"/>
  <c r="T43" i="1" l="1"/>
  <c r="U13" i="98"/>
  <c r="U3" i="98"/>
  <c r="U34" i="98"/>
  <c r="U28" i="98"/>
  <c r="U16" i="98"/>
  <c r="U18" i="98"/>
  <c r="E15" i="98"/>
  <c r="C34" i="98"/>
  <c r="Q27" i="84" l="1"/>
  <c r="F36" i="101" l="1"/>
  <c r="F12" i="101"/>
  <c r="F6" i="101" s="1"/>
  <c r="F9" i="101"/>
  <c r="F8" i="101"/>
  <c r="AU43" i="1" l="1"/>
  <c r="BG43" i="1"/>
  <c r="BG33" i="1"/>
  <c r="AU33"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F39" i="118"/>
  <c r="BF45" i="118" s="1"/>
  <c r="BG39" i="118"/>
  <c r="BG45" i="118" s="1"/>
  <c r="BH39" i="118"/>
  <c r="BH45" i="118" s="1"/>
  <c r="BI39" i="118"/>
  <c r="BI45" i="118" s="1"/>
  <c r="BJ39" i="118"/>
  <c r="BJ45" i="118" s="1"/>
  <c r="BK39" i="118"/>
  <c r="BK45" i="118" s="1"/>
  <c r="BL39" i="118"/>
  <c r="BM39" i="118"/>
  <c r="BN39" i="118"/>
  <c r="BO39" i="118"/>
  <c r="BP39" i="118"/>
  <c r="BQ39" i="118"/>
  <c r="BR39" i="118"/>
  <c r="BS39" i="118"/>
  <c r="BT39" i="118"/>
  <c r="BU39" i="118"/>
  <c r="BV39" i="118"/>
  <c r="BV45" i="118" s="1"/>
  <c r="BW39" i="118"/>
  <c r="BX39" i="118"/>
  <c r="BX45" i="118" s="1"/>
  <c r="BY39" i="118"/>
  <c r="BY45" i="118" s="1"/>
  <c r="BZ39" i="118"/>
  <c r="BZ45" i="118" s="1"/>
  <c r="CA39" i="118"/>
  <c r="CA45" i="118" s="1"/>
  <c r="CB39" i="118"/>
  <c r="BE40" i="118"/>
  <c r="BF40" i="118"/>
  <c r="BG40" i="118"/>
  <c r="BH40" i="118"/>
  <c r="BI40" i="118"/>
  <c r="BJ40" i="118"/>
  <c r="BK40" i="118"/>
  <c r="BL40" i="118"/>
  <c r="BM40" i="118"/>
  <c r="BN40" i="118"/>
  <c r="BO40" i="118"/>
  <c r="BP40" i="118"/>
  <c r="BP120" i="118" s="1"/>
  <c r="BQ40" i="118"/>
  <c r="BQ120" i="118" s="1"/>
  <c r="BR40" i="118"/>
  <c r="BR68" i="118" s="1"/>
  <c r="BS40" i="118"/>
  <c r="BS120" i="118" s="1"/>
  <c r="BT40" i="118"/>
  <c r="BU40" i="118"/>
  <c r="BV40" i="118"/>
  <c r="BW40" i="118"/>
  <c r="BX40" i="118"/>
  <c r="BY40" i="118"/>
  <c r="BZ40" i="118"/>
  <c r="CA40" i="118"/>
  <c r="CB40" i="118"/>
  <c r="BE41" i="118"/>
  <c r="BE45" i="118" s="1"/>
  <c r="BF41" i="118"/>
  <c r="BG41" i="118"/>
  <c r="BH41" i="118"/>
  <c r="BI41" i="118"/>
  <c r="BJ41" i="118"/>
  <c r="BK41" i="118"/>
  <c r="BL41" i="118"/>
  <c r="BM41" i="118"/>
  <c r="BN41" i="118"/>
  <c r="BO41" i="118"/>
  <c r="BP41" i="118"/>
  <c r="BQ41" i="118"/>
  <c r="BR41" i="118"/>
  <c r="BS41" i="118"/>
  <c r="BT41" i="118"/>
  <c r="BT45" i="118" s="1"/>
  <c r="BU41" i="118"/>
  <c r="BV41" i="118"/>
  <c r="BW41" i="118"/>
  <c r="BW45" i="118" s="1"/>
  <c r="BX41" i="118"/>
  <c r="BY41" i="118"/>
  <c r="BZ41" i="118"/>
  <c r="CA41" i="118"/>
  <c r="CB41" i="118"/>
  <c r="BE43" i="118"/>
  <c r="BF43" i="118"/>
  <c r="BG43" i="118"/>
  <c r="BH43" i="118"/>
  <c r="BI43" i="118"/>
  <c r="BJ43" i="118"/>
  <c r="BK43" i="118"/>
  <c r="BL43" i="118"/>
  <c r="BM43" i="118"/>
  <c r="BN43" i="118"/>
  <c r="BO43" i="118"/>
  <c r="BP43" i="118"/>
  <c r="BQ43" i="118"/>
  <c r="BR43" i="118"/>
  <c r="BS43" i="118"/>
  <c r="BT43" i="118"/>
  <c r="BU43" i="118"/>
  <c r="BV43" i="118"/>
  <c r="BW43" i="118"/>
  <c r="BX43" i="118"/>
  <c r="BY43" i="118"/>
  <c r="BZ43" i="118"/>
  <c r="CA43" i="118"/>
  <c r="CB43" i="118"/>
  <c r="BE44" i="118"/>
  <c r="BF44" i="118"/>
  <c r="BG44" i="118"/>
  <c r="BH44" i="118"/>
  <c r="BI44" i="118"/>
  <c r="BJ44" i="118"/>
  <c r="BK44" i="118"/>
  <c r="BL44" i="118"/>
  <c r="BM44" i="118"/>
  <c r="BN44" i="118"/>
  <c r="BO44" i="118"/>
  <c r="BP44" i="118"/>
  <c r="BQ44" i="118"/>
  <c r="BR44" i="118"/>
  <c r="BS44" i="118"/>
  <c r="BT44" i="118"/>
  <c r="BU44" i="118"/>
  <c r="BV44" i="118"/>
  <c r="BW44" i="118"/>
  <c r="BX44" i="118"/>
  <c r="BY44" i="118"/>
  <c r="BZ44" i="118"/>
  <c r="CA44" i="118"/>
  <c r="CB44" i="118"/>
  <c r="BL45" i="118"/>
  <c r="BM45" i="118"/>
  <c r="BN45" i="118"/>
  <c r="BO45" i="118"/>
  <c r="BP45" i="118"/>
  <c r="BQ45" i="118"/>
  <c r="BR45" i="118"/>
  <c r="BS45" i="118"/>
  <c r="BU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F67" i="118" s="1"/>
  <c r="BF116" i="118" s="1"/>
  <c r="BG58" i="118"/>
  <c r="BG67" i="118" s="1"/>
  <c r="BH58" i="118"/>
  <c r="BH67" i="118" s="1"/>
  <c r="BI58" i="118"/>
  <c r="BJ58" i="118"/>
  <c r="BK58" i="118"/>
  <c r="BL58" i="118"/>
  <c r="BM58" i="118"/>
  <c r="BN58" i="118"/>
  <c r="BO58" i="118"/>
  <c r="BO67" i="118" s="1"/>
  <c r="BP58" i="118"/>
  <c r="BQ58" i="118"/>
  <c r="BR58" i="118"/>
  <c r="BS58" i="118"/>
  <c r="BS67" i="118" s="1"/>
  <c r="BT58" i="118"/>
  <c r="BU58" i="118"/>
  <c r="BV58" i="118"/>
  <c r="BW58" i="118"/>
  <c r="BW67" i="118" s="1"/>
  <c r="BX58" i="118"/>
  <c r="BX67" i="118" s="1"/>
  <c r="BY58" i="118"/>
  <c r="BZ58" i="118"/>
  <c r="CA58" i="118"/>
  <c r="CB58" i="118"/>
  <c r="BE59" i="118"/>
  <c r="BF59" i="118"/>
  <c r="BG59" i="118"/>
  <c r="BG68" i="118" s="1"/>
  <c r="BG121" i="118" s="1"/>
  <c r="BH59" i="118"/>
  <c r="BI59" i="118"/>
  <c r="BJ59" i="118"/>
  <c r="BJ68" i="118" s="1"/>
  <c r="BK59" i="118"/>
  <c r="BK68" i="118" s="1"/>
  <c r="BK121" i="118" s="1"/>
  <c r="BL59" i="118"/>
  <c r="BM59" i="118"/>
  <c r="BN59" i="118"/>
  <c r="BN68" i="118" s="1"/>
  <c r="BO59" i="118"/>
  <c r="BO68" i="118" s="1"/>
  <c r="BO121" i="118" s="1"/>
  <c r="BP59" i="118"/>
  <c r="BP68" i="118" s="1"/>
  <c r="BP121" i="118" s="1"/>
  <c r="BQ59" i="118"/>
  <c r="BR59" i="118"/>
  <c r="BS59" i="118"/>
  <c r="BT59" i="118"/>
  <c r="BU59" i="118"/>
  <c r="BV59" i="118"/>
  <c r="BW59" i="118"/>
  <c r="BW68" i="118" s="1"/>
  <c r="BW121" i="118" s="1"/>
  <c r="BX59" i="118"/>
  <c r="BY59" i="118"/>
  <c r="BZ59" i="118"/>
  <c r="BZ68" i="118" s="1"/>
  <c r="CA59" i="118"/>
  <c r="CA68" i="118" s="1"/>
  <c r="CA121" i="118" s="1"/>
  <c r="CB59" i="118"/>
  <c r="BE60" i="118"/>
  <c r="BF60" i="118"/>
  <c r="BF69" i="118" s="1"/>
  <c r="BG60" i="118"/>
  <c r="BG69" i="118" s="1"/>
  <c r="BH60" i="118"/>
  <c r="BH69" i="118" s="1"/>
  <c r="BI60" i="118"/>
  <c r="BJ60" i="118"/>
  <c r="BK60" i="118"/>
  <c r="BL60" i="118"/>
  <c r="BM60" i="118"/>
  <c r="BN60" i="118"/>
  <c r="BO60" i="118"/>
  <c r="BO69" i="118" s="1"/>
  <c r="BP60" i="118"/>
  <c r="BQ60" i="118"/>
  <c r="BR60" i="118"/>
  <c r="BR69" i="118" s="1"/>
  <c r="BS60" i="118"/>
  <c r="BS69" i="118" s="1"/>
  <c r="BT60" i="118"/>
  <c r="BU60" i="118"/>
  <c r="BV60" i="118"/>
  <c r="BV69" i="118" s="1"/>
  <c r="BW60" i="118"/>
  <c r="BW69" i="118" s="1"/>
  <c r="BX60" i="118"/>
  <c r="BX69" i="118" s="1"/>
  <c r="BY60" i="118"/>
  <c r="BZ60" i="118"/>
  <c r="CA60" i="118"/>
  <c r="CB60" i="118"/>
  <c r="BE62" i="118"/>
  <c r="BF62" i="118"/>
  <c r="BG62" i="118"/>
  <c r="BG71" i="118" s="1"/>
  <c r="BH62" i="118"/>
  <c r="BI62" i="118"/>
  <c r="BJ62" i="118"/>
  <c r="BJ71" i="118" s="1"/>
  <c r="BK62" i="118"/>
  <c r="BK71" i="118" s="1"/>
  <c r="BL62" i="118"/>
  <c r="BM62" i="118"/>
  <c r="BN62" i="118"/>
  <c r="BN71" i="118" s="1"/>
  <c r="BO62" i="118"/>
  <c r="BO71" i="118" s="1"/>
  <c r="BP62" i="118"/>
  <c r="BP71" i="118" s="1"/>
  <c r="BQ62" i="118"/>
  <c r="BR62" i="118"/>
  <c r="BS62" i="118"/>
  <c r="BT62" i="118"/>
  <c r="BU62" i="118"/>
  <c r="BV62" i="118"/>
  <c r="BW62" i="118"/>
  <c r="BW71" i="118" s="1"/>
  <c r="BX62" i="118"/>
  <c r="BY62" i="118"/>
  <c r="BZ62" i="118"/>
  <c r="BZ71" i="118" s="1"/>
  <c r="CA62" i="118"/>
  <c r="CA71" i="118" s="1"/>
  <c r="CB62" i="118"/>
  <c r="BE63" i="118"/>
  <c r="BF63" i="118"/>
  <c r="BF72" i="118" s="1"/>
  <c r="BG63" i="118"/>
  <c r="BG72" i="118" s="1"/>
  <c r="BH63" i="118"/>
  <c r="BH72" i="118" s="1"/>
  <c r="BI63" i="118"/>
  <c r="BJ63" i="118"/>
  <c r="BK63" i="118"/>
  <c r="BL63" i="118"/>
  <c r="BM63" i="118"/>
  <c r="BN63" i="118"/>
  <c r="BO63" i="118"/>
  <c r="BO72" i="118" s="1"/>
  <c r="BP63" i="118"/>
  <c r="BQ63" i="118"/>
  <c r="BR63" i="118"/>
  <c r="BR72" i="118" s="1"/>
  <c r="BS63" i="118"/>
  <c r="BS72" i="118" s="1"/>
  <c r="BT63" i="118"/>
  <c r="BU63" i="118"/>
  <c r="BV63" i="118"/>
  <c r="BW63" i="118"/>
  <c r="BW72" i="118" s="1"/>
  <c r="BX63" i="118"/>
  <c r="BX72" i="118" s="1"/>
  <c r="BY63" i="118"/>
  <c r="BZ63" i="118"/>
  <c r="CA63" i="118"/>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L67" i="118"/>
  <c r="BN67" i="118"/>
  <c r="BP67" i="118"/>
  <c r="BR67" i="118"/>
  <c r="BT67" i="118"/>
  <c r="BV67" i="118"/>
  <c r="BV115" i="118" s="1"/>
  <c r="CB67" i="118"/>
  <c r="BF68" i="118"/>
  <c r="BH68" i="118"/>
  <c r="BH121" i="118" s="1"/>
  <c r="BL68" i="118"/>
  <c r="BL121" i="118" s="1"/>
  <c r="BT68" i="118"/>
  <c r="BT121" i="118" s="1"/>
  <c r="BV68" i="118"/>
  <c r="BX68" i="118"/>
  <c r="BX121" i="118" s="1"/>
  <c r="CB68" i="118"/>
  <c r="CB121" i="118" s="1"/>
  <c r="BL69" i="118"/>
  <c r="BN69" i="118"/>
  <c r="BP69" i="118"/>
  <c r="BT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L71" i="118"/>
  <c r="BR71" i="118"/>
  <c r="BT71" i="118"/>
  <c r="BV71" i="118"/>
  <c r="BX71" i="118"/>
  <c r="CB71" i="118"/>
  <c r="BL72" i="118"/>
  <c r="BN72" i="118"/>
  <c r="BP72" i="118"/>
  <c r="BT72" i="118"/>
  <c r="BV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J114" i="118"/>
  <c r="BL114" i="118"/>
  <c r="BM114" i="118"/>
  <c r="BN114" i="118"/>
  <c r="BO114" i="118"/>
  <c r="BP114" i="118"/>
  <c r="BQ114" i="118"/>
  <c r="BR114" i="118"/>
  <c r="BR117" i="118" s="1"/>
  <c r="BS114" i="118"/>
  <c r="BT114" i="118"/>
  <c r="BU114" i="118"/>
  <c r="BV114" i="118"/>
  <c r="BW114" i="118"/>
  <c r="BZ114" i="118"/>
  <c r="CB114" i="118"/>
  <c r="BN115" i="118"/>
  <c r="BR115" i="118"/>
  <c r="BN116" i="118"/>
  <c r="BN117" i="118" s="1"/>
  <c r="BR116"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R120" i="118"/>
  <c r="BT120" i="118"/>
  <c r="BU120" i="118"/>
  <c r="BV120" i="118"/>
  <c r="BW120" i="118"/>
  <c r="BX120" i="118"/>
  <c r="BY120" i="118"/>
  <c r="BZ120" i="118"/>
  <c r="CA120" i="118"/>
  <c r="CB120" i="118"/>
  <c r="BF121" i="118"/>
  <c r="BV121" i="118"/>
  <c r="BF122" i="118"/>
  <c r="BV122" i="118"/>
  <c r="BF123" i="118"/>
  <c r="BK123" i="118"/>
  <c r="BV123" i="118"/>
  <c r="BF124" i="118"/>
  <c r="BK124" i="118"/>
  <c r="BO124" i="118"/>
  <c r="BV124" i="118"/>
  <c r="BW124" i="118"/>
  <c r="CA124" i="118"/>
  <c r="BF125" i="118"/>
  <c r="BG125" i="118"/>
  <c r="BK125" i="118"/>
  <c r="BV125" i="118"/>
  <c r="BV126" i="118" s="1"/>
  <c r="BW125" i="118"/>
  <c r="CA125" i="118"/>
  <c r="BF126" i="118"/>
  <c r="BD131" i="118"/>
  <c r="BD136" i="118"/>
  <c r="BD138" i="118"/>
  <c r="BD139" i="118"/>
  <c r="BD143" i="118"/>
  <c r="BD144" i="118"/>
  <c r="BR121" i="118" l="1"/>
  <c r="BR124" i="118"/>
  <c r="BR122" i="118"/>
  <c r="BR123" i="118"/>
  <c r="BR125" i="118"/>
  <c r="BN122" i="118"/>
  <c r="BN123" i="118"/>
  <c r="BN125" i="118"/>
  <c r="BN124" i="118"/>
  <c r="BN121" i="118"/>
  <c r="BO125" i="118"/>
  <c r="BO123" i="118"/>
  <c r="BF138" i="118"/>
  <c r="CA114" i="118"/>
  <c r="BK114" i="118"/>
  <c r="BF139" i="118"/>
  <c r="BJ67" i="118"/>
  <c r="BY114" i="118"/>
  <c r="BI114" i="118"/>
  <c r="BF134" i="118"/>
  <c r="BX114" i="118"/>
  <c r="BH114" i="118"/>
  <c r="BF133" i="118"/>
  <c r="CA72" i="118"/>
  <c r="BK72" i="118"/>
  <c r="BS71" i="118"/>
  <c r="CA69" i="118"/>
  <c r="BK69" i="118"/>
  <c r="BS68" i="118"/>
  <c r="CA67" i="118"/>
  <c r="CA115" i="118" s="1"/>
  <c r="BK67" i="118"/>
  <c r="BK115" i="118" s="1"/>
  <c r="BJ72" i="118"/>
  <c r="BJ69" i="118"/>
  <c r="BZ67" i="118"/>
  <c r="BV116" i="118"/>
  <c r="BV117" i="118" s="1"/>
  <c r="BV128" i="118" s="1"/>
  <c r="BZ123" i="118"/>
  <c r="BZ124" i="118"/>
  <c r="BZ122" i="118"/>
  <c r="BZ125" i="118"/>
  <c r="BZ121" i="118"/>
  <c r="BJ122" i="118"/>
  <c r="BJ121" i="118"/>
  <c r="BJ124" i="118"/>
  <c r="BJ123" i="118"/>
  <c r="BJ125" i="118"/>
  <c r="BZ115" i="118"/>
  <c r="BZ116" i="118"/>
  <c r="BU72" i="118"/>
  <c r="BE72" i="118"/>
  <c r="BM71" i="118"/>
  <c r="BU69" i="118"/>
  <c r="BE69" i="118"/>
  <c r="BM68" i="118"/>
  <c r="BU67" i="118"/>
  <c r="BE67" i="118"/>
  <c r="BQ72" i="118"/>
  <c r="BY71" i="118"/>
  <c r="BI71" i="118"/>
  <c r="BQ69" i="118"/>
  <c r="BY68" i="118"/>
  <c r="BI68" i="118"/>
  <c r="BQ67" i="118"/>
  <c r="BF115" i="118"/>
  <c r="BF117" i="118" s="1"/>
  <c r="BF128" i="118" s="1"/>
  <c r="BM72" i="118"/>
  <c r="BU71" i="118"/>
  <c r="BE71" i="118"/>
  <c r="BM69" i="118"/>
  <c r="BU68" i="118"/>
  <c r="BE68" i="118"/>
  <c r="BM67" i="118"/>
  <c r="BY72" i="118"/>
  <c r="BI72" i="118"/>
  <c r="BQ71" i="118"/>
  <c r="BY69" i="118"/>
  <c r="BI69" i="118"/>
  <c r="BQ68" i="118"/>
  <c r="BY67" i="118"/>
  <c r="BI67" i="118"/>
  <c r="BK126" i="118"/>
  <c r="BT115" i="118"/>
  <c r="BT116" i="118"/>
  <c r="BW115" i="118"/>
  <c r="BW116" i="118"/>
  <c r="BS115" i="118"/>
  <c r="BS116" i="118"/>
  <c r="BO115" i="118"/>
  <c r="BO116" i="118"/>
  <c r="BG115" i="118"/>
  <c r="BG116" i="118"/>
  <c r="CB115" i="118"/>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BX122" i="118"/>
  <c r="BT122" i="118"/>
  <c r="BP122" i="118"/>
  <c r="BP126" i="118" s="1"/>
  <c r="BL122" i="118"/>
  <c r="BH122" i="118"/>
  <c r="BG124" i="118"/>
  <c r="CA123" i="118"/>
  <c r="BW123" i="118"/>
  <c r="BS123" i="118"/>
  <c r="BG123" i="118"/>
  <c r="CA122" i="118"/>
  <c r="CA126" i="118" s="1"/>
  <c r="BW122" i="118"/>
  <c r="BO122" i="118"/>
  <c r="BO126" i="118" s="1"/>
  <c r="BK122" i="118"/>
  <c r="BG122" i="118"/>
  <c r="BX115" i="118"/>
  <c r="BX116" i="118"/>
  <c r="BP115" i="118"/>
  <c r="BP116" i="118"/>
  <c r="BH115" i="118"/>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1" i="118" l="1"/>
  <c r="BS124" i="118"/>
  <c r="BS125" i="118"/>
  <c r="BK116" i="118"/>
  <c r="BH117" i="118"/>
  <c r="BH126" i="118"/>
  <c r="CB117" i="118"/>
  <c r="BZ126" i="118"/>
  <c r="BN126" i="118"/>
  <c r="BN128" i="118" s="1"/>
  <c r="BX117" i="118"/>
  <c r="CA116" i="118"/>
  <c r="BS122" i="118"/>
  <c r="BS126" i="118" s="1"/>
  <c r="BS128" i="118" s="1"/>
  <c r="BW126" i="118"/>
  <c r="BT126" i="118"/>
  <c r="BJ116" i="118"/>
  <c r="BJ115" i="118"/>
  <c r="BJ117" i="118" s="1"/>
  <c r="BR126" i="118"/>
  <c r="BR128" i="118" s="1"/>
  <c r="BI116" i="118"/>
  <c r="BI115" i="118"/>
  <c r="BI117" i="118" s="1"/>
  <c r="BQ116" i="118"/>
  <c r="BQ115" i="118"/>
  <c r="BY116" i="118"/>
  <c r="BY115" i="118"/>
  <c r="BY117" i="118" s="1"/>
  <c r="BI122" i="118"/>
  <c r="BI121" i="118"/>
  <c r="BI124" i="118"/>
  <c r="BI123" i="118"/>
  <c r="BI125" i="118"/>
  <c r="BZ117" i="118"/>
  <c r="BZ128" i="118" s="1"/>
  <c r="BK117" i="118"/>
  <c r="BK128" i="118" s="1"/>
  <c r="BQ124" i="118"/>
  <c r="BQ123" i="118"/>
  <c r="BQ125" i="118"/>
  <c r="BQ122" i="118"/>
  <c r="BQ121" i="118"/>
  <c r="BY123" i="118"/>
  <c r="BY124" i="118"/>
  <c r="BY122" i="118"/>
  <c r="BY125" i="118"/>
  <c r="BY121" i="118"/>
  <c r="BH128" i="118"/>
  <c r="BL126" i="118"/>
  <c r="BJ126" i="118"/>
  <c r="BS117" i="118"/>
  <c r="BX126" i="118"/>
  <c r="BX128" i="118" s="1"/>
  <c r="BE116" i="118"/>
  <c r="BE115" i="118"/>
  <c r="BE117" i="118" s="1"/>
  <c r="BG126" i="118"/>
  <c r="CB126" i="118"/>
  <c r="BM116" i="118"/>
  <c r="BM115" i="118"/>
  <c r="BU116" i="118"/>
  <c r="BU115" i="118"/>
  <c r="BE121" i="118"/>
  <c r="BE122" i="118"/>
  <c r="BE124" i="118"/>
  <c r="BE125" i="118"/>
  <c r="BE123" i="118"/>
  <c r="BM123" i="118"/>
  <c r="BM125" i="118"/>
  <c r="BM122" i="118"/>
  <c r="BM121" i="118"/>
  <c r="BM124" i="118"/>
  <c r="CA117" i="118"/>
  <c r="CA128" i="118" s="1"/>
  <c r="BU124" i="118"/>
  <c r="BU123" i="118"/>
  <c r="BU125" i="118"/>
  <c r="BU122" i="118"/>
  <c r="BU121" i="118"/>
  <c r="BL117" i="118"/>
  <c r="BL128" i="118" s="1"/>
  <c r="BG117" i="118"/>
  <c r="BO117" i="118"/>
  <c r="BO128" i="118" s="1"/>
  <c r="BW117" i="118"/>
  <c r="BT117" i="118"/>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T128" i="118" l="1"/>
  <c r="BJ128" i="118"/>
  <c r="BW128" i="118"/>
  <c r="BM126" i="118"/>
  <c r="CB128" i="118"/>
  <c r="BI126" i="118"/>
  <c r="BI128" i="118" s="1"/>
  <c r="BY126" i="118"/>
  <c r="BY128" i="118" s="1"/>
  <c r="BE126" i="118"/>
  <c r="BU126" i="118"/>
  <c r="BU117" i="118"/>
  <c r="BQ117" i="118"/>
  <c r="BM117" i="118"/>
  <c r="BM128" i="118" s="1"/>
  <c r="BQ126"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Q128" i="118" l="1"/>
  <c r="BE139" i="118"/>
  <c r="BG139" i="118" s="1"/>
  <c r="BU128" i="118"/>
  <c r="BE128" i="118"/>
  <c r="BE138" i="118"/>
  <c r="BG133" i="118"/>
  <c r="BE135" i="118"/>
  <c r="BE143" i="118"/>
  <c r="AU16" i="1" s="1"/>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E140" i="118" l="1"/>
  <c r="BG138" i="118"/>
  <c r="BF144" i="118"/>
  <c r="BG16" i="1" s="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E15" i="91" l="1"/>
  <c r="D15" i="91"/>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AD27"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F29" i="108"/>
  <c r="E29" i="108"/>
  <c r="F28" i="108"/>
  <c r="E28" i="108"/>
  <c r="F27" i="108"/>
  <c r="F30" i="108" s="1"/>
  <c r="E27" i="108"/>
  <c r="E30" i="108" s="1"/>
  <c r="F23" i="108"/>
  <c r="J22" i="108"/>
  <c r="H22" i="108"/>
  <c r="I22" i="108" s="1"/>
  <c r="F22" i="108"/>
  <c r="J21" i="108"/>
  <c r="K21" i="108" s="1"/>
  <c r="H21" i="108"/>
  <c r="F21" i="108"/>
  <c r="E21" i="108"/>
  <c r="E23" i="108" s="1"/>
  <c r="W17" i="108"/>
  <c r="V17" i="108"/>
  <c r="J35" i="108"/>
  <c r="H35" i="108"/>
  <c r="X16" i="108"/>
  <c r="G35" i="108" s="1"/>
  <c r="X15" i="108"/>
  <c r="J29" i="108"/>
  <c r="K29" i="108" s="1"/>
  <c r="X14" i="108"/>
  <c r="X13" i="108"/>
  <c r="G28" i="108" s="1"/>
  <c r="H27" i="108"/>
  <c r="X12" i="108"/>
  <c r="G27" i="108" s="1"/>
  <c r="AG11" i="108"/>
  <c r="AF11" i="108"/>
  <c r="AE11" i="108"/>
  <c r="X11" i="108"/>
  <c r="G22" i="108" s="1"/>
  <c r="X10" i="108"/>
  <c r="G21" i="108" s="1"/>
  <c r="G23" i="108" s="1"/>
  <c r="AS8" i="108"/>
  <c r="AR8" i="108"/>
  <c r="AR9" i="108" s="1"/>
  <c r="AQ8" i="108"/>
  <c r="AP8" i="108"/>
  <c r="AT7" i="108"/>
  <c r="AT8" i="108" s="1"/>
  <c r="BL54" i="106"/>
  <c r="BL51" i="106"/>
  <c r="BD99" i="106"/>
  <c r="BL50" i="106"/>
  <c r="BD97" i="106"/>
  <c r="BY44" i="106"/>
  <c r="K22" i="108" l="1"/>
  <c r="H23" i="108"/>
  <c r="J23" i="108"/>
  <c r="J25" i="108" s="1"/>
  <c r="M15" i="113"/>
  <c r="M35" i="113" s="1"/>
  <c r="AA39" i="113"/>
  <c r="S7" i="113"/>
  <c r="S9" i="113" s="1"/>
  <c r="E30" i="113"/>
  <c r="E20" i="113"/>
  <c r="E15" i="113"/>
  <c r="E35" i="113" s="1"/>
  <c r="E25" i="113"/>
  <c r="C25" i="113"/>
  <c r="S25" i="113" s="1"/>
  <c r="C33" i="113"/>
  <c r="S33" i="113" s="1"/>
  <c r="C30" i="113"/>
  <c r="C20" i="113"/>
  <c r="C15" i="113"/>
  <c r="B60" i="108"/>
  <c r="B61" i="108"/>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M9" i="110"/>
  <c r="K9" i="110"/>
  <c r="AJ41" i="112"/>
  <c r="AL52" i="112"/>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H34" i="108" l="1"/>
  <c r="I32" i="108"/>
  <c r="S15" i="113"/>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8" i="108"/>
  <c r="H28" i="108"/>
  <c r="J28" i="108"/>
  <c r="M29" i="108"/>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K28" i="108" l="1"/>
  <c r="AY34" i="112"/>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8" i="108"/>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57" i="108" s="1"/>
  <c r="K44" i="108"/>
  <c r="K49" i="108" s="1"/>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6" i="108" s="1"/>
  <c r="I38" i="108" s="1"/>
  <c r="I44" i="108" s="1"/>
  <c r="I49" i="108" s="1"/>
  <c r="R52" i="106"/>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5" i="108"/>
  <c r="J17" i="112"/>
  <c r="F34" i="112"/>
  <c r="P56" i="108"/>
  <c r="BB39" i="1" s="1"/>
  <c r="P54" i="108"/>
  <c r="BB33" i="1" s="1"/>
  <c r="P52" i="108"/>
  <c r="BB22" i="1" s="1"/>
  <c r="P55" i="108"/>
  <c r="P53" i="108"/>
  <c r="BB27" i="1" s="1"/>
  <c r="P57" i="108"/>
  <c r="BB43" i="1" s="1"/>
  <c r="I52" i="108"/>
  <c r="I57" i="108" s="1"/>
  <c r="J43" i="112"/>
  <c r="J42" i="112"/>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P47" i="108" l="1"/>
  <c r="O45" i="108"/>
  <c r="O42" i="108"/>
  <c r="O46" i="108"/>
  <c r="O43" i="108"/>
  <c r="O44" i="108"/>
  <c r="O57" i="108"/>
  <c r="O55" i="108"/>
  <c r="AF38" i="1" s="1"/>
  <c r="O53" i="108"/>
  <c r="AF27" i="1" s="1"/>
  <c r="O56" i="108"/>
  <c r="O52" i="108"/>
  <c r="O54" i="108"/>
  <c r="AF33" i="1" s="1"/>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L40" i="106" s="1"/>
  <c r="AB40" i="106"/>
  <c r="AC40" i="106" s="1"/>
  <c r="AK46" i="106"/>
  <c r="AM39" i="106"/>
  <c r="AA44" i="106"/>
  <c r="AB44" i="106" s="1"/>
  <c r="AB35" i="106"/>
  <c r="AM35" i="106" s="1"/>
  <c r="AL37" i="106"/>
  <c r="AB37" i="106"/>
  <c r="AC37" i="106" s="1"/>
  <c r="AM41" i="106"/>
  <c r="AM59" i="106"/>
  <c r="AH54" i="106"/>
  <c r="AI54" i="106" s="1"/>
  <c r="AI50" i="106"/>
  <c r="AI74" i="106" s="1"/>
  <c r="BA39" i="1" s="1"/>
  <c r="AL31"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D43" i="1" s="1"/>
  <c r="AN53" i="106"/>
  <c r="AC56" i="106"/>
  <c r="AI75" i="106" s="1"/>
  <c r="BA47" i="1"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BA22" i="1" s="1"/>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I36" i="106"/>
  <c r="AI61" i="106" s="1"/>
  <c r="AM36" i="106"/>
  <c r="AM61" i="106" s="1"/>
  <c r="AN36" i="106"/>
  <c r="AN61" i="106" s="1"/>
  <c r="AL61" i="106"/>
  <c r="AI72" i="106"/>
  <c r="AC61" i="106"/>
  <c r="AI76" i="106" l="1"/>
  <c r="AH76" i="106"/>
  <c r="AI64" i="106"/>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28" i="1"/>
  <c r="AT34" i="1"/>
  <c r="AP34" i="1"/>
  <c r="AN34" i="1"/>
  <c r="W73" i="1"/>
  <c r="W70" i="1"/>
  <c r="W69" i="1"/>
  <c r="W68" i="1"/>
  <c r="W64" i="1"/>
  <c r="W63" i="1"/>
  <c r="W62" i="1"/>
  <c r="C11" i="100"/>
  <c r="J11" i="100"/>
  <c r="H15" i="100"/>
  <c r="H18" i="100" s="1"/>
  <c r="Q11" i="100"/>
  <c r="V11" i="100"/>
  <c r="T15" i="100"/>
  <c r="T17" i="100" s="1"/>
  <c r="AC11" i="100"/>
  <c r="AT44" i="1" s="1"/>
  <c r="AH15" i="100"/>
  <c r="AO11" i="100"/>
  <c r="J12" i="100"/>
  <c r="L12" i="100" s="1"/>
  <c r="Q12" i="100"/>
  <c r="AO28" i="1" s="1"/>
  <c r="V12" i="100"/>
  <c r="AP28" i="1" s="1"/>
  <c r="AC12" i="100"/>
  <c r="AT28" i="1" s="1"/>
  <c r="AJ12" i="100"/>
  <c r="AN12" i="100"/>
  <c r="AO12" i="100"/>
  <c r="C13" i="100"/>
  <c r="J13" i="100"/>
  <c r="L13" i="100" s="1"/>
  <c r="Q13" i="100"/>
  <c r="AO34" i="1" s="1"/>
  <c r="V13" i="100"/>
  <c r="AC13" i="100"/>
  <c r="AJ13" i="100"/>
  <c r="BF34" i="1" s="1"/>
  <c r="AO13" i="100"/>
  <c r="J14" i="100"/>
  <c r="L14" i="100" s="1"/>
  <c r="Q14" i="100"/>
  <c r="AO44" i="1" s="1"/>
  <c r="V14" i="100"/>
  <c r="AP44" i="1" s="1"/>
  <c r="AC14" i="100"/>
  <c r="AJ14" i="100"/>
  <c r="AN14" i="100"/>
  <c r="AO14" i="100"/>
  <c r="D15" i="100"/>
  <c r="E15" i="100"/>
  <c r="E18" i="100" s="1"/>
  <c r="G15" i="100"/>
  <c r="G18" i="100" s="1"/>
  <c r="I15" i="100"/>
  <c r="I18" i="100" s="1"/>
  <c r="O15" i="100"/>
  <c r="O17" i="100" s="1"/>
  <c r="P15" i="100"/>
  <c r="P18" i="100" s="1"/>
  <c r="S15" i="100"/>
  <c r="S17" i="100" s="1"/>
  <c r="U15" i="100"/>
  <c r="Z15" i="100"/>
  <c r="Z17" i="100" s="1"/>
  <c r="AA15" i="100"/>
  <c r="AG15" i="100"/>
  <c r="I17" i="100"/>
  <c r="T18" i="100"/>
  <c r="C23" i="100"/>
  <c r="AC23" i="100"/>
  <c r="AT64" i="1" s="1"/>
  <c r="V24" i="100"/>
  <c r="AP62" i="1" s="1"/>
  <c r="C25" i="100"/>
  <c r="J25" i="100"/>
  <c r="L25" i="100" s="1"/>
  <c r="V25" i="100"/>
  <c r="AP63" i="1" s="1"/>
  <c r="AC25" i="100"/>
  <c r="AT63" i="1" s="1"/>
  <c r="AJ25" i="100"/>
  <c r="BF63" i="1" s="1"/>
  <c r="C26" i="100"/>
  <c r="J26" i="100"/>
  <c r="V26" i="100"/>
  <c r="AC26" i="100"/>
  <c r="AJ26" i="100"/>
  <c r="D27" i="100"/>
  <c r="G27" i="100"/>
  <c r="N27" i="100"/>
  <c r="O27" i="100"/>
  <c r="P27" i="100"/>
  <c r="P43" i="100" s="1"/>
  <c r="Q27" i="100"/>
  <c r="S27" i="100"/>
  <c r="U27" i="100"/>
  <c r="Z27" i="100"/>
  <c r="AA27" i="100"/>
  <c r="AF27" i="100"/>
  <c r="AG27" i="100"/>
  <c r="J30" i="100"/>
  <c r="AN70" i="1" s="1"/>
  <c r="C31" i="100"/>
  <c r="V31" i="100"/>
  <c r="C32" i="100"/>
  <c r="L32" i="100"/>
  <c r="J32" i="100"/>
  <c r="AN69" i="1" s="1"/>
  <c r="V32" i="100"/>
  <c r="AC32" i="100"/>
  <c r="AJ32" i="100"/>
  <c r="BF69" i="1" s="1"/>
  <c r="C33" i="100"/>
  <c r="J33" i="100"/>
  <c r="V33" i="100"/>
  <c r="AC33" i="100"/>
  <c r="AJ33" i="100"/>
  <c r="D34" i="100"/>
  <c r="N34" i="100"/>
  <c r="O34" i="100"/>
  <c r="P34" i="100"/>
  <c r="Q34" i="100"/>
  <c r="T34" i="100"/>
  <c r="C37" i="100"/>
  <c r="J37" i="100"/>
  <c r="V37" i="100"/>
  <c r="AC37" i="100"/>
  <c r="AJ37" i="100"/>
  <c r="C38" i="100"/>
  <c r="J38" i="100"/>
  <c r="L38" i="100" s="1"/>
  <c r="V38" i="100"/>
  <c r="AC38" i="100"/>
  <c r="AJ38" i="100"/>
  <c r="C39" i="100"/>
  <c r="J39" i="100"/>
  <c r="L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AJ41" i="100" l="1"/>
  <c r="BF73" i="1" s="1"/>
  <c r="X39" i="100"/>
  <c r="X38" i="100"/>
  <c r="AE38" i="100" s="1"/>
  <c r="AL38" i="100" s="1"/>
  <c r="AN63" i="1"/>
  <c r="O18" i="100"/>
  <c r="AN28" i="1"/>
  <c r="AN44" i="1"/>
  <c r="M27" i="105"/>
  <c r="L27" i="105"/>
  <c r="AA70" i="105"/>
  <c r="AE69" i="105"/>
  <c r="J28" i="105" s="1"/>
  <c r="K28" i="105" s="1"/>
  <c r="U27" i="105"/>
  <c r="N25" i="105"/>
  <c r="T28" i="105"/>
  <c r="S28" i="105"/>
  <c r="O24" i="105"/>
  <c r="N26" i="105"/>
  <c r="AK71" i="105"/>
  <c r="Q29" i="105"/>
  <c r="R29" i="105" s="1"/>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T62" i="1" s="1"/>
  <c r="AB27" i="100"/>
  <c r="V15" i="100"/>
  <c r="Z34" i="100"/>
  <c r="Z43" i="100" s="1"/>
  <c r="V30" i="100"/>
  <c r="U34" i="100"/>
  <c r="U43" i="100" s="1"/>
  <c r="AJ23" i="100"/>
  <c r="AH27" i="100"/>
  <c r="X13" i="100"/>
  <c r="AE13" i="100" s="1"/>
  <c r="AL13" i="100" s="1"/>
  <c r="AC15" i="100"/>
  <c r="AC41" i="100"/>
  <c r="AT73" i="1" s="1"/>
  <c r="AI34" i="100"/>
  <c r="H34" i="100"/>
  <c r="L26" i="100"/>
  <c r="X26" i="100" s="1"/>
  <c r="AE26" i="100" s="1"/>
  <c r="AL26" i="100" s="1"/>
  <c r="AJ24" i="100"/>
  <c r="BF62" i="1" s="1"/>
  <c r="AI27" i="100"/>
  <c r="AI43" i="100" s="1"/>
  <c r="O19" i="100"/>
  <c r="Q15" i="100"/>
  <c r="L37" i="100"/>
  <c r="J41" i="100"/>
  <c r="AN73" i="1" s="1"/>
  <c r="L30" i="100"/>
  <c r="E34" i="100"/>
  <c r="C30" i="100"/>
  <c r="C34" i="100" s="1"/>
  <c r="J24" i="100"/>
  <c r="I27" i="100"/>
  <c r="AG18" i="100"/>
  <c r="AG17" i="100"/>
  <c r="V41" i="100"/>
  <c r="AP73" i="1" s="1"/>
  <c r="AC31" i="100"/>
  <c r="AT68" i="1" s="1"/>
  <c r="AB34" i="100"/>
  <c r="B34" i="100"/>
  <c r="AG34" i="100"/>
  <c r="AG43" i="100" s="1"/>
  <c r="AJ30" i="100"/>
  <c r="BF70" i="1" s="1"/>
  <c r="V23" i="100"/>
  <c r="T27" i="100"/>
  <c r="T43" i="100" s="1"/>
  <c r="S19" i="100"/>
  <c r="H17" i="100"/>
  <c r="H19" i="100" s="1"/>
  <c r="AA18" i="100"/>
  <c r="AA17" i="100"/>
  <c r="L11" i="100"/>
  <c r="J15" i="100"/>
  <c r="I34" i="100"/>
  <c r="L33" i="100"/>
  <c r="X33" i="100" s="1"/>
  <c r="AE33" i="100" s="1"/>
  <c r="AL33" i="100" s="1"/>
  <c r="AJ31" i="100"/>
  <c r="BF68" i="1" s="1"/>
  <c r="AH34" i="100"/>
  <c r="S34" i="100"/>
  <c r="S43" i="100" s="1"/>
  <c r="G34" i="100"/>
  <c r="G43" i="100" s="1"/>
  <c r="J31" i="100"/>
  <c r="AA34" i="100"/>
  <c r="AA43" i="100" s="1"/>
  <c r="AC30" i="100"/>
  <c r="AT70" i="1" s="1"/>
  <c r="E27" i="100"/>
  <c r="C24" i="100"/>
  <c r="C27" i="100" s="1"/>
  <c r="C43" i="100" s="1"/>
  <c r="B27" i="100"/>
  <c r="J23" i="100"/>
  <c r="AN64" i="1" s="1"/>
  <c r="H27" i="100"/>
  <c r="Z19" i="100"/>
  <c r="U18" i="100"/>
  <c r="V18" i="100" s="1"/>
  <c r="U17" i="100"/>
  <c r="X14" i="100"/>
  <c r="AE14" i="100" s="1"/>
  <c r="AL14" i="100" s="1"/>
  <c r="AH18" i="100"/>
  <c r="AH17" i="100"/>
  <c r="T19" i="100"/>
  <c r="AN13" i="100"/>
  <c r="G17" i="100"/>
  <c r="C14" i="100"/>
  <c r="C12" i="100"/>
  <c r="AN11" i="100"/>
  <c r="AN15" i="100" s="1"/>
  <c r="P17" i="100"/>
  <c r="P19" i="100" s="1"/>
  <c r="E17" i="100"/>
  <c r="AI15" i="100"/>
  <c r="N15" i="100"/>
  <c r="AJ11" i="100"/>
  <c r="AB15" i="100"/>
  <c r="B15" i="100"/>
  <c r="V34" i="100" l="1"/>
  <c r="AP70" i="1"/>
  <c r="L31" i="100"/>
  <c r="X31" i="100" s="1"/>
  <c r="AE31" i="100" s="1"/>
  <c r="AL31" i="100" s="1"/>
  <c r="AN68" i="1"/>
  <c r="AC27" i="100"/>
  <c r="V27" i="100"/>
  <c r="AP64" i="1"/>
  <c r="L24" i="100"/>
  <c r="X24" i="100" s="1"/>
  <c r="AE24" i="100" s="1"/>
  <c r="AL24" i="100" s="1"/>
  <c r="AN62" i="1"/>
  <c r="AJ15" i="100"/>
  <c r="BF44" i="1"/>
  <c r="AO16" i="100"/>
  <c r="AA71" i="105"/>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J34" i="100"/>
  <c r="AB18" i="100"/>
  <c r="AC18" i="100" s="1"/>
  <c r="AB17" i="100"/>
  <c r="AC17" i="100" s="1"/>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39" i="1"/>
  <c r="T33" i="1"/>
  <c r="Q3" i="98"/>
  <c r="R3" i="98"/>
  <c r="Q4" i="98"/>
  <c r="R4" i="98"/>
  <c r="Q5" i="98"/>
  <c r="S3" i="98" s="1"/>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M34" i="98"/>
  <c r="E17" i="98" s="1"/>
  <c r="N34" i="98"/>
  <c r="O34" i="98"/>
  <c r="P34" i="98"/>
  <c r="E23" i="98" s="1"/>
  <c r="E11" i="98"/>
  <c r="E13" i="98"/>
  <c r="E19" i="98"/>
  <c r="E21" i="98"/>
  <c r="C25" i="98"/>
  <c r="C29" i="98"/>
  <c r="E29" i="98"/>
  <c r="E25" i="98" l="1"/>
  <c r="E31" i="98" s="1"/>
  <c r="E34" i="98" s="1"/>
  <c r="Q34" i="98"/>
  <c r="AA77" i="105"/>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Y4" i="88"/>
  <c r="AF4" i="88" s="1"/>
  <c r="AD4" i="88"/>
  <c r="Y5" i="88"/>
  <c r="AD5" i="88"/>
  <c r="Y6" i="88"/>
  <c r="AF6" i="88" s="1"/>
  <c r="AD6" i="88"/>
  <c r="AD8" i="88" s="1"/>
  <c r="Y7" i="88"/>
  <c r="AD7" i="88"/>
  <c r="AF7" i="88"/>
  <c r="T8" i="88"/>
  <c r="U8" i="88"/>
  <c r="V8" i="88"/>
  <c r="W8" i="88"/>
  <c r="X8" i="88"/>
  <c r="AA8" i="88"/>
  <c r="AB8" i="88"/>
  <c r="AC8" i="88"/>
  <c r="V13" i="88"/>
  <c r="X13" i="88"/>
  <c r="X17" i="88" s="1"/>
  <c r="AD13" i="88"/>
  <c r="Y14" i="88"/>
  <c r="AD14" i="88"/>
  <c r="AF14" i="88" s="1"/>
  <c r="Y15" i="88"/>
  <c r="AD15" i="88"/>
  <c r="Y16" i="88"/>
  <c r="AF16" i="88" s="1"/>
  <c r="AD16" i="88"/>
  <c r="T17" i="88"/>
  <c r="U17" i="88"/>
  <c r="W17" i="88"/>
  <c r="AA17" i="88"/>
  <c r="AB17" i="88"/>
  <c r="AC17" i="88"/>
  <c r="U22" i="88"/>
  <c r="V22" i="88"/>
  <c r="W22" i="88"/>
  <c r="X22" i="88"/>
  <c r="AD22" i="88"/>
  <c r="X23" i="88"/>
  <c r="Y23" i="88" s="1"/>
  <c r="AB23" i="88"/>
  <c r="AB26" i="88" s="1"/>
  <c r="W24" i="88"/>
  <c r="X24" i="88"/>
  <c r="AD24" i="88"/>
  <c r="Y25" i="88"/>
  <c r="AD25" i="88"/>
  <c r="AF25" i="88" s="1"/>
  <c r="T26" i="88"/>
  <c r="U26" i="88"/>
  <c r="V26" i="88"/>
  <c r="AA26" i="88"/>
  <c r="AC26" i="88"/>
  <c r="U31" i="88"/>
  <c r="Y31" i="88" s="1"/>
  <c r="AD31" i="88"/>
  <c r="U32" i="88"/>
  <c r="Y32" i="88" s="1"/>
  <c r="AF32" i="88" s="1"/>
  <c r="AD32" i="88"/>
  <c r="Y33" i="88"/>
  <c r="AF33" i="88" s="1"/>
  <c r="AD33" i="88"/>
  <c r="Y34" i="88"/>
  <c r="AD34" i="88"/>
  <c r="T35" i="88"/>
  <c r="V35" i="88"/>
  <c r="W35" i="88"/>
  <c r="X35" i="88"/>
  <c r="AA35" i="88"/>
  <c r="AB35" i="88"/>
  <c r="AC35" i="88"/>
  <c r="T40" i="88"/>
  <c r="W40" i="88"/>
  <c r="AA40" i="88"/>
  <c r="AB40" i="88"/>
  <c r="AC40" i="88"/>
  <c r="T41" i="88"/>
  <c r="V41" i="88"/>
  <c r="W41" i="88"/>
  <c r="AA41" i="88"/>
  <c r="AC41" i="88"/>
  <c r="T42" i="88"/>
  <c r="U42" i="88"/>
  <c r="V42" i="88"/>
  <c r="X42" i="88"/>
  <c r="AA42" i="88"/>
  <c r="AB42" i="88"/>
  <c r="AC42" i="88"/>
  <c r="T43" i="88"/>
  <c r="U43" i="88"/>
  <c r="V43" i="88"/>
  <c r="W43" i="88"/>
  <c r="X43" i="88"/>
  <c r="AA43" i="88"/>
  <c r="AB43" i="88"/>
  <c r="AC43" i="88"/>
  <c r="B21" i="88" s="1"/>
  <c r="F21" i="88" s="1"/>
  <c r="W51" i="88"/>
  <c r="W52" i="88"/>
  <c r="B7" i="88"/>
  <c r="F7" i="88" s="1"/>
  <c r="B10" i="88"/>
  <c r="C10" i="88"/>
  <c r="C12" i="88" s="1"/>
  <c r="D46" i="88" s="1"/>
  <c r="D48" i="88" s="1"/>
  <c r="E10" i="88"/>
  <c r="J10" i="88" s="1"/>
  <c r="D12" i="88"/>
  <c r="H16" i="88"/>
  <c r="I16" i="88" s="1"/>
  <c r="J16" i="88"/>
  <c r="C24" i="88"/>
  <c r="D26" i="88"/>
  <c r="D18" i="88" s="1"/>
  <c r="C31" i="88"/>
  <c r="D31" i="88"/>
  <c r="E31" i="88"/>
  <c r="D34" i="88"/>
  <c r="F40" i="88"/>
  <c r="C46" i="88"/>
  <c r="C48" i="88" s="1"/>
  <c r="E46" i="88"/>
  <c r="E48" i="88" s="1"/>
  <c r="C53" i="88"/>
  <c r="D53" i="88"/>
  <c r="E53" i="88"/>
  <c r="C68" i="88"/>
  <c r="I68" i="88" s="1"/>
  <c r="E68" i="88"/>
  <c r="J68" i="88" s="1"/>
  <c r="C75" i="88"/>
  <c r="D75" i="88"/>
  <c r="E75" i="88"/>
  <c r="AD42" i="88" l="1"/>
  <c r="Y24" i="88"/>
  <c r="AF24" i="88" s="1"/>
  <c r="AF34" i="88"/>
  <c r="X26" i="88"/>
  <c r="E70" i="88"/>
  <c r="AB41" i="88"/>
  <c r="E24" i="88" s="1"/>
  <c r="AA44" i="88"/>
  <c r="AD23" i="88"/>
  <c r="AD26" i="88" s="1"/>
  <c r="AD17" i="88"/>
  <c r="AF23" i="88"/>
  <c r="W53" i="88"/>
  <c r="W42" i="88"/>
  <c r="W44" i="88" s="1"/>
  <c r="AF15" i="88"/>
  <c r="D36" i="88"/>
  <c r="W26" i="88"/>
  <c r="AD41" i="88"/>
  <c r="Y22" i="88"/>
  <c r="Y26" i="88" s="1"/>
  <c r="AC44" i="88"/>
  <c r="AD40" i="88"/>
  <c r="Y8" i="88"/>
  <c r="Y13" i="88"/>
  <c r="X41" i="88"/>
  <c r="AD35" i="88"/>
  <c r="Y43" i="88"/>
  <c r="B12" i="88"/>
  <c r="V17" i="88"/>
  <c r="I46" i="88"/>
  <c r="C56" i="88"/>
  <c r="I56" i="88" s="1"/>
  <c r="E78" i="88"/>
  <c r="J78" i="88" s="1"/>
  <c r="C17" i="9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Y35" i="88"/>
  <c r="AF31" i="88"/>
  <c r="AF35" i="88" s="1"/>
  <c r="Y17" i="88"/>
  <c r="AF13" i="88"/>
  <c r="C26" i="88"/>
  <c r="C18" i="88" s="1"/>
  <c r="B24" i="88"/>
  <c r="B26" i="88" s="1"/>
  <c r="B65" i="88" s="1"/>
  <c r="AD43" i="88"/>
  <c r="AF5" i="88"/>
  <c r="AF8" i="88" s="1"/>
  <c r="E80" i="88"/>
  <c r="I24" i="88"/>
  <c r="C34" i="88"/>
  <c r="C36" i="88" s="1"/>
  <c r="V40" i="88"/>
  <c r="V44" i="88" s="1"/>
  <c r="U35" i="88"/>
  <c r="E12" i="88"/>
  <c r="F10" i="88"/>
  <c r="F12" i="88" s="1"/>
  <c r="U40" i="88"/>
  <c r="J46" i="88"/>
  <c r="H10" i="88"/>
  <c r="T44" i="88"/>
  <c r="U41" i="88"/>
  <c r="X40" i="88"/>
  <c r="H21" i="88"/>
  <c r="J21" i="88"/>
  <c r="I21" i="88"/>
  <c r="J7" i="88"/>
  <c r="J12" i="88" s="1"/>
  <c r="I7" i="88"/>
  <c r="H7" i="88"/>
  <c r="C78" i="88"/>
  <c r="D56" i="88"/>
  <c r="E34" i="88"/>
  <c r="E36" i="88" s="1"/>
  <c r="B31" i="88"/>
  <c r="J24" i="88"/>
  <c r="I10" i="88"/>
  <c r="C70" i="88"/>
  <c r="E26" i="88"/>
  <c r="E18" i="88" s="1"/>
  <c r="Y42" i="88" l="1"/>
  <c r="AF42" i="88" s="1"/>
  <c r="AF17" i="88"/>
  <c r="AB44" i="88"/>
  <c r="Y41" i="88"/>
  <c r="AF41" i="88" s="1"/>
  <c r="J56" i="88"/>
  <c r="X44" i="88"/>
  <c r="C58" i="88"/>
  <c r="AF22" i="88"/>
  <c r="AF26" i="88" s="1"/>
  <c r="AD44" i="88"/>
  <c r="R55" i="105"/>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Y40" i="88"/>
  <c r="U44" i="88"/>
  <c r="AF43" i="88"/>
  <c r="B34" i="88"/>
  <c r="B36" i="88" s="1"/>
  <c r="H24" i="88"/>
  <c r="H34" i="88" s="1"/>
  <c r="J35" i="1" s="1"/>
  <c r="F24" i="88"/>
  <c r="F26" i="88" s="1"/>
  <c r="J26" i="88"/>
  <c r="J31" i="88"/>
  <c r="B18" i="88"/>
  <c r="F18" i="88" s="1"/>
  <c r="B43" i="88"/>
  <c r="F31" i="88"/>
  <c r="K10" i="88"/>
  <c r="K7" i="88"/>
  <c r="H12" i="88"/>
  <c r="K21" i="88"/>
  <c r="H31" i="88"/>
  <c r="J29" i="1" s="1"/>
  <c r="I78" i="88"/>
  <c r="C80" i="88"/>
  <c r="F65" i="88"/>
  <c r="B68" i="88"/>
  <c r="B70" i="88" s="1"/>
  <c r="J34" i="88"/>
  <c r="D58" i="88"/>
  <c r="I12" i="88"/>
  <c r="I31" i="88"/>
  <c r="I26" i="88"/>
  <c r="F34" i="88" l="1"/>
  <c r="K24" i="88"/>
  <c r="H26" i="88"/>
  <c r="K26" i="88"/>
  <c r="I36" i="88"/>
  <c r="K34" i="88"/>
  <c r="U54" i="105"/>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Y44" i="88"/>
  <c r="AF40" i="88"/>
  <c r="AF44" i="88" s="1"/>
  <c r="W54" i="88" s="1"/>
  <c r="W55" i="88" s="1"/>
  <c r="H68" i="88"/>
  <c r="K68" i="88" s="1"/>
  <c r="F43" i="88"/>
  <c r="B46" i="88"/>
  <c r="B48" i="88" s="1"/>
  <c r="B53" i="88"/>
  <c r="F62" i="88"/>
  <c r="D68" i="88"/>
  <c r="F68" i="88" s="1"/>
  <c r="F70" i="88" s="1"/>
  <c r="J65" i="88"/>
  <c r="J70" i="88" s="1"/>
  <c r="H65" i="88"/>
  <c r="I65" i="88"/>
  <c r="I70" i="88" s="1"/>
  <c r="H36" i="88"/>
  <c r="K31" i="88"/>
  <c r="F36" i="88"/>
  <c r="J36" i="88"/>
  <c r="B75" i="88"/>
  <c r="K12" i="88"/>
  <c r="K36" i="88" l="1"/>
  <c r="AK100" i="105"/>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H70" i="88"/>
  <c r="K65" i="88"/>
  <c r="K70" i="88" s="1"/>
  <c r="F53" i="88"/>
  <c r="F75" i="88"/>
  <c r="D70" i="88"/>
  <c r="D78" i="88"/>
  <c r="D80" i="88" s="1"/>
  <c r="B56" i="88"/>
  <c r="B58" i="88" s="1"/>
  <c r="F46" i="88"/>
  <c r="F48" i="88" s="1"/>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J53" i="88"/>
  <c r="J58" i="88" s="1"/>
  <c r="F78" i="88"/>
  <c r="H78" i="88"/>
  <c r="N78" i="88" s="1"/>
  <c r="B80" i="88"/>
  <c r="K43" i="88"/>
  <c r="K48" i="88" s="1"/>
  <c r="H48" i="88"/>
  <c r="F56" i="88"/>
  <c r="F58" i="88" s="1"/>
  <c r="H56" i="88"/>
  <c r="N56" i="88" s="1"/>
  <c r="H75" i="88"/>
  <c r="I75" i="88"/>
  <c r="I80" i="88" s="1"/>
  <c r="F80" i="88"/>
  <c r="J75" i="88"/>
  <c r="J80" i="88" s="1"/>
  <c r="AJ29" i="1" l="1"/>
  <c r="N53" i="88"/>
  <c r="BC29" i="1"/>
  <c r="N75" i="88"/>
  <c r="K56" i="88"/>
  <c r="AJ35" i="1"/>
  <c r="K78" i="88"/>
  <c r="BC35" i="1"/>
  <c r="N57" i="105"/>
  <c r="M58" i="105"/>
  <c r="L58" i="105"/>
  <c r="T58" i="105"/>
  <c r="S58" i="105"/>
  <c r="R59" i="105"/>
  <c r="AK102" i="105"/>
  <c r="Q60" i="105"/>
  <c r="R60" i="105" s="1"/>
  <c r="AA101" i="105"/>
  <c r="AE100" i="105"/>
  <c r="J59" i="105" s="1"/>
  <c r="K59" i="105" s="1"/>
  <c r="AU16" i="89"/>
  <c r="AL17" i="89"/>
  <c r="K42" i="89"/>
  <c r="AA18" i="89"/>
  <c r="K19" i="89"/>
  <c r="C24" i="89"/>
  <c r="C30" i="89" s="1"/>
  <c r="E30" i="89"/>
  <c r="K75" i="88"/>
  <c r="H80" i="88"/>
  <c r="N80" i="88" s="1"/>
  <c r="H58" i="88"/>
  <c r="N58" i="88" s="1"/>
  <c r="K53" i="88"/>
  <c r="K58" i="88" s="1"/>
  <c r="K80" i="88" l="1"/>
  <c r="AA102" i="105"/>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M84" i="105" l="1"/>
  <c r="L84" i="105"/>
  <c r="AK128" i="105"/>
  <c r="Q86" i="105"/>
  <c r="R86" i="105" s="1"/>
  <c r="U84" i="105"/>
  <c r="AA127" i="105"/>
  <c r="AE126" i="105"/>
  <c r="J85" i="105" s="1"/>
  <c r="K85" i="105" s="1"/>
  <c r="T85" i="105"/>
  <c r="S85" i="105"/>
  <c r="N83" i="105"/>
  <c r="DO4" i="84"/>
  <c r="DQ4" i="84" s="1"/>
  <c r="DP4" i="84"/>
  <c r="DU4" i="84"/>
  <c r="DU8" i="84" s="1"/>
  <c r="DY4" i="84"/>
  <c r="DO5" i="84"/>
  <c r="DQ5" i="84" s="1"/>
  <c r="DP5" i="84"/>
  <c r="DU5" i="84"/>
  <c r="DY5" i="84"/>
  <c r="DO6" i="84"/>
  <c r="DP6" i="84"/>
  <c r="DU6" i="84"/>
  <c r="DY6" i="84"/>
  <c r="DO7" i="84"/>
  <c r="DP7" i="84"/>
  <c r="DU7" i="84"/>
  <c r="DY7" i="84"/>
  <c r="DY8" i="84" s="1"/>
  <c r="DS8" i="84"/>
  <c r="DS14" i="84" s="1"/>
  <c r="DT8" i="84"/>
  <c r="DW8" i="84"/>
  <c r="DX8" i="84"/>
  <c r="DX14" i="84" s="1"/>
  <c r="DO10" i="84"/>
  <c r="DQ10" i="84" s="1"/>
  <c r="I11" i="84" s="1"/>
  <c r="DP10" i="84"/>
  <c r="DU10" i="84"/>
  <c r="DY10" i="84"/>
  <c r="DO11" i="84"/>
  <c r="DQ11" i="84" s="1"/>
  <c r="I12" i="84" s="1"/>
  <c r="DP11" i="84"/>
  <c r="DU11" i="84"/>
  <c r="DY11" i="84"/>
  <c r="DO12" i="84"/>
  <c r="I13" i="84" s="1"/>
  <c r="DP12" i="84"/>
  <c r="DU12" i="84"/>
  <c r="DY12" i="84"/>
  <c r="CR54" i="84" s="1"/>
  <c r="DY13" i="84"/>
  <c r="DR14" i="84"/>
  <c r="DT14" i="84"/>
  <c r="DW14" i="84"/>
  <c r="DO19" i="84"/>
  <c r="DQ19" i="84" s="1"/>
  <c r="DO20" i="84"/>
  <c r="DQ20" i="84" s="1"/>
  <c r="DO21" i="84"/>
  <c r="DQ21" i="84" s="1"/>
  <c r="DO22" i="84"/>
  <c r="DQ22" i="84" s="1"/>
  <c r="DO23" i="84"/>
  <c r="DQ23" i="84"/>
  <c r="DO24" i="84"/>
  <c r="DQ24" i="84" s="1"/>
  <c r="DO25" i="84"/>
  <c r="DQ25" i="84"/>
  <c r="DO26" i="84"/>
  <c r="DQ26" i="84" s="1"/>
  <c r="DO27" i="84"/>
  <c r="DQ27" i="84"/>
  <c r="DO28" i="84"/>
  <c r="DQ28" i="84" s="1"/>
  <c r="DO29" i="84"/>
  <c r="DQ29" i="84" s="1"/>
  <c r="DO30" i="84"/>
  <c r="DQ30" i="84" s="1"/>
  <c r="DO31" i="84"/>
  <c r="DQ31" i="84" s="1"/>
  <c r="DO32" i="84"/>
  <c r="DQ32" i="84" s="1"/>
  <c r="DO33" i="84"/>
  <c r="DQ33" i="84" s="1"/>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CZ9" i="84"/>
  <c r="DE9" i="84"/>
  <c r="DI9" i="84"/>
  <c r="CY10" i="84"/>
  <c r="CZ10" i="84"/>
  <c r="DE10" i="84"/>
  <c r="DI10" i="84"/>
  <c r="CY11" i="84"/>
  <c r="CZ11" i="84"/>
  <c r="DE11" i="84"/>
  <c r="DI11" i="84"/>
  <c r="CY12" i="84"/>
  <c r="DA12" i="84" s="1"/>
  <c r="CZ12" i="84"/>
  <c r="DE12" i="84"/>
  <c r="DI12" i="84"/>
  <c r="CY13" i="84"/>
  <c r="DA13" i="84" s="1"/>
  <c r="CZ13" i="84"/>
  <c r="DE13" i="84"/>
  <c r="DI13" i="84"/>
  <c r="CY14" i="84"/>
  <c r="CZ14" i="84"/>
  <c r="DE14" i="84"/>
  <c r="DI14" i="84"/>
  <c r="CY15" i="84"/>
  <c r="CZ15" i="84"/>
  <c r="DE15" i="84"/>
  <c r="DI15" i="84"/>
  <c r="CY16" i="84"/>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s="1"/>
  <c r="CY34" i="84"/>
  <c r="DA34" i="84" s="1"/>
  <c r="CY35" i="84"/>
  <c r="DA35" i="84" s="1"/>
  <c r="CY36" i="84"/>
  <c r="DA36" i="84" s="1"/>
  <c r="CY37" i="84"/>
  <c r="DA37" i="84" s="1"/>
  <c r="CY38" i="84"/>
  <c r="DA38" i="84" s="1"/>
  <c r="CY39" i="84"/>
  <c r="DA39" i="84" s="1"/>
  <c r="CY40" i="84"/>
  <c r="DA40" i="84" s="1"/>
  <c r="CY41" i="84"/>
  <c r="DA41" i="84"/>
  <c r="CY42" i="84"/>
  <c r="DA42" i="84" s="1"/>
  <c r="CY43" i="84"/>
  <c r="DA43" i="84" s="1"/>
  <c r="CY44" i="84"/>
  <c r="DA44" i="84" s="1"/>
  <c r="CZ45" i="84"/>
  <c r="DC45" i="84"/>
  <c r="DG45" i="84"/>
  <c r="DD29" i="84"/>
  <c r="DE29" i="84" s="1"/>
  <c r="DD30" i="84"/>
  <c r="CG35" i="84"/>
  <c r="CL8" i="84"/>
  <c r="CM8" i="84"/>
  <c r="CN8" i="84"/>
  <c r="CK9" i="84"/>
  <c r="CM9" i="84"/>
  <c r="CN9" i="84"/>
  <c r="CK10" i="84"/>
  <c r="CL10" i="84"/>
  <c r="CN10" i="84"/>
  <c r="CR10" i="84"/>
  <c r="CR13" i="84" s="1"/>
  <c r="CL26" i="84" s="1"/>
  <c r="CK11" i="84"/>
  <c r="CL11" i="84"/>
  <c r="CM11" i="84"/>
  <c r="CL12" i="84"/>
  <c r="CM12" i="84"/>
  <c r="CL13" i="84"/>
  <c r="CM13" i="84"/>
  <c r="CK17" i="84"/>
  <c r="CL17" i="84"/>
  <c r="CM17" i="84"/>
  <c r="CL18" i="84"/>
  <c r="CM18" i="84"/>
  <c r="CN18" i="84"/>
  <c r="CR19" i="84"/>
  <c r="CM26" i="84" s="1"/>
  <c r="CR22" i="84"/>
  <c r="CL40" i="84"/>
  <c r="CM40" i="84"/>
  <c r="CN40" i="84"/>
  <c r="CK41" i="84"/>
  <c r="CM41" i="84"/>
  <c r="CN41" i="84"/>
  <c r="CK42" i="84"/>
  <c r="CL42" i="84"/>
  <c r="CN42" i="84"/>
  <c r="CR42" i="84"/>
  <c r="CR45" i="84" s="1"/>
  <c r="CL56" i="84" s="1"/>
  <c r="CK43" i="84"/>
  <c r="CL43" i="84"/>
  <c r="CM43" i="84"/>
  <c r="CL44" i="84"/>
  <c r="CM44" i="84"/>
  <c r="CL45" i="84"/>
  <c r="CM45" i="84"/>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4" i="84"/>
  <c r="D34" i="84" s="1"/>
  <c r="F37" i="84"/>
  <c r="D39" i="84"/>
  <c r="D40" i="84"/>
  <c r="E41" i="84"/>
  <c r="F41" i="84"/>
  <c r="DO8" i="84" l="1"/>
  <c r="DO14" i="84" s="1"/>
  <c r="DP8" i="84"/>
  <c r="DP14" i="84" s="1"/>
  <c r="DA9" i="84"/>
  <c r="DQ6" i="84"/>
  <c r="DA16" i="84"/>
  <c r="AK129" i="105"/>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1" i="84"/>
  <c r="E42"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7" i="84"/>
  <c r="Q34" i="84"/>
  <c r="F35" i="84"/>
  <c r="F36" i="84"/>
  <c r="DH39" i="84" l="1"/>
  <c r="DI39" i="84" s="1"/>
  <c r="N85" i="105"/>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8" i="84" s="1"/>
  <c r="R27" i="84"/>
  <c r="Q28" i="84"/>
  <c r="T26" i="84"/>
  <c r="X12" i="84"/>
  <c r="F42" i="84"/>
  <c r="D42" i="84" s="1"/>
  <c r="AA45" i="84"/>
  <c r="AH45" i="84" s="1"/>
  <c r="AK58" i="84"/>
  <c r="AK56" i="84"/>
  <c r="X33" i="84"/>
  <c r="X55" i="84" s="1"/>
  <c r="AK63" i="84"/>
  <c r="AL63" i="84" s="1"/>
  <c r="S14" i="84"/>
  <c r="D20" i="84"/>
  <c r="D35" i="84"/>
  <c r="D36" i="84"/>
  <c r="AA130" i="105" l="1"/>
  <c r="AE129" i="105"/>
  <c r="J88" i="105" s="1"/>
  <c r="K88" i="105" s="1"/>
  <c r="M87" i="105"/>
  <c r="L87" i="105"/>
  <c r="U87" i="105"/>
  <c r="T88" i="105"/>
  <c r="S88" i="105"/>
  <c r="AK131" i="105"/>
  <c r="Q89" i="105"/>
  <c r="R89" i="105" s="1"/>
  <c r="N86" i="105"/>
  <c r="J13" i="84"/>
  <c r="D13" i="84" s="1"/>
  <c r="E13" i="84" s="1"/>
  <c r="CJ11" i="84" s="1"/>
  <c r="CN11"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F13" i="84" l="1"/>
  <c r="CJ43" i="84" s="1"/>
  <c r="CN43" i="84" s="1"/>
  <c r="T89" i="105"/>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D31"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F31" i="84" s="1"/>
  <c r="F73" i="1" l="1"/>
  <c r="E31" i="84"/>
  <c r="X16" i="84"/>
  <c r="BA13" i="84" s="1"/>
  <c r="X37" i="84"/>
  <c r="X59" i="84" s="1"/>
  <c r="AA133" i="105"/>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AP37" i="76" l="1"/>
  <c r="AN72" i="76"/>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O18" i="76"/>
  <c r="AN18" i="76"/>
  <c r="AO37" i="76"/>
  <c r="AN37" i="76"/>
  <c r="AP73" i="76"/>
  <c r="AP75" i="76" s="1"/>
  <c r="AP82" i="76" s="1"/>
  <c r="AO48" i="76"/>
  <c r="AF18" i="76"/>
  <c r="AF72" i="76"/>
  <c r="AN48" i="76"/>
  <c r="AN66" i="76"/>
  <c r="AN73" i="76" s="1"/>
  <c r="AN75" i="76" s="1"/>
  <c r="AN82" i="76" s="1"/>
  <c r="AF37" i="76"/>
  <c r="AF31" i="76"/>
  <c r="AF25" i="76"/>
  <c r="AF48" i="76"/>
  <c r="AF66" i="76"/>
  <c r="AF73" i="76" l="1"/>
  <c r="AF75" i="76" s="1"/>
  <c r="AF82" i="76" s="1"/>
  <c r="AP49" i="76"/>
  <c r="AP51" i="76" s="1"/>
  <c r="M99" i="105"/>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E65" i="1"/>
  <c r="BD65" i="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BG72" i="1" l="1"/>
  <c r="BG74" i="1" s="1"/>
  <c r="BG81" i="1" s="1"/>
  <c r="BF72" i="1"/>
  <c r="AK72" i="1"/>
  <c r="AK74" i="1" s="1"/>
  <c r="AK81" i="1" s="1"/>
  <c r="I47" i="69" s="1"/>
  <c r="BD72" i="1"/>
  <c r="BD74" i="1" s="1"/>
  <c r="BD81" i="1" s="1"/>
  <c r="AJ72" i="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4" i="1"/>
  <c r="BF81" i="1" s="1"/>
  <c r="BF54"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I53" i="69" l="1"/>
  <c r="L53" i="69" s="1"/>
  <c r="U110" i="105"/>
  <c r="N109" i="105"/>
  <c r="AA153" i="105"/>
  <c r="AE152" i="105"/>
  <c r="J111" i="105" s="1"/>
  <c r="K111" i="105" s="1"/>
  <c r="AK154" i="105"/>
  <c r="Q112" i="105"/>
  <c r="R112" i="105" s="1"/>
  <c r="T111" i="105"/>
  <c r="S111" i="105"/>
  <c r="M110" i="105"/>
  <c r="L110" i="105"/>
  <c r="I52" i="69"/>
  <c r="L52" i="69" s="1"/>
  <c r="E46" i="3"/>
  <c r="F47" i="75" s="1"/>
  <c r="BF53" i="1"/>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7"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F72" i="1" l="1"/>
  <c r="AF74" i="1" s="1"/>
  <c r="AF81" i="1" s="1"/>
  <c r="I42" i="69" s="1"/>
  <c r="AH72" i="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E48" i="1"/>
  <c r="AH48" i="1"/>
  <c r="AH50" i="1" s="1"/>
  <c r="X48" i="1"/>
  <c r="X50" i="1" s="1"/>
  <c r="X53" i="1" s="1"/>
  <c r="X72" i="1"/>
  <c r="X74" i="1" s="1"/>
  <c r="X81" i="1" s="1"/>
  <c r="I33" i="69" s="1"/>
  <c r="AE50" i="1" l="1"/>
  <c r="AE53" i="1" s="1"/>
  <c r="AD50" i="1"/>
  <c r="U114" i="105"/>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BD73" i="76" l="1"/>
  <c r="BD75" i="76" s="1"/>
  <c r="BD82" i="76" s="1"/>
  <c r="Z73" i="76"/>
  <c r="Z75" i="76" s="1"/>
  <c r="Z82" i="76" s="1"/>
  <c r="U118" i="105"/>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C71" i="1"/>
  <c r="BB71" i="1"/>
  <c r="BA71" i="1"/>
  <c r="BC65" i="1"/>
  <c r="BB65" i="1"/>
  <c r="BA65" i="1"/>
  <c r="BC47" i="1"/>
  <c r="BB47" i="1"/>
  <c r="BB36" i="1"/>
  <c r="BA36" i="1"/>
  <c r="BC30" i="1"/>
  <c r="BB30" i="1"/>
  <c r="BA30" i="1"/>
  <c r="BC24" i="1"/>
  <c r="BB24" i="1"/>
  <c r="BA24" i="1"/>
  <c r="BC17" i="1"/>
  <c r="BB17" i="1"/>
  <c r="BA17" i="1"/>
  <c r="AS11" i="76"/>
  <c r="AR71" i="1"/>
  <c r="AR65" i="1"/>
  <c r="AR47" i="1"/>
  <c r="AR36" i="1"/>
  <c r="AR30" i="1"/>
  <c r="AR24" i="1"/>
  <c r="AR17" i="1"/>
  <c r="BA48" i="1" l="1"/>
  <c r="BA50" i="1" s="1"/>
  <c r="BA53" i="1" s="1"/>
  <c r="M142" i="105"/>
  <c r="N142" i="105" s="1"/>
  <c r="L142" i="105"/>
  <c r="AE184" i="105"/>
  <c r="J143" i="105" s="1"/>
  <c r="K143" i="105" s="1"/>
  <c r="AA185" i="105"/>
  <c r="T143" i="105"/>
  <c r="U143" i="105" s="1"/>
  <c r="S143" i="105"/>
  <c r="AK186" i="105"/>
  <c r="Q144" i="105"/>
  <c r="R144" i="105" s="1"/>
  <c r="BD11" i="76"/>
  <c r="BC48" i="1"/>
  <c r="BC50" i="1" s="1"/>
  <c r="BC53" i="1" s="1"/>
  <c r="AY54" i="76" s="1"/>
  <c r="AU10" i="1"/>
  <c r="E63" i="3"/>
  <c r="BC72" i="1"/>
  <c r="BD54" i="76"/>
  <c r="BA72" i="1"/>
  <c r="BB48" i="1"/>
  <c r="BB72" i="1"/>
  <c r="AR48" i="1"/>
  <c r="AR50" i="1" s="1"/>
  <c r="AR53" i="1" s="1"/>
  <c r="AQ54" i="76" s="1"/>
  <c r="AR72" i="1"/>
  <c r="AR74" i="1" s="1"/>
  <c r="AR81" i="1" s="1"/>
  <c r="I54" i="69" s="1"/>
  <c r="BC54" i="76"/>
  <c r="AM54" i="76"/>
  <c r="BB50" i="1" l="1"/>
  <c r="BB53" i="1" s="1"/>
  <c r="AX54" i="76" s="1"/>
  <c r="AA186" i="105"/>
  <c r="AE185" i="105"/>
  <c r="J144" i="105" s="1"/>
  <c r="K144" i="105" s="1"/>
  <c r="AK187" i="105"/>
  <c r="Q145" i="105"/>
  <c r="R145" i="105" s="1"/>
  <c r="M143" i="105"/>
  <c r="N143" i="105" s="1"/>
  <c r="L143" i="105"/>
  <c r="T144" i="105"/>
  <c r="U144" i="105" s="1"/>
  <c r="S144" i="105"/>
  <c r="BC74" i="1"/>
  <c r="BC81" i="1" s="1"/>
  <c r="BB74" i="1"/>
  <c r="BB81" i="1" s="1"/>
  <c r="BA74" i="1"/>
  <c r="BA81" i="1" s="1"/>
  <c r="E48" i="3"/>
  <c r="F49" i="75" s="1"/>
  <c r="G49" i="75" s="1"/>
  <c r="L54" i="69"/>
  <c r="A57" i="3"/>
  <c r="A68" i="69"/>
  <c r="AU11" i="76"/>
  <c r="E44" i="3"/>
  <c r="L50" i="69"/>
  <c r="AT11" i="76"/>
  <c r="A58" i="3"/>
  <c r="AB10" i="1"/>
  <c r="AA11" i="76" s="1"/>
  <c r="BB54" i="76"/>
  <c r="AW54" i="76"/>
  <c r="AZ54" i="76"/>
  <c r="M144" i="105" l="1"/>
  <c r="N144" i="105" s="1"/>
  <c r="L144" i="105"/>
  <c r="T145" i="105"/>
  <c r="U145" i="105" s="1"/>
  <c r="S145" i="105"/>
  <c r="Q146" i="105"/>
  <c r="R146" i="105" s="1"/>
  <c r="AK188" i="105"/>
  <c r="AE186" i="105"/>
  <c r="J145" i="105" s="1"/>
  <c r="K145" i="105" s="1"/>
  <c r="AA187" i="105"/>
  <c r="I71" i="69"/>
  <c r="L71" i="69" s="1"/>
  <c r="E60" i="3"/>
  <c r="I72" i="69"/>
  <c r="L72" i="69" s="1"/>
  <c r="E61"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7"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A4" i="55" l="1"/>
  <c r="A4" i="3"/>
  <c r="C4" i="56"/>
  <c r="K73" i="79"/>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AU48" i="1"/>
  <c r="AU50" i="1" s="1"/>
  <c r="AU53" i="1" s="1"/>
  <c r="AT54" i="76" s="1"/>
  <c r="AT48" i="1"/>
  <c r="AT50" i="1" s="1"/>
  <c r="AT53" i="1" s="1"/>
  <c r="AS54" i="76" s="1"/>
  <c r="E15" i="5"/>
  <c r="F37" i="5"/>
  <c r="I37" i="5" s="1"/>
  <c r="F16" i="5"/>
  <c r="E16" i="5" s="1"/>
  <c r="H16" i="5" s="1"/>
  <c r="E22" i="5"/>
  <c r="E28" i="5"/>
  <c r="E44" i="5"/>
  <c r="I57" i="69" l="1"/>
  <c r="I56" i="69"/>
  <c r="F31" i="5"/>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F34" i="69" s="1"/>
  <c r="F60" i="69" s="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8" i="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D55" i="76"/>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C26" i="3"/>
  <c r="B29" i="75" s="1"/>
  <c r="B26" i="3"/>
  <c r="AG88" i="1" l="1"/>
  <c r="AQ58" i="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5" i="3"/>
  <c r="F65" i="3" s="1"/>
  <c r="H76" i="69"/>
  <c r="K76" i="69" s="1"/>
  <c r="D59" i="3"/>
  <c r="F59" i="3" s="1"/>
  <c r="H70" i="69"/>
  <c r="K70" i="69" s="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7"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5" i="69"/>
  <c r="O71" i="69"/>
  <c r="O74" i="69"/>
  <c r="O72" i="69"/>
  <c r="O76" i="69"/>
  <c r="O69" i="69"/>
  <c r="O70" i="69"/>
  <c r="N74"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7" i="69"/>
  <c r="N77" i="69"/>
  <c r="P52" i="69"/>
  <c r="P68" i="69"/>
  <c r="P72" i="69"/>
  <c r="P51" i="69"/>
  <c r="P53" i="69"/>
  <c r="P71" i="69"/>
  <c r="P70" i="69"/>
  <c r="P73" i="69"/>
  <c r="AF83" i="1"/>
  <c r="P74" i="69"/>
  <c r="V54" i="1"/>
  <c r="V55" i="76" s="1"/>
  <c r="P75" i="69"/>
  <c r="P69" i="69"/>
  <c r="P76" i="69"/>
  <c r="P50" i="69"/>
  <c r="P46" i="69"/>
  <c r="P54" i="69"/>
  <c r="P33" i="69"/>
  <c r="BH14" i="1"/>
  <c r="H15" i="82" s="1"/>
  <c r="BH21" i="1"/>
  <c r="BI21" i="1" s="1"/>
  <c r="P57" i="69"/>
  <c r="BH33" i="1"/>
  <c r="BI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L25" i="69" s="1"/>
  <c r="P77" i="69"/>
  <c r="L23" i="69"/>
  <c r="N54" i="1"/>
  <c r="N55" i="76" s="1"/>
  <c r="N59" i="76" s="1"/>
  <c r="O78" i="69"/>
  <c r="O80" i="69" s="1"/>
  <c r="O82" i="69" s="1"/>
  <c r="F13" i="75"/>
  <c r="G13" i="75" s="1"/>
  <c r="R58" i="1"/>
  <c r="H27" i="69" s="1"/>
  <c r="F28" i="75"/>
  <c r="G28" i="75" s="1"/>
  <c r="E11" i="75"/>
  <c r="E53" i="75" s="1"/>
  <c r="BI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T58" i="1" s="1"/>
  <c r="E11" i="3"/>
  <c r="H54" i="1"/>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I77" i="69" s="1"/>
  <c r="F15" i="75"/>
  <c r="G15" i="75" s="1"/>
  <c r="F21" i="75"/>
  <c r="G21" i="75" s="1"/>
  <c r="F18" i="75"/>
  <c r="G18" i="75" s="1"/>
  <c r="G8" i="3"/>
  <c r="F8" i="3"/>
  <c r="F37" i="75"/>
  <c r="G37" i="75" s="1"/>
  <c r="F23" i="75"/>
  <c r="G23" i="75" s="1"/>
  <c r="F12" i="75"/>
  <c r="G12" i="75" s="1"/>
  <c r="E28" i="3"/>
  <c r="E53" i="3" s="1"/>
  <c r="E67" i="3" s="1"/>
  <c r="D17" i="3"/>
  <c r="F17" i="3" s="1"/>
  <c r="K23" i="69"/>
  <c r="N23" i="69" s="1"/>
  <c r="L12" i="69"/>
  <c r="L16" i="69" s="1"/>
  <c r="L34" i="69" s="1"/>
  <c r="L60" i="69" s="1"/>
  <c r="F77" i="69"/>
  <c r="K11" i="69"/>
  <c r="F53" i="75" l="1"/>
  <c r="G53" i="75"/>
  <c r="J53" i="75" s="1"/>
  <c r="E60" i="69"/>
  <c r="E77" i="69" s="1"/>
  <c r="N11" i="69"/>
  <c r="AW15" i="1" l="1"/>
  <c r="AW64" i="1"/>
  <c r="AW34" i="1"/>
  <c r="AW22" i="1"/>
  <c r="AW45" i="1"/>
  <c r="AW70" i="1"/>
  <c r="AW35" i="1"/>
  <c r="AW78" i="1"/>
  <c r="AW46" i="1"/>
  <c r="AW40" i="1"/>
  <c r="AW38" i="1"/>
  <c r="AW75" i="1"/>
  <c r="AW27" i="1"/>
  <c r="AW56" i="1"/>
  <c r="AW28" i="1"/>
  <c r="AW44" i="1"/>
  <c r="AW16" i="1"/>
  <c r="AW23" i="1"/>
  <c r="AW55" i="1"/>
  <c r="AW39" i="1"/>
  <c r="AW68" i="1"/>
  <c r="BH68" i="1" s="1"/>
  <c r="AW69" i="1"/>
  <c r="AW73" i="1"/>
  <c r="AW29" i="1"/>
  <c r="AW63" i="1"/>
  <c r="AW43" i="1"/>
  <c r="AW76" i="1"/>
  <c r="AW77" i="1"/>
  <c r="AW62" i="1"/>
  <c r="BH62" i="1" s="1"/>
  <c r="BH29" i="1" l="1"/>
  <c r="BH75" i="1"/>
  <c r="H76" i="82" s="1"/>
  <c r="BH76" i="1"/>
  <c r="BI76" i="1" s="1"/>
  <c r="BH23" i="1"/>
  <c r="BI23" i="1" s="1"/>
  <c r="BH56" i="1"/>
  <c r="H57" i="82" s="1"/>
  <c r="BH40" i="1"/>
  <c r="BI40" i="1" s="1"/>
  <c r="BH78" i="1"/>
  <c r="BI78" i="1" s="1"/>
  <c r="BH16" i="1"/>
  <c r="H17" i="82" s="1"/>
  <c r="BH46" i="1"/>
  <c r="H47" i="82" s="1"/>
  <c r="BH45" i="1"/>
  <c r="BI45" i="1" s="1"/>
  <c r="BH15" i="1"/>
  <c r="BI15" i="1" s="1"/>
  <c r="BH77" i="1"/>
  <c r="BI77" i="1" s="1"/>
  <c r="BH43" i="1"/>
  <c r="H44" i="82" s="1"/>
  <c r="BH55" i="1"/>
  <c r="H56" i="82" s="1"/>
  <c r="BH39" i="1"/>
  <c r="BH27" i="1"/>
  <c r="BI27" i="1" s="1"/>
  <c r="BH22" i="1"/>
  <c r="BH73" i="1"/>
  <c r="H74" i="82" s="1"/>
  <c r="BH70" i="1"/>
  <c r="BI70" i="1" s="1"/>
  <c r="BH69" i="1"/>
  <c r="BI69" i="1" s="1"/>
  <c r="BI68" i="1"/>
  <c r="BH64" i="1"/>
  <c r="BI64" i="1" s="1"/>
  <c r="BH63" i="1"/>
  <c r="BI63" i="1" s="1"/>
  <c r="BH44" i="1"/>
  <c r="H45" i="82" s="1"/>
  <c r="BH34" i="1"/>
  <c r="BI34" i="1" s="1"/>
  <c r="BI62" i="1"/>
  <c r="BH28" i="1"/>
  <c r="H30" i="82"/>
  <c r="BI29" i="1"/>
  <c r="H41" i="82"/>
  <c r="BH38" i="1"/>
  <c r="H39" i="82" s="1"/>
  <c r="BH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BI39" i="1" l="1"/>
  <c r="H23" i="82"/>
  <c r="H24" i="82"/>
  <c r="BI16" i="1"/>
  <c r="H46" i="82"/>
  <c r="K46" i="82" s="1"/>
  <c r="BH30" i="1"/>
  <c r="BI73" i="1"/>
  <c r="H78" i="82"/>
  <c r="K78" i="82" s="1"/>
  <c r="BH17" i="1"/>
  <c r="H79" i="82"/>
  <c r="K79" i="82" s="1"/>
  <c r="BI46" i="1"/>
  <c r="H16" i="82"/>
  <c r="H18" i="82" s="1"/>
  <c r="F16" i="82"/>
  <c r="F18" i="82" s="1"/>
  <c r="F26" i="55"/>
  <c r="H28" i="82"/>
  <c r="K28" i="82" s="1"/>
  <c r="H77" i="82"/>
  <c r="G77" i="82" s="1"/>
  <c r="BI56" i="1"/>
  <c r="BI44" i="1"/>
  <c r="BI75" i="1"/>
  <c r="H40" i="82"/>
  <c r="G40" i="82" s="1"/>
  <c r="H65" i="82"/>
  <c r="G65" i="82" s="1"/>
  <c r="H64" i="82"/>
  <c r="K64" i="82" s="1"/>
  <c r="BI55" i="1"/>
  <c r="H70" i="82"/>
  <c r="K70" i="82" s="1"/>
  <c r="BH24" i="1"/>
  <c r="BI22" i="1"/>
  <c r="H69" i="82"/>
  <c r="K69" i="82" s="1"/>
  <c r="BH71" i="1"/>
  <c r="H71" i="82"/>
  <c r="G71" i="82" s="1"/>
  <c r="BH65" i="1"/>
  <c r="H35" i="82"/>
  <c r="G35" i="82" s="1"/>
  <c r="BI28" i="1"/>
  <c r="BI30" i="1" s="1"/>
  <c r="H29" i="82"/>
  <c r="H63" i="82"/>
  <c r="K63" i="82" s="1"/>
  <c r="F31" i="82"/>
  <c r="F66" i="82"/>
  <c r="BI17" i="1"/>
  <c r="BI65" i="1"/>
  <c r="K41" i="82"/>
  <c r="G41" i="82"/>
  <c r="G44" i="82"/>
  <c r="K30" i="82"/>
  <c r="G30" i="82"/>
  <c r="F37" i="82"/>
  <c r="F72" i="82"/>
  <c r="K47" i="82"/>
  <c r="G47" i="82"/>
  <c r="BI71" i="1"/>
  <c r="G78" i="82"/>
  <c r="K57" i="82"/>
  <c r="G57" i="82"/>
  <c r="K76" i="82"/>
  <c r="G76" i="82"/>
  <c r="K24" i="82"/>
  <c r="G24" i="82"/>
  <c r="K23" i="82"/>
  <c r="H25" i="82"/>
  <c r="G23" i="82"/>
  <c r="F48" i="82"/>
  <c r="K74" i="82"/>
  <c r="G74" i="82"/>
  <c r="F25" i="82"/>
  <c r="G39" i="82"/>
  <c r="K17" i="82"/>
  <c r="G17" i="82"/>
  <c r="K45" i="82"/>
  <c r="G45" i="82"/>
  <c r="K56" i="82"/>
  <c r="G56" i="82"/>
  <c r="G36" i="82"/>
  <c r="BI35" i="1"/>
  <c r="BH36" i="1"/>
  <c r="BI43" i="1"/>
  <c r="BI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AW48" i="1"/>
  <c r="H48" i="82" l="1"/>
  <c r="BI24" i="1"/>
  <c r="AW50" i="1"/>
  <c r="F12" i="55"/>
  <c r="F16" i="55" s="1"/>
  <c r="G46" i="82"/>
  <c r="G79" i="82"/>
  <c r="K71" i="82"/>
  <c r="K65" i="82"/>
  <c r="G28" i="82"/>
  <c r="K16" i="82"/>
  <c r="K77" i="82"/>
  <c r="G16" i="82"/>
  <c r="G18" i="82" s="1"/>
  <c r="H37" i="82"/>
  <c r="G64" i="82"/>
  <c r="K40" i="82"/>
  <c r="K35" i="82"/>
  <c r="H31" i="82"/>
  <c r="G70" i="82"/>
  <c r="H72" i="82"/>
  <c r="G69" i="82"/>
  <c r="G63" i="82"/>
  <c r="BH72" i="1"/>
  <c r="BH74" i="1" s="1"/>
  <c r="BH81" i="1" s="1"/>
  <c r="K29" i="82"/>
  <c r="H66" i="82"/>
  <c r="BI72" i="1"/>
  <c r="BI74" i="1" s="1"/>
  <c r="BI81" i="1" s="1"/>
  <c r="G29" i="82"/>
  <c r="K25" i="82"/>
  <c r="F49" i="82"/>
  <c r="F51" i="82" s="1"/>
  <c r="G37" i="82"/>
  <c r="F73" i="82"/>
  <c r="F75" i="82" s="1"/>
  <c r="F81" i="82" s="1"/>
  <c r="G48" i="82"/>
  <c r="G25" i="82"/>
  <c r="BI47" i="1"/>
  <c r="BI36" i="1"/>
  <c r="L31" i="79"/>
  <c r="L25" i="79"/>
  <c r="J73" i="79"/>
  <c r="J75" i="79" s="1"/>
  <c r="J81" i="79" s="1"/>
  <c r="I25" i="79"/>
  <c r="J49" i="79"/>
  <c r="J51" i="79" s="1"/>
  <c r="I31" i="79"/>
  <c r="I18" i="79"/>
  <c r="L72" i="79"/>
  <c r="I72" i="79"/>
  <c r="L66" i="79"/>
  <c r="I66" i="79"/>
  <c r="I37" i="79"/>
  <c r="I48" i="79"/>
  <c r="K66" i="82" l="1"/>
  <c r="K72" i="82"/>
  <c r="K31" i="82"/>
  <c r="G12" i="55"/>
  <c r="G16" i="55" s="1"/>
  <c r="G31" i="82"/>
  <c r="G49" i="82" s="1"/>
  <c r="G51" i="82" s="1"/>
  <c r="H49" i="82"/>
  <c r="H51" i="82" s="1"/>
  <c r="G66" i="82"/>
  <c r="H73" i="82"/>
  <c r="H75" i="82" s="1"/>
  <c r="H81" i="82" s="1"/>
  <c r="G72" i="82"/>
  <c r="K73" i="82"/>
  <c r="BI48" i="1"/>
  <c r="I49" i="79"/>
  <c r="L73" i="79"/>
  <c r="I73" i="79"/>
  <c r="K75" i="82" l="1"/>
  <c r="L75" i="79"/>
  <c r="BI50" i="1"/>
  <c r="G73" i="82"/>
  <c r="G75" i="82" s="1"/>
  <c r="G81" i="82" s="1"/>
  <c r="I51" i="79"/>
  <c r="I75" i="79"/>
  <c r="L81" i="79" l="1"/>
  <c r="K81" i="82"/>
  <c r="I81" i="79"/>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K30" i="69" s="1"/>
  <c r="N30" i="69" s="1"/>
  <c r="P30" i="69" s="1"/>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H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I54" i="1"/>
  <c r="G66" i="75"/>
  <c r="V53" i="1"/>
  <c r="Y53" i="1" s="1"/>
  <c r="I55" i="79"/>
  <c r="L55" i="79"/>
  <c r="G63" i="75"/>
  <c r="P12" i="69"/>
  <c r="AW53" i="1" l="1"/>
  <c r="BH53" i="1" s="1"/>
  <c r="BI53" i="1" s="1"/>
  <c r="BI58" i="1" s="1"/>
  <c r="BI88" i="1" s="1"/>
  <c r="V58" i="1"/>
  <c r="V54" i="76"/>
  <c r="V59" i="76" s="1"/>
  <c r="H54" i="79"/>
  <c r="I59" i="75"/>
  <c r="I66" i="75" s="1"/>
  <c r="J67" i="75" s="1"/>
  <c r="I53" i="75"/>
  <c r="Y58" i="1"/>
  <c r="Y88" i="1" s="1"/>
  <c r="BI89" i="1" l="1"/>
  <c r="V88" i="1"/>
  <c r="H31" i="69"/>
  <c r="H34" i="69" s="1"/>
  <c r="H60" i="69" s="1"/>
  <c r="H54" i="82"/>
  <c r="H59" i="82" s="1"/>
  <c r="H82" i="82" s="1"/>
  <c r="D25" i="3"/>
  <c r="F25" i="3" s="1"/>
  <c r="F28" i="3" s="1"/>
  <c r="G54" i="79"/>
  <c r="G59" i="79" s="1"/>
  <c r="H59" i="79"/>
  <c r="H82" i="79" s="1"/>
  <c r="J54" i="79"/>
  <c r="F54" i="82" s="1"/>
  <c r="Y89" i="1"/>
  <c r="V89" i="1"/>
  <c r="V83" i="1" s="1"/>
  <c r="AW58" i="1"/>
  <c r="Y83" i="1" l="1"/>
  <c r="BI83" i="1"/>
  <c r="F53" i="3"/>
  <c r="F67" i="3" s="1"/>
  <c r="F68"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7" i="69"/>
  <c r="P31" i="69"/>
  <c r="AW83" i="1" l="1"/>
  <c r="D67" i="3"/>
  <c r="G67" i="3" s="1"/>
  <c r="G53" i="3"/>
  <c r="F20" i="55"/>
  <c r="F24" i="55" s="1"/>
  <c r="S25" i="55" s="1"/>
  <c r="H30" i="55" l="1"/>
  <c r="H26" i="55"/>
  <c r="BH47" i="1"/>
  <c r="O66" i="69"/>
  <c r="I12" i="56"/>
  <c r="I15" i="82" s="1"/>
  <c r="F28" i="55"/>
  <c r="O65" i="69"/>
  <c r="F32" i="55"/>
  <c r="I18" i="82" l="1"/>
  <c r="BH48" i="1"/>
  <c r="I17" i="56"/>
  <c r="I44" i="82" s="1"/>
  <c r="K15" i="79"/>
  <c r="I15" i="56"/>
  <c r="I39" i="82" s="1"/>
  <c r="P66" i="69"/>
  <c r="I19" i="56"/>
  <c r="I36" i="82" s="1"/>
  <c r="BH50" i="1" l="1"/>
  <c r="BH58" i="1" s="1"/>
  <c r="I48" i="82"/>
  <c r="I37" i="82"/>
  <c r="BH88" i="1"/>
  <c r="G18" i="55"/>
  <c r="G20" i="55" s="1"/>
  <c r="G24" i="55" s="1"/>
  <c r="T25" i="55" s="1"/>
  <c r="K39" i="79"/>
  <c r="L39" i="79" s="1"/>
  <c r="K36" i="79"/>
  <c r="K18" i="79"/>
  <c r="L15" i="79"/>
  <c r="K44" i="79"/>
  <c r="I21" i="56"/>
  <c r="I23" i="56" s="1"/>
  <c r="I25" i="56" s="1"/>
  <c r="I54" i="82" s="1"/>
  <c r="L18" i="79" l="1"/>
  <c r="BH89" i="1"/>
  <c r="I49" i="82"/>
  <c r="H20" i="55"/>
  <c r="H24" i="55" s="1"/>
  <c r="U25" i="55" s="1"/>
  <c r="K48" i="79"/>
  <c r="L44" i="79"/>
  <c r="K37" i="79"/>
  <c r="L36" i="79"/>
  <c r="I27" i="56"/>
  <c r="I29" i="56" s="1"/>
  <c r="I30" i="56" s="1"/>
  <c r="K54" i="79"/>
  <c r="L54" i="79" s="1"/>
  <c r="L37" i="79" l="1"/>
  <c r="L48" i="79"/>
  <c r="BH83" i="1"/>
  <c r="O83" i="69"/>
  <c r="P83" i="69" s="1"/>
  <c r="J12" i="56"/>
  <c r="J15" i="82" s="1"/>
  <c r="I51" i="82"/>
  <c r="I59" i="82" s="1"/>
  <c r="H28" i="55"/>
  <c r="H32" i="55"/>
  <c r="L49" i="79"/>
  <c r="K49" i="79"/>
  <c r="K51" i="79" s="1"/>
  <c r="K59" i="79" s="1"/>
  <c r="L51" i="79" l="1"/>
  <c r="J15" i="56"/>
  <c r="J39" i="82" s="1"/>
  <c r="K39" i="82" s="1"/>
  <c r="J19" i="56"/>
  <c r="J36" i="82" s="1"/>
  <c r="K36" i="82" s="1"/>
  <c r="J17" i="56"/>
  <c r="J44" i="82" s="1"/>
  <c r="K44" i="82" s="1"/>
  <c r="K15" i="82"/>
  <c r="J18" i="82"/>
  <c r="A36" i="3"/>
  <c r="A37" i="75" s="1"/>
  <c r="A42" i="69"/>
  <c r="K18" i="82" l="1"/>
  <c r="K37" i="82"/>
  <c r="K48" i="82"/>
  <c r="L59" i="79"/>
  <c r="J37" i="82"/>
  <c r="J48" i="82"/>
  <c r="J21" i="56"/>
  <c r="J23" i="56" s="1"/>
  <c r="J25" i="56" s="1"/>
  <c r="J54" i="82" s="1"/>
  <c r="K54" i="82" s="1"/>
  <c r="K49" i="82"/>
  <c r="A38" i="3"/>
  <c r="A39" i="75" s="1"/>
  <c r="A44" i="69"/>
  <c r="AJ11" i="76"/>
  <c r="L82" i="79" l="1"/>
  <c r="K51" i="82"/>
  <c r="J49" i="82"/>
  <c r="J51" i="82" s="1"/>
  <c r="J59" i="82" s="1"/>
  <c r="K59" i="82"/>
  <c r="J27" i="56"/>
  <c r="J29" i="56" s="1"/>
  <c r="J30" i="56" s="1"/>
  <c r="A39" i="3"/>
  <c r="A40" i="75" s="1"/>
  <c r="A45" i="69"/>
  <c r="K82" i="82" l="1"/>
  <c r="AK11" i="76"/>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F5919931-CA7D-4DF4-AE20-2FCF810AA30C}">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Garbarino, Marcus</author>
  </authors>
  <commentList>
    <comment ref="AQ11" authorId="0" shapeId="0" xr:uid="{70B75DC0-5EB1-4DA8-9073-88F7696E009B}">
      <text>
        <r>
          <rPr>
            <b/>
            <sz val="9"/>
            <color indexed="81"/>
            <rFont val="Tahoma"/>
            <family val="2"/>
          </rPr>
          <t>Author:</t>
        </r>
        <r>
          <rPr>
            <sz val="9"/>
            <color indexed="81"/>
            <rFont val="Tahoma"/>
            <family val="2"/>
          </rPr>
          <t xml:space="preserve">
still missing Grant County</t>
        </r>
      </text>
    </comment>
    <comment ref="V50" authorId="1"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 ref="AQ80" authorId="0" shapeId="0" xr:uid="{78A7DDF2-ABB2-40A8-9315-C0FA4F50BB82}">
      <text>
        <r>
          <rPr>
            <b/>
            <sz val="9"/>
            <color indexed="81"/>
            <rFont val="Tahoma"/>
            <family val="2"/>
          </rPr>
          <t>Author:</t>
        </r>
        <r>
          <rPr>
            <sz val="9"/>
            <color indexed="81"/>
            <rFont val="Tahoma"/>
            <family val="2"/>
          </rPr>
          <t xml:space="preserve">
still missing Grant County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L5" authorId="0" shapeId="0" xr:uid="{AD448316-984F-4797-B536-ECC4B52A1543}">
      <text>
        <r>
          <rPr>
            <b/>
            <sz val="9"/>
            <color indexed="81"/>
            <rFont val="Tahoma"/>
            <family val="2"/>
          </rPr>
          <t>Schultz, Kaylene:</t>
        </r>
        <r>
          <rPr>
            <sz val="9"/>
            <color indexed="81"/>
            <rFont val="Tahoma"/>
            <family val="2"/>
          </rPr>
          <t xml:space="preserve">
Updated per AWEC-DR-040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Knox, Tara</author>
    <author>Andrews, Liz</author>
  </authors>
  <commentList>
    <comment ref="G30" authorId="0" shapeId="0" xr:uid="{2CF764EB-3891-4C12-9770-C81D07A1D667}">
      <text>
        <r>
          <rPr>
            <b/>
            <sz val="9"/>
            <color indexed="81"/>
            <rFont val="Tahoma"/>
            <family val="2"/>
          </rPr>
          <t>Knox, Tara:</t>
        </r>
        <r>
          <rPr>
            <sz val="9"/>
            <color indexed="81"/>
            <rFont val="Tahoma"/>
            <family val="2"/>
          </rPr>
          <t xml:space="preserve">
GTI determined by customer load, do not escalate</t>
        </r>
      </text>
    </comment>
    <comment ref="I59" authorId="1" shapeId="0" xr:uid="{90E3ECEF-FE41-4F6F-BE99-71309B85EF08}">
      <text>
        <r>
          <rPr>
            <b/>
            <sz val="9"/>
            <color indexed="81"/>
            <rFont val="Tahoma"/>
            <family val="2"/>
          </rPr>
          <t>Andrews, Liz:</t>
        </r>
        <r>
          <rPr>
            <sz val="9"/>
            <color indexed="81"/>
            <rFont val="Tahoma"/>
            <family val="2"/>
          </rPr>
          <t xml:space="preserve">
Remove Gas EOP</t>
        </r>
      </text>
    </comment>
    <comment ref="I67" authorId="1" shapeId="0" xr:uid="{0825A6C5-D349-43CB-BC62-9008DF9A8CFD}">
      <text>
        <r>
          <rPr>
            <b/>
            <sz val="9"/>
            <color indexed="81"/>
            <rFont val="Tahoma"/>
            <family val="2"/>
          </rPr>
          <t>Andrews, Liz:</t>
        </r>
        <r>
          <rPr>
            <sz val="9"/>
            <color indexed="81"/>
            <rFont val="Tahoma"/>
            <family val="2"/>
          </rPr>
          <t xml:space="preserve">
Remove Gas EOP</t>
        </r>
      </text>
    </comment>
    <comment ref="I68" authorId="1" shapeId="0" xr:uid="{219026FC-C833-4281-9D37-833741723436}">
      <text>
        <r>
          <rPr>
            <b/>
            <sz val="9"/>
            <color indexed="81"/>
            <rFont val="Tahoma"/>
            <family val="2"/>
          </rPr>
          <t>Andrews, Liz:</t>
        </r>
        <r>
          <rPr>
            <sz val="9"/>
            <color indexed="81"/>
            <rFont val="Tahoma"/>
            <family val="2"/>
          </rPr>
          <t xml:space="preserve">
Remove Gas EOP</t>
        </r>
      </text>
    </comment>
    <comment ref="H89" authorId="0" shapeId="0" xr:uid="{969E14B5-E398-4EA5-836E-1E2200BB7EEB}">
      <text>
        <r>
          <rPr>
            <b/>
            <sz val="9"/>
            <color indexed="81"/>
            <rFont val="Tahoma"/>
            <family val="2"/>
          </rPr>
          <t>Knox, Tara:</t>
        </r>
        <r>
          <rPr>
            <sz val="9"/>
            <color indexed="81"/>
            <rFont val="Tahoma"/>
            <family val="2"/>
          </rPr>
          <t xml:space="preserve">
Revenue Related Expenses - Uncollectibles</t>
        </r>
      </text>
    </comment>
    <comment ref="I95" authorId="0" shapeId="0" xr:uid="{A6EB4D8A-45FA-48E6-B6FE-B3827DB43E5E}">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9FFDEAB2-6803-4EB9-9C7C-8CB2C57435E6}">
      <text>
        <r>
          <rPr>
            <b/>
            <sz val="9"/>
            <color indexed="81"/>
            <rFont val="Tahoma"/>
            <family val="2"/>
          </rPr>
          <t>Knox, Tara:</t>
        </r>
        <r>
          <rPr>
            <sz val="9"/>
            <color indexed="81"/>
            <rFont val="Tahoma"/>
            <family val="2"/>
          </rPr>
          <t xml:space="preserve">
Incentives normalized in adjustment 2.13</t>
        </r>
      </text>
    </comment>
    <comment ref="H110" authorId="0" shapeId="0" xr:uid="{7814DFA3-B7CE-45C0-9EC6-7B4003F6F16E}">
      <text>
        <r>
          <rPr>
            <b/>
            <sz val="9"/>
            <color indexed="81"/>
            <rFont val="Tahoma"/>
            <family val="2"/>
          </rPr>
          <t>Knox, Tara:</t>
        </r>
        <r>
          <rPr>
            <sz val="9"/>
            <color indexed="81"/>
            <rFont val="Tahoma"/>
            <family val="2"/>
          </rPr>
          <t xml:space="preserve">
Non-Labor ISIT test year amount</t>
        </r>
      </text>
    </comment>
    <comment ref="H111" authorId="0" shapeId="0" xr:uid="{F6B57E3A-1A69-459E-B881-725A33FF38C2}">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90C7722A-D835-4433-B101-4778F5DDAA7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1542A28D-DC85-4901-BD6E-E22F54918D27}">
      <text>
        <r>
          <rPr>
            <b/>
            <sz val="9"/>
            <color indexed="81"/>
            <rFont val="Tahoma"/>
            <family val="2"/>
          </rPr>
          <t>Knox, Tara:</t>
        </r>
        <r>
          <rPr>
            <sz val="9"/>
            <color indexed="81"/>
            <rFont val="Tahoma"/>
            <family val="2"/>
          </rPr>
          <t xml:space="preserve">
Property Insurance pro formed</t>
        </r>
      </text>
    </comment>
    <comment ref="H114" authorId="0" shapeId="0" xr:uid="{289F7F45-3934-460E-8213-A74B8210D770}">
      <text>
        <r>
          <rPr>
            <b/>
            <sz val="9"/>
            <color indexed="81"/>
            <rFont val="Tahoma"/>
            <family val="2"/>
          </rPr>
          <t>Knox, Tara:</t>
        </r>
        <r>
          <rPr>
            <sz val="9"/>
            <color indexed="81"/>
            <rFont val="Tahoma"/>
            <family val="2"/>
          </rPr>
          <t xml:space="preserve">
Liability Insurance and Injuries and Damages pro formed </t>
        </r>
      </text>
    </comment>
    <comment ref="H115" authorId="0" shapeId="0" xr:uid="{8622AAF8-678A-43A7-BE2F-B8C9FD591D9E}">
      <text>
        <r>
          <rPr>
            <b/>
            <sz val="9"/>
            <color indexed="81"/>
            <rFont val="Tahoma"/>
            <family val="2"/>
          </rPr>
          <t>Knox, Tara:</t>
        </r>
        <r>
          <rPr>
            <sz val="9"/>
            <color indexed="81"/>
            <rFont val="Tahoma"/>
            <family val="2"/>
          </rPr>
          <t xml:space="preserve">
Pension &amp; Medical</t>
        </r>
      </text>
    </comment>
    <comment ref="I115" authorId="1" shapeId="0" xr:uid="{BAE2E719-82CD-491A-9265-06DD4E302701}">
      <text>
        <r>
          <rPr>
            <b/>
            <sz val="9"/>
            <color indexed="81"/>
            <rFont val="Tahoma"/>
            <family val="2"/>
          </rPr>
          <t>Andrews, Liz:</t>
        </r>
        <r>
          <rPr>
            <sz val="9"/>
            <color indexed="81"/>
            <rFont val="Tahoma"/>
            <family val="2"/>
          </rPr>
          <t xml:space="preserve">
Remove Gas EOP</t>
        </r>
      </text>
    </comment>
    <comment ref="H117" authorId="0" shapeId="0" xr:uid="{D112CBCE-301B-439D-A698-01AB7185D69A}">
      <text>
        <r>
          <rPr>
            <b/>
            <sz val="9"/>
            <color indexed="81"/>
            <rFont val="Tahoma"/>
            <family val="2"/>
          </rPr>
          <t>Knox, Tara:</t>
        </r>
        <r>
          <rPr>
            <sz val="9"/>
            <color indexed="81"/>
            <rFont val="Tahoma"/>
            <family val="2"/>
          </rPr>
          <t xml:space="preserve">
Revenue Related Expenses - Regulatory Fees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<sst xmlns="http://schemas.openxmlformats.org/spreadsheetml/2006/main" count="8738" uniqueCount="3556">
  <si>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</si>
  <si>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</si>
  <si>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</si>
  <si>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</si>
  <si>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</si>
  <si>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</si>
  <si>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</si>
  <si>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</si>
  <si>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</si>
  <si>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</si>
  <si>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</si>
  <si>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</si>
  <si>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</si>
  <si>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</si>
  <si>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</si>
  <si>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</si>
  <si>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</si>
  <si>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</si>
  <si>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</si>
  <si>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</si>
  <si>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</si>
  <si>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</si>
  <si>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</si>
  <si>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</si>
  <si>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</si>
  <si>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</si>
  <si>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</si>
  <si>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</si>
  <si>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</si>
  <si>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</si>
  <si>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</si>
  <si>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</si>
  <si>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</si>
  <si>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</si>
  <si>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</si>
  <si>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</si>
  <si>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</si>
  <si>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</si>
  <si>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</si>
  <si>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</si>
  <si>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</si>
  <si>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</si>
  <si>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</si>
  <si>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</si>
  <si>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</si>
  <si>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</si>
  <si>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</si>
  <si>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</si>
  <si>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</si>
  <si>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</si>
  <si>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</si>
  <si>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</si>
  <si>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</si>
  <si>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</si>
  <si>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</si>
  <si>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</si>
  <si>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</si>
  <si>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</si>
  <si>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</si>
  <si>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</si>
  <si>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</si>
  <si>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</si>
  <si>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</si>
  <si>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</si>
  <si>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</si>
  <si>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</si>
  <si>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</si>
  <si>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</si>
  <si>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</si>
  <si>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</si>
  <si>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</si>
  <si>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</si>
  <si>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</si>
  <si>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</si>
  <si>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</si>
  <si>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</si>
  <si>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</si>
  <si>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</si>
  <si>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</si>
  <si>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</si>
  <si>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</si>
  <si>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</si>
  <si>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</si>
  <si>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</si>
  <si>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</si>
  <si>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</si>
  <si>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</si>
  <si>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</si>
  <si>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</si>
  <si>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</si>
  <si>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</si>
  <si>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</si>
  <si>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</si>
  <si>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</si>
  <si>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</si>
  <si>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</si>
  <si>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</si>
  <si>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</si>
  <si>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</si>
  <si>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</si>
  <si>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</si>
  <si>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</si>
  <si>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</si>
  <si>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</si>
  <si>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</si>
  <si>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</si>
  <si>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</si>
  <si>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</si>
  <si>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</si>
  <si>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</si>
  <si>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</si>
  <si>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</si>
  <si>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</si>
  <si>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</si>
  <si>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</si>
  <si>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</si>
  <si>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</si>
  <si>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</si>
  <si>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</si>
  <si>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</si>
  <si>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</si>
  <si>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</si>
  <si>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</si>
  <si>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</si>
  <si>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</si>
  <si>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</si>
  <si>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</si>
  <si>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</si>
  <si>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</si>
  <si>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</si>
  <si>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</si>
  <si>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</si>
  <si>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</si>
  <si>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</si>
  <si>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</si>
  <si>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</si>
  <si>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</si>
  <si>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</si>
  <si>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</si>
  <si>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</si>
  <si>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</si>
  <si>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</si>
  <si>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</si>
  <si>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</si>
  <si>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</si>
  <si>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</si>
  <si>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</si>
  <si>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</si>
  <si>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</si>
  <si>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</si>
  <si>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</si>
  <si>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</si>
  <si>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</si>
  <si>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</si>
  <si>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</si>
  <si>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</si>
  <si>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</si>
  <si>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</si>
  <si>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</si>
  <si>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</si>
  <si>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</si>
  <si>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</si>
  <si>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</si>
  <si>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</si>
  <si>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</si>
  <si>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</si>
  <si>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</si>
  <si>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</si>
  <si>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</si>
  <si>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</si>
  <si>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</si>
  <si>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</si>
  <si>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</si>
  <si>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</si>
  <si>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</si>
  <si>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</si>
  <si>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</si>
  <si>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</si>
  <si>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</si>
  <si>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</si>
  <si>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</si>
  <si>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</si>
  <si>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</si>
  <si>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</si>
  <si>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</si>
  <si>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</si>
  <si>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</si>
  <si>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</si>
  <si>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</si>
  <si>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</si>
  <si>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</si>
  <si>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</si>
  <si>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</si>
  <si>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</si>
  <si>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</si>
  <si>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</si>
  <si>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</si>
  <si>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</si>
  <si>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</si>
  <si>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</si>
  <si>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</si>
  <si>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</si>
  <si>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</si>
  <si>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</si>
  <si>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</si>
  <si>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</si>
  <si>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</si>
  <si>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</si>
  <si>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</si>
  <si>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</si>
  <si>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</si>
  <si>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</si>
  <si>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</si>
  <si>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</si>
  <si>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</si>
  <si>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</si>
  <si>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</si>
  <si>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</si>
  <si>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</si>
  <si>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</si>
  <si>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</si>
  <si>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</si>
  <si>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</si>
  <si>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</si>
  <si>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</si>
  <si>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</si>
  <si>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</si>
  <si>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</si>
  <si>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</si>
  <si>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</si>
  <si>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</si>
  <si>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</si>
  <si>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</si>
  <si>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</si>
  <si>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</si>
  <si>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</si>
  <si>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</si>
  <si>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</si>
  <si>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</si>
  <si>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</si>
  <si>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</si>
  <si>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</si>
  <si>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</si>
  <si>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</si>
  <si>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</si>
  <si>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</si>
  <si>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</si>
  <si>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</si>
  <si>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</si>
  <si>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</si>
  <si>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</si>
  <si>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</si>
  <si>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</si>
  <si>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</si>
  <si>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</si>
  <si>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</si>
  <si>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</si>
  <si>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</si>
  <si>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</si>
  <si>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</si>
  <si>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</si>
  <si>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</si>
  <si>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</si>
  <si>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</si>
  <si>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</si>
  <si>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</si>
  <si>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</si>
  <si>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</si>
  <si>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</si>
  <si>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</si>
  <si>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</si>
  <si>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</si>
  <si>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</si>
  <si>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</si>
  <si>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</si>
  <si>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</si>
  <si>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</si>
  <si>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</si>
  <si>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</si>
  <si>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</si>
  <si>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</si>
  <si>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</si>
  <si>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</si>
  <si>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</si>
  <si>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</si>
  <si>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</si>
  <si>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</si>
  <si>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</si>
  <si>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</si>
  <si>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</si>
  <si>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</si>
  <si>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</si>
  <si>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</si>
  <si>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</si>
  <si>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</si>
  <si>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</si>
  <si>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</si>
  <si>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</si>
  <si>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</si>
  <si>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</si>
  <si>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</si>
  <si>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</si>
  <si>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</si>
  <si>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</si>
  <si>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</si>
  <si>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</si>
  <si>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</si>
  <si>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</si>
  <si>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</si>
  <si>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</si>
  <si>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</si>
  <si>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</si>
  <si>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</si>
  <si>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</si>
  <si>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</si>
  <si>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</si>
  <si>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</si>
  <si>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</si>
  <si>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</si>
  <si>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</si>
  <si>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</si>
  <si>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</si>
  <si>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</si>
  <si>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</si>
  <si>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</si>
  <si>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</si>
  <si>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</si>
  <si>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</si>
  <si>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</si>
  <si>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</si>
  <si>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</si>
  <si>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</si>
  <si>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</si>
  <si>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</si>
  <si>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</si>
  <si>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</si>
  <si>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</si>
  <si>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</si>
  <si>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</si>
  <si>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</si>
  <si>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</si>
  <si>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</si>
  <si>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</si>
  <si>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</si>
  <si>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</si>
  <si>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</si>
  <si>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</si>
  <si>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</si>
  <si>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</si>
  <si>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</si>
  <si>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</si>
  <si>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</si>
  <si>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</si>
  <si>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</si>
  <si>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</si>
  <si>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</si>
  <si>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</si>
  <si>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</si>
  <si>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</si>
  <si>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</si>
  <si>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</si>
  <si>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</si>
  <si>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</si>
  <si>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</si>
  <si>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</si>
  <si>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</si>
  <si>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</si>
  <si>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</si>
  <si>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</si>
  <si>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</si>
  <si>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</si>
  <si>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</si>
  <si>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</si>
  <si>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</si>
  <si>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</si>
  <si>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</si>
  <si>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</si>
  <si>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</si>
  <si>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</si>
  <si>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</si>
  <si>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</si>
  <si>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</si>
  <si>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</si>
  <si>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</si>
  <si>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</si>
  <si>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</si>
  <si>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</si>
  <si>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</si>
  <si>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</si>
  <si>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</si>
  <si>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</si>
  <si>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</si>
  <si>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</si>
  <si>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</si>
  <si>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</si>
  <si>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</si>
  <si>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</si>
  <si>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</si>
  <si>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</si>
  <si>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</si>
  <si>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</si>
  <si>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</si>
  <si>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</si>
  <si>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</si>
  <si>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</si>
  <si>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</si>
  <si>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</si>
  <si>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</si>
  <si>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</si>
  <si>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</si>
  <si>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</si>
  <si>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</si>
  <si>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</si>
  <si>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</si>
  <si>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</si>
  <si>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</si>
  <si>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</si>
  <si>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</si>
  <si>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</si>
  <si>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</si>
  <si>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</si>
  <si>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</si>
  <si>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</si>
  <si>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</si>
  <si>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</si>
  <si>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</si>
  <si>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</si>
  <si>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</si>
  <si>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</si>
  <si>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</si>
  <si>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</si>
  <si>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</si>
  <si>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</si>
  <si>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</si>
  <si>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</si>
  <si>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</si>
  <si>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</si>
  <si>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</si>
  <si>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</si>
  <si>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</si>
  <si>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</si>
  <si>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</si>
  <si>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</si>
  <si>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</si>
  <si>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</si>
  <si>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</si>
  <si>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</si>
  <si>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</si>
  <si>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</si>
  <si>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</si>
  <si>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</si>
  <si>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</si>
  <si>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</si>
  <si>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</si>
  <si>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</si>
  <si>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</si>
  <si>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</si>
  <si>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</si>
  <si>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</si>
  <si>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</si>
  <si>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</si>
  <si>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</si>
  <si>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</si>
  <si>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</si>
  <si>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</si>
  <si>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</si>
  <si>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</si>
  <si>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</si>
  <si>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</si>
  <si>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</si>
  <si>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</si>
  <si>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</si>
  <si>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</si>
  <si>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</si>
  <si>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</si>
  <si>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</si>
  <si>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</si>
  <si>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</si>
  <si>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</si>
  <si>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</si>
  <si>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</si>
  <si>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</si>
  <si>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</si>
  <si>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</si>
  <si>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</si>
  <si>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</si>
  <si>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</si>
  <si>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</si>
  <si>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</si>
  <si>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</si>
  <si>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</si>
  <si>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</si>
  <si>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</si>
  <si>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</si>
  <si>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</si>
  <si>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</si>
  <si>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</si>
  <si>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</si>
  <si>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</si>
  <si>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</si>
  <si>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</si>
  <si>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</si>
  <si>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</si>
  <si>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</si>
  <si>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</si>
  <si>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</si>
  <si>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</si>
  <si>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</si>
  <si>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</si>
  <si>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</si>
  <si>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</si>
  <si>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</si>
  <si>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</si>
  <si>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</si>
  <si>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</si>
  <si>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</si>
  <si>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</si>
  <si>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</si>
  <si>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</si>
  <si>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</si>
  <si>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</si>
  <si>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</si>
  <si>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</si>
  <si>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</si>
  <si>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</si>
  <si>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</si>
  <si>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</si>
  <si>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</si>
  <si>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</si>
  <si>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</si>
  <si>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</si>
  <si>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</si>
  <si>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</si>
  <si>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</si>
  <si>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</si>
  <si>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</si>
  <si>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</si>
  <si>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</si>
  <si>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</si>
  <si>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</si>
  <si>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</si>
  <si>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</si>
  <si>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</si>
  <si>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</si>
  <si>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</si>
  <si>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</si>
  <si>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</si>
  <si>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</si>
  <si>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</si>
  <si>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</si>
  <si>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</si>
  <si>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</si>
  <si>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</si>
  <si>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</si>
  <si>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</si>
  <si>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</si>
  <si>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</si>
  <si>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</si>
  <si>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</si>
  <si>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</si>
  <si>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</si>
  <si>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</si>
  <si>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</si>
  <si>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</si>
  <si>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</si>
  <si>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</si>
  <si>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</si>
  <si>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</si>
  <si>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</si>
  <si>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</si>
  <si>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</si>
  <si>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</si>
  <si>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</si>
  <si>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</si>
  <si>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</si>
  <si>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</si>
  <si>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</si>
  <si>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</si>
  <si>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</si>
  <si>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</si>
  <si>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</si>
  <si>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</si>
  <si>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</si>
  <si>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</si>
  <si>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</si>
  <si>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</si>
  <si>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</si>
  <si>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</si>
  <si>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</si>
  <si>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</si>
  <si>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</si>
  <si>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</si>
  <si>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</si>
  <si>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</si>
  <si>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</si>
  <si>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</si>
  <si>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</si>
  <si>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</si>
  <si>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</si>
  <si>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</si>
  <si>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</si>
  <si>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</si>
  <si>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</si>
  <si>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</si>
  <si>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</si>
  <si>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</si>
  <si>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</si>
  <si>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</si>
  <si>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</si>
  <si>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</si>
  <si>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</si>
  <si>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</si>
  <si>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</si>
  <si>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</si>
  <si>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</si>
  <si>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</si>
  <si>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</si>
  <si>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</si>
  <si>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</si>
  <si>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</si>
  <si>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</si>
  <si>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</si>
  <si>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</si>
  <si>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</si>
  <si>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</si>
  <si>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</si>
  <si>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</si>
  <si>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</si>
  <si>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</si>
  <si>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</si>
  <si>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</si>
  <si>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</si>
  <si>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</si>
  <si>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</si>
  <si>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</si>
  <si>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</si>
  <si>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</si>
  <si>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</si>
  <si>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</si>
  <si>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</si>
  <si>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</si>
  <si>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</si>
  <si>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</si>
  <si>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</si>
  <si>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</si>
  <si>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</si>
  <si>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</si>
  <si>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</si>
  <si>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</si>
  <si>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</si>
  <si>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</si>
  <si>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</si>
  <si>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</si>
  <si>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</si>
  <si>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</si>
  <si>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</si>
  <si>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</si>
  <si>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</si>
  <si>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</si>
  <si>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</si>
  <si>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</si>
  <si>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</si>
  <si>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</si>
  <si>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</si>
  <si>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</si>
  <si>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</si>
  <si>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</si>
  <si>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</si>
  <si>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</si>
  <si>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</si>
  <si>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</si>
  <si>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</si>
  <si>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</si>
  <si>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</si>
  <si>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</si>
  <si>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</si>
  <si>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</si>
  <si>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</si>
  <si>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</si>
  <si>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</si>
  <si>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</si>
  <si>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</si>
  <si>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</si>
  <si>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</si>
  <si>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</si>
  <si>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</si>
  <si>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</si>
  <si>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</si>
  <si>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</si>
  <si>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</si>
  <si>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</si>
  <si>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</si>
  <si>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</si>
  <si>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</si>
  <si>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</si>
  <si>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</si>
  <si>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</si>
  <si>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</si>
  <si>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</si>
  <si>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</si>
  <si>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</si>
  <si>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</si>
  <si>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</si>
  <si>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</si>
  <si>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</si>
  <si>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</si>
  <si>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</si>
  <si>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</si>
  <si>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</si>
  <si>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</si>
  <si>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</si>
  <si>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</si>
  <si>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</si>
  <si>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</si>
  <si>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</si>
  <si>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</si>
  <si>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</si>
  <si>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</si>
  <si>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</si>
  <si>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</si>
  <si>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</si>
  <si>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</si>
  <si>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</si>
  <si>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</si>
  <si>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</si>
  <si>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</si>
  <si>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</si>
  <si>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</si>
  <si>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</si>
  <si>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</si>
  <si>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</si>
  <si>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</si>
  <si>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</si>
  <si>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</si>
  <si>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</si>
  <si>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</si>
  <si>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</si>
  <si>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</si>
  <si>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</si>
  <si>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</si>
  <si>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</si>
  <si>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</si>
  <si>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</si>
  <si>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</si>
  <si>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</si>
  <si>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</si>
  <si>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</si>
  <si>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</si>
  <si>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</si>
  <si>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</si>
  <si>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</si>
  <si>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</si>
  <si>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</si>
  <si>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</si>
  <si>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</si>
  <si>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</si>
  <si>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</si>
  <si>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</si>
  <si>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</si>
  <si>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</si>
  <si>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</si>
  <si>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</si>
  <si>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</si>
  <si>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</si>
  <si>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</si>
  <si>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</si>
  <si>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</si>
  <si>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</si>
  <si>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</si>
  <si>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</si>
  <si>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</si>
  <si>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</si>
  <si>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</si>
  <si>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</si>
  <si>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</si>
  <si>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</si>
  <si>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</si>
  <si>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</si>
  <si>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</si>
  <si>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</si>
  <si>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</si>
  <si>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</si>
  <si>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</si>
  <si>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</si>
  <si>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</si>
  <si>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</si>
  <si>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</si>
  <si>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</si>
  <si>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</si>
  <si>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</si>
  <si>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</si>
  <si>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</si>
  <si>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</si>
  <si>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</si>
  <si>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</si>
  <si>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</si>
  <si>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</si>
  <si>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</si>
  <si>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</si>
  <si>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</si>
  <si>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</si>
  <si>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</si>
  <si>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</si>
  <si>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</si>
  <si>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</si>
  <si>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</si>
  <si>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</si>
  <si>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</si>
  <si>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</si>
  <si>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</si>
  <si>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</si>
  <si>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</si>
  <si>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</si>
  <si>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</si>
  <si>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</si>
  <si>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</si>
  <si>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</si>
  <si>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</si>
  <si>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</si>
  <si>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</si>
  <si>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</si>
  <si>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</si>
  <si>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</si>
  <si>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</si>
  <si>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</si>
  <si>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</si>
  <si>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</si>
  <si>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</si>
  <si>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</si>
  <si>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</si>
  <si>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</si>
  <si>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</si>
  <si>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</si>
  <si>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</si>
  <si>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</si>
  <si>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</si>
  <si>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</si>
  <si>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</si>
  <si>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</si>
  <si>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</si>
  <si>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</si>
  <si>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</si>
  <si>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</si>
  <si>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</si>
  <si>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</si>
  <si>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</si>
  <si>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</si>
  <si>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</si>
  <si>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</si>
  <si>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</si>
  <si>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</si>
  <si>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</si>
  <si>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</si>
  <si>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</si>
  <si>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</si>
  <si>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</si>
  <si>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</si>
  <si>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</si>
  <si>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</si>
  <si>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</si>
  <si>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</si>
  <si>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</si>
  <si>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</si>
  <si>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</si>
  <si>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</si>
  <si>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</si>
  <si>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</si>
  <si>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</si>
  <si>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</si>
  <si>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</si>
  <si>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</si>
  <si>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</si>
  <si>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</si>
  <si>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</si>
  <si>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</si>
  <si>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</si>
  <si>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</si>
  <si>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</si>
  <si>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</si>
  <si>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</si>
  <si>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</si>
  <si>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</si>
  <si>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</si>
  <si>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</si>
  <si>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</si>
  <si>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</si>
  <si>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</si>
  <si>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</si>
  <si>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</si>
  <si>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</si>
  <si>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</si>
  <si>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</si>
  <si>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</si>
  <si>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</si>
  <si>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</si>
  <si>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</si>
  <si>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</si>
  <si>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</si>
  <si>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</si>
  <si>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</si>
  <si>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</si>
  <si>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</si>
  <si>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</si>
  <si>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</si>
  <si>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</si>
  <si>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</si>
  <si>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</si>
  <si>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</si>
  <si>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</si>
  <si>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</si>
  <si>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</si>
  <si>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</si>
  <si>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</si>
  <si>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</si>
  <si>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</si>
  <si>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</si>
  <si>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</si>
  <si>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</si>
  <si>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</si>
  <si>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</si>
  <si>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</si>
  <si>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</si>
  <si>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</si>
  <si>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</si>
  <si>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</si>
  <si>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</si>
  <si>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</si>
  <si>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</si>
  <si>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</si>
  <si>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</si>
  <si>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</si>
  <si>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</si>
  <si>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</si>
  <si>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</si>
  <si>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</si>
  <si>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</si>
  <si>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</si>
  <si>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</si>
  <si>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</si>
  <si>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</si>
  <si>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</si>
  <si>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</si>
  <si>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</si>
  <si>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</si>
  <si>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</si>
  <si>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</si>
  <si>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</si>
  <si>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</si>
  <si>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</si>
  <si>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</si>
  <si>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</si>
  <si>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</si>
  <si>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</si>
  <si>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</si>
  <si>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</si>
  <si>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</si>
  <si>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</si>
  <si>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</si>
  <si>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</si>
  <si>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</si>
  <si>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</si>
  <si>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</si>
  <si>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</si>
  <si>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</si>
  <si>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</si>
  <si>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</si>
  <si>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</si>
  <si>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</si>
  <si>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</si>
  <si>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</si>
  <si>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</si>
  <si>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</si>
  <si>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</si>
  <si>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</si>
  <si>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</si>
  <si>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</si>
  <si>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</si>
  <si>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</si>
  <si>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</si>
  <si>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</si>
  <si>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</si>
  <si>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</si>
  <si>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</si>
  <si>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</si>
  <si>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</si>
  <si>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</si>
  <si>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</si>
  <si>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</si>
  <si>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</si>
  <si>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</si>
  <si>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</si>
  <si>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</si>
  <si>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</si>
  <si>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</si>
  <si>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</si>
  <si>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</si>
  <si>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</si>
  <si>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</si>
  <si>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</si>
  <si>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</si>
  <si>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</si>
  <si>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</si>
  <si>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</si>
  <si>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</si>
  <si>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</si>
  <si>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</si>
  <si>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</si>
  <si>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</si>
  <si>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</si>
  <si>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</si>
  <si>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</si>
  <si>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</si>
  <si>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</si>
  <si>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</si>
  <si>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</si>
  <si>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</si>
  <si>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</si>
  <si>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</si>
  <si>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</si>
  <si>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</si>
  <si>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</si>
  <si>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</si>
  <si>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</si>
  <si>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</si>
  <si>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</si>
  <si>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</si>
  <si>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</si>
  <si>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</si>
  <si>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</si>
  <si>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</si>
  <si>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</si>
  <si>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</si>
  <si>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</si>
  <si>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</si>
  <si>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</si>
  <si>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</si>
  <si>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</si>
  <si>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</si>
  <si>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</si>
  <si>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</si>
  <si>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</si>
  <si>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</si>
  <si>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</si>
  <si>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</si>
  <si>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</si>
  <si>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</si>
  <si>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</si>
  <si>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</si>
  <si>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</si>
  <si>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</si>
  <si>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</si>
  <si>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</si>
  <si>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</si>
  <si>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</si>
  <si>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</si>
  <si>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</si>
  <si>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</si>
  <si>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</si>
  <si>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</si>
  <si>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</si>
  <si>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</si>
  <si>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</si>
  <si>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</si>
  <si>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</si>
  <si>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</si>
  <si>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</si>
  <si>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</si>
  <si>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</si>
  <si>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</si>
  <si>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</si>
  <si>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</si>
  <si>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</si>
  <si>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</si>
  <si>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</si>
  <si>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</si>
  <si>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</si>
  <si>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</si>
  <si>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</si>
  <si>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</si>
  <si>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</si>
  <si>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</si>
  <si>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</si>
  <si>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</si>
  <si>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</si>
  <si>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</si>
  <si>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</si>
  <si>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</si>
  <si>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</si>
  <si>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</si>
  <si>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</si>
  <si>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</si>
  <si>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</si>
  <si>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</si>
  <si>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</si>
  <si>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</si>
  <si>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</si>
  <si>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</si>
  <si>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</si>
  <si>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</si>
  <si>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</si>
  <si>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</si>
  <si>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</si>
  <si>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</si>
  <si>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</si>
  <si>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</si>
  <si>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</si>
  <si>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</si>
  <si>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</si>
  <si>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</si>
  <si>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</si>
  <si>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</si>
  <si>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</si>
  <si>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</si>
  <si>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</si>
  <si>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</si>
  <si>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</si>
  <si>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</si>
  <si>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</si>
  <si>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</si>
  <si>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</si>
  <si>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</si>
  <si>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</si>
  <si>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</si>
  <si>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</si>
  <si>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</si>
  <si>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</si>
  <si>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</si>
  <si>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</si>
  <si>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</si>
  <si>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</si>
  <si>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</si>
  <si>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</si>
  <si>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</si>
  <si>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</si>
  <si>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</si>
  <si>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</si>
  <si>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</si>
  <si>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</si>
  <si>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</si>
  <si>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</si>
  <si>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</si>
  <si>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</si>
  <si>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</si>
  <si>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</si>
  <si>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</si>
  <si>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</si>
  <si>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</si>
  <si>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</si>
  <si>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</si>
  <si>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</si>
  <si>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</si>
  <si>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</si>
  <si>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</si>
  <si>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</si>
  <si>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</si>
  <si>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</si>
  <si>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</si>
  <si>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</si>
  <si>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</si>
  <si>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</si>
  <si>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</si>
  <si>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</si>
  <si>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</si>
  <si>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</si>
  <si>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</si>
  <si>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</si>
  <si>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</si>
  <si>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</si>
  <si>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</si>
  <si>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</si>
  <si>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</si>
  <si>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</si>
  <si>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</si>
  <si>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</si>
  <si>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</si>
  <si>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</si>
  <si>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</si>
  <si>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</si>
  <si>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</si>
  <si>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</si>
  <si>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</si>
  <si>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</si>
  <si>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</si>
  <si>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</si>
  <si>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</si>
  <si>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</si>
  <si>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</si>
  <si>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</si>
  <si>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</si>
  <si>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</si>
  <si>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</si>
  <si>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</si>
  <si>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</si>
  <si>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</si>
  <si>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</si>
  <si>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</si>
  <si>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</si>
  <si>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</si>
  <si>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</si>
  <si>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</si>
  <si>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</si>
  <si>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</si>
  <si>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</si>
  <si>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</si>
  <si>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</si>
  <si>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</si>
  <si>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</si>
  <si>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</si>
  <si>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</si>
  <si>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</si>
  <si>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</si>
  <si>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</si>
  <si>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</si>
  <si>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</si>
  <si>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</si>
  <si>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</si>
  <si>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</si>
  <si>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</si>
  <si>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</si>
  <si>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</si>
  <si>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</si>
  <si>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</si>
  <si>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</si>
  <si>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</si>
  <si>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</si>
  <si>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</si>
  <si>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</si>
  <si>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</si>
  <si>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</si>
  <si>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</si>
  <si>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</si>
  <si>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</si>
  <si>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</si>
  <si>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</si>
  <si>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</si>
  <si>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</si>
  <si>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</si>
  <si>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</si>
  <si>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</si>
  <si>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</si>
  <si>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</si>
  <si>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</si>
  <si>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</si>
  <si>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</si>
  <si>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</si>
  <si>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</si>
  <si>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</si>
  <si>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</si>
  <si>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</si>
  <si>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</si>
  <si>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</si>
  <si>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</si>
  <si>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</si>
  <si>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</si>
  <si>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</si>
  <si>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</si>
  <si>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</si>
  <si>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</si>
  <si>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</si>
  <si>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</si>
  <si>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</si>
  <si>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</si>
  <si>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</si>
  <si>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</si>
  <si>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</si>
  <si>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</si>
  <si>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</si>
  <si>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</si>
  <si>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</si>
  <si>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</si>
  <si>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</si>
  <si>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</si>
  <si>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</si>
  <si>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</si>
  <si>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</si>
  <si>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</si>
  <si>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</si>
  <si>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</si>
  <si>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</si>
  <si>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</si>
  <si>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</si>
  <si>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</si>
  <si>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</si>
  <si>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</si>
  <si>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</si>
  <si>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</si>
  <si>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</si>
  <si>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</si>
  <si>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</si>
  <si>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</si>
  <si>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</si>
  <si>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</si>
  <si>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</si>
  <si>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</si>
  <si>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</si>
  <si>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</si>
  <si>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</si>
  <si>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</si>
  <si>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</si>
  <si>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</si>
  <si>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</si>
  <si>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</si>
  <si>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</si>
  <si>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</si>
  <si>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</si>
  <si>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</si>
  <si>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</si>
  <si>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</si>
  <si>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</si>
  <si>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</si>
  <si>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</si>
  <si>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</si>
  <si>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</si>
  <si>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</si>
  <si>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</si>
  <si>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</si>
  <si>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</si>
  <si>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</si>
  <si>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</si>
  <si>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</si>
  <si>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</si>
  <si>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</si>
  <si>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</si>
  <si>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</si>
  <si>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</si>
  <si>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</si>
  <si>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</si>
  <si>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</si>
  <si>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</si>
  <si>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</si>
  <si>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</si>
  <si>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</si>
  <si>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</si>
  <si>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</si>
  <si>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</si>
  <si>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</si>
  <si>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</si>
  <si>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</si>
  <si>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</si>
  <si>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</si>
  <si>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</si>
  <si>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</si>
  <si>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</si>
  <si>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</si>
  <si>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</si>
  <si>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</si>
  <si>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</si>
  <si>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</si>
  <si>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</si>
  <si>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</si>
  <si>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</si>
  <si>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</si>
  <si>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</si>
  <si>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</si>
  <si>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</si>
  <si>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</si>
  <si>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</si>
  <si>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</si>
  <si>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</si>
  <si>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</si>
  <si>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</si>
  <si>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</si>
  <si>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</si>
  <si>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</si>
  <si>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</si>
  <si>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</si>
  <si>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</si>
  <si>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</si>
  <si>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</si>
  <si>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</si>
  <si>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</si>
  <si>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</si>
  <si>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</si>
  <si>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</si>
  <si>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</si>
  <si>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</si>
  <si>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</si>
  <si>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</si>
  <si>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</si>
  <si>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</si>
  <si>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</si>
  <si>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</si>
  <si>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</si>
  <si>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</si>
  <si>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</si>
  <si>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</si>
  <si>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</si>
  <si>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</si>
  <si>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</si>
  <si>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</si>
  <si>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</si>
  <si>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</si>
  <si>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</si>
  <si>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</si>
  <si>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</si>
  <si>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</si>
  <si>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</si>
  <si>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</si>
  <si>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</si>
  <si>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</si>
  <si>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</si>
  <si>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</si>
  <si>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</si>
  <si>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</si>
  <si>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</si>
  <si>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</si>
  <si>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</si>
  <si>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</si>
  <si>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</si>
  <si>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</si>
  <si>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</si>
  <si>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</si>
  <si>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</si>
  <si>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</si>
  <si>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</si>
  <si>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</si>
  <si>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</si>
  <si>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</si>
  <si>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</si>
  <si>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</si>
  <si>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</si>
  <si>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</si>
  <si>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</si>
  <si>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</si>
  <si>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</si>
  <si>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</si>
  <si>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</si>
  <si>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</si>
  <si>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</si>
  <si>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</si>
  <si>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</si>
  <si>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</si>
  <si>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</si>
  <si>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</si>
  <si>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</si>
  <si>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</si>
  <si>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</si>
  <si>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</si>
  <si>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</si>
  <si>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</si>
  <si>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</si>
  <si>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</si>
  <si>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</si>
  <si>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</si>
  <si>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</si>
  <si>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</si>
  <si>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</si>
  <si>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</si>
  <si>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</si>
  <si>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</si>
  <si>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</si>
  <si>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</si>
  <si>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</si>
  <si>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</si>
  <si>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</si>
  <si>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</si>
  <si>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</si>
  <si>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</si>
  <si>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</si>
  <si>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</si>
  <si>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</si>
  <si>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</si>
  <si>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</si>
  <si>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</si>
  <si>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</si>
  <si>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</si>
  <si>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</si>
  <si>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</si>
  <si>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</si>
  <si>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</si>
  <si>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</si>
  <si>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</si>
  <si>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</si>
  <si>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</si>
  <si>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</si>
  <si>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</si>
  <si>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</si>
  <si>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</si>
  <si>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</si>
  <si>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</si>
  <si>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</si>
  <si>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</si>
  <si>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</si>
  <si>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</si>
  <si>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</si>
  <si>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</si>
  <si>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</si>
  <si>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</si>
  <si>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</si>
  <si>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</si>
  <si>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</si>
  <si>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</si>
  <si>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</si>
  <si>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</si>
  <si>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</si>
  <si>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</si>
  <si>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</si>
  <si>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</si>
  <si>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</si>
  <si>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</si>
  <si>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</si>
  <si>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</si>
  <si>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</si>
  <si>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</si>
  <si>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</si>
  <si>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</si>
  <si>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</si>
  <si>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</si>
  <si>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</si>
  <si>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</si>
  <si>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</si>
  <si>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</si>
  <si>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</si>
  <si>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</si>
  <si>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</si>
  <si>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</si>
  <si>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</si>
  <si>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</si>
  <si>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</si>
  <si>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</si>
  <si>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</si>
  <si>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</si>
  <si>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</si>
  <si>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</si>
  <si>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</si>
  <si>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</si>
  <si>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</si>
  <si>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</si>
  <si>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</si>
  <si>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</si>
  <si>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</si>
  <si>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</si>
  <si>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</si>
  <si>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</si>
  <si>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</si>
  <si>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</si>
  <si>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</si>
  <si>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</si>
  <si>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</si>
  <si>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</si>
  <si>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</si>
  <si>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</si>
  <si>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</si>
  <si>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</si>
  <si>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</si>
  <si>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</si>
  <si>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</si>
  <si>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</si>
  <si>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</si>
  <si>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</si>
  <si>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</si>
  <si>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</si>
  <si>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</si>
  <si>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</si>
  <si>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</si>
  <si>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</si>
  <si>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</si>
  <si>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</si>
  <si>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</si>
  <si>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</si>
  <si>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</si>
  <si>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</si>
  <si>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</si>
  <si>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</si>
  <si>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</si>
  <si>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</si>
  <si>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</si>
  <si>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</si>
  <si>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</si>
  <si>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</si>
  <si>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</si>
  <si>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</si>
  <si>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</si>
  <si>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</si>
  <si>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</si>
  <si>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</si>
  <si>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</si>
  <si>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</si>
  <si>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</si>
  <si>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</si>
  <si>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</si>
  <si>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</si>
  <si>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</si>
  <si>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</si>
  <si>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</si>
  <si>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</si>
  <si>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</si>
  <si>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</si>
  <si>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</si>
  <si>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</si>
  <si>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</si>
  <si>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</si>
  <si>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</si>
  <si>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</si>
  <si>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</si>
  <si>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</si>
  <si>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</si>
  <si>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</si>
  <si>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</si>
  <si>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</si>
  <si>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</si>
  <si>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</si>
  <si>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</si>
  <si>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</si>
  <si>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</si>
  <si>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</si>
  <si>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</si>
  <si>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</si>
  <si>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</si>
  <si>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</si>
  <si>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</si>
  <si>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</si>
  <si>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</si>
  <si>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</si>
  <si>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</si>
  <si>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</si>
  <si>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</si>
  <si>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</si>
  <si>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</si>
  <si>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</si>
  <si>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</si>
  <si>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</si>
  <si>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</si>
  <si>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</si>
  <si>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</si>
  <si>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</si>
  <si>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</si>
  <si>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</si>
  <si>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</si>
  <si>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</si>
  <si>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</si>
  <si>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</si>
  <si>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</si>
  <si>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</si>
  <si>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</si>
  <si>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</si>
  <si>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</si>
  <si>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</si>
  <si>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</si>
  <si>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</si>
  <si>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</si>
  <si>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</si>
  <si>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</si>
  <si>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</si>
  <si>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</si>
  <si>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</si>
  <si>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</si>
  <si>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</si>
  <si>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</si>
  <si>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</si>
  <si>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</si>
  <si>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</si>
  <si>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</si>
  <si>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</si>
  <si>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</si>
  <si>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</si>
  <si>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</si>
  <si>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</si>
  <si>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</si>
  <si>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</si>
  <si>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</si>
  <si>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</si>
  <si>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</si>
  <si>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</si>
  <si>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</si>
  <si>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</si>
  <si>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</si>
  <si>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</si>
  <si>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</si>
  <si>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</si>
  <si>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</si>
  <si>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</si>
  <si>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</si>
  <si>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</si>
  <si>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</si>
  <si>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</si>
  <si>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</si>
  <si>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</si>
  <si>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</si>
  <si>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</si>
  <si>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</si>
  <si>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</si>
  <si>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</si>
  <si>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</si>
  <si>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</si>
  <si>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</si>
  <si>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</si>
  <si>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</si>
  <si>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</si>
  <si>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</si>
  <si>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</si>
  <si>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</si>
  <si>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</si>
  <si>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</si>
  <si>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</si>
  <si>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</si>
  <si>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</si>
  <si>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</si>
  <si>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</si>
  <si>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</si>
  <si>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</si>
  <si>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</si>
  <si>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</si>
  <si>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</si>
  <si>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</si>
  <si>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</si>
  <si>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</si>
  <si>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</si>
  <si>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</si>
  <si>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</si>
  <si>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</si>
  <si>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</si>
  <si>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</si>
  <si>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</si>
  <si>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</si>
  <si>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</si>
  <si>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</si>
  <si>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</si>
  <si>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</si>
  <si>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</si>
  <si>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</si>
  <si>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</si>
  <si>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</si>
  <si>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</si>
  <si>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</si>
  <si>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</si>
  <si>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</si>
  <si>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</si>
  <si>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</si>
  <si>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</si>
  <si>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</si>
  <si>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</si>
  <si>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</si>
  <si>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</si>
  <si>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</si>
  <si>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</si>
  <si>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</si>
  <si>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</si>
  <si>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</si>
  <si>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</si>
  <si>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</si>
  <si>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</si>
  <si>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</si>
  <si>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</si>
  <si>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</si>
  <si>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</si>
  <si>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</si>
  <si>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</si>
  <si>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</si>
  <si>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</si>
  <si>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</si>
  <si>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</si>
  <si>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</si>
  <si>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</si>
  <si>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</si>
  <si>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</si>
  <si>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</si>
  <si>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</si>
  <si>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</si>
  <si>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</si>
  <si>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</si>
  <si>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</si>
  <si>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</si>
  <si>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</si>
  <si>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</si>
  <si>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</si>
  <si>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</si>
  <si>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</si>
  <si>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</si>
  <si>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</si>
  <si>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</si>
  <si>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</si>
  <si>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</si>
  <si>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</si>
  <si>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</si>
  <si>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</si>
  <si>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</si>
  <si>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</si>
  <si>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</si>
  <si>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</si>
  <si>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</si>
  <si>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</si>
  <si>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</si>
  <si>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</si>
  <si>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</si>
  <si>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</si>
  <si>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</si>
  <si>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</si>
  <si>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</si>
  <si>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</si>
  <si>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</si>
  <si>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</si>
  <si>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</si>
  <si>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</si>
  <si>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</si>
  <si>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</si>
  <si>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</si>
  <si>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</si>
  <si>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</si>
  <si>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</si>
  <si>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</si>
  <si>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</si>
  <si>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</si>
  <si>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</si>
  <si>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</si>
  <si>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</si>
  <si>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</si>
  <si>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</si>
  <si>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</si>
  <si>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</si>
  <si>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</si>
  <si>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</si>
  <si>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</si>
  <si>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</si>
  <si>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</si>
  <si>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</si>
  <si>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</si>
  <si>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</si>
  <si>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</si>
  <si>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</si>
  <si>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</si>
  <si>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</si>
  <si>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</si>
  <si>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</si>
  <si>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</si>
  <si>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</si>
  <si>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</si>
  <si>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</si>
  <si>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</si>
  <si>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</si>
  <si>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</si>
  <si>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</si>
  <si>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</si>
  <si>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</si>
  <si>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</si>
  <si>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</si>
  <si>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</si>
  <si>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</si>
  <si>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</si>
  <si>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</si>
  <si>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</si>
  <si>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</si>
  <si>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</si>
  <si>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</si>
  <si>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</si>
  <si>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</si>
  <si>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</si>
  <si>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</si>
  <si>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</si>
  <si>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</si>
  <si>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</si>
  <si>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</si>
  <si>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</si>
  <si>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</si>
  <si>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</si>
  <si>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</si>
  <si>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</si>
  <si>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</si>
  <si>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</si>
  <si>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</si>
  <si>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</si>
  <si>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</si>
  <si>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</si>
  <si>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</si>
  <si>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</si>
  <si>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</si>
  <si>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</si>
  <si>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</si>
  <si>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</si>
  <si>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</si>
  <si>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</si>
  <si>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</si>
  <si>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</si>
  <si>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</si>
  <si>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</si>
  <si>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</si>
  <si>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</si>
  <si>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</si>
  <si>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</si>
  <si>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</si>
  <si>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</si>
  <si>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</si>
  <si>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</si>
  <si>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</si>
  <si>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</si>
  <si>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</si>
  <si>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</si>
  <si>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</si>
  <si>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</si>
  <si>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</si>
  <si>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</si>
  <si>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</si>
  <si>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</si>
  <si>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</si>
  <si>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</si>
  <si>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</si>
  <si>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</si>
  <si>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</si>
  <si>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</si>
  <si>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</si>
  <si>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</si>
  <si>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</si>
  <si>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</si>
  <si>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</si>
  <si>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</si>
  <si>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</si>
  <si>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</si>
  <si>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</si>
  <si>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</si>
  <si>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</si>
  <si>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</si>
  <si>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</si>
  <si>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</si>
  <si>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</si>
  <si>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</si>
  <si>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</si>
  <si>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</si>
  <si>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</si>
  <si>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</si>
  <si>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</si>
  <si>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</si>
  <si>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</si>
  <si>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</si>
  <si>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</si>
  <si>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</si>
  <si>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</si>
  <si>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</si>
  <si>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</si>
  <si>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</si>
  <si>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</si>
  <si>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</si>
  <si>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</si>
  <si>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</si>
  <si>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</si>
  <si>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</si>
  <si>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</si>
  <si>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</si>
  <si>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</si>
  <si>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</si>
  <si>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</si>
  <si>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</si>
  <si>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</si>
  <si>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</si>
  <si>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</si>
  <si>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</si>
  <si>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</si>
  <si>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</si>
  <si>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</si>
  <si>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</si>
  <si>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</si>
  <si>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</si>
  <si>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</si>
  <si>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</si>
  <si>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</si>
  <si>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</si>
  <si>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</si>
  <si>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</si>
  <si>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</si>
  <si>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</si>
  <si>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</si>
  <si>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</si>
  <si>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</si>
  <si>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</si>
  <si>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</si>
  <si>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</si>
  <si>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</si>
  <si>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</si>
  <si>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</si>
  <si>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</si>
  <si>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</si>
  <si>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</si>
  <si>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</si>
  <si>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</si>
  <si>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</si>
  <si>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</si>
  <si>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</si>
  <si>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</si>
  <si>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</si>
  <si>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</si>
  <si>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</si>
  <si>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</si>
  <si>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</si>
  <si>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</si>
  <si>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</si>
  <si>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</si>
  <si>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</si>
  <si>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</si>
  <si>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</si>
  <si>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</si>
  <si>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</si>
  <si>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</si>
  <si>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</si>
  <si>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</si>
  <si>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</si>
  <si>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</si>
  <si>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</si>
  <si>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</si>
  <si>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</si>
  <si>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</si>
  <si>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</si>
  <si>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</si>
  <si>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</si>
  <si>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</si>
  <si>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</si>
  <si>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</si>
  <si>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</si>
  <si>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</si>
  <si>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</si>
  <si>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</si>
  <si>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</si>
  <si>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</si>
  <si>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</si>
  <si>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</si>
  <si>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</si>
  <si>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</si>
  <si>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</si>
  <si>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</si>
  <si>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</si>
  <si>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</si>
  <si>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</si>
  <si>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</si>
  <si>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</si>
  <si>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</si>
  <si>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</si>
  <si>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</si>
  <si>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</si>
  <si>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</si>
  <si>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</si>
  <si>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</si>
  <si>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</si>
  <si>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</si>
  <si>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</si>
  <si>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</si>
  <si>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</si>
  <si>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</si>
  <si>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</si>
  <si>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</si>
  <si>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</si>
  <si>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</si>
  <si>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</si>
  <si>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</si>
  <si>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</si>
  <si>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</si>
  <si>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</si>
  <si>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</si>
  <si>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</si>
  <si>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</si>
  <si>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</si>
  <si>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</si>
  <si>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</si>
  <si>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</si>
  <si>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</si>
  <si>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</si>
  <si>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</si>
  <si>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</si>
  <si>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</si>
  <si>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</si>
  <si>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</si>
  <si>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</si>
  <si>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</si>
  <si>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</si>
  <si>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</si>
  <si>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</si>
  <si>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</si>
  <si>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</si>
  <si>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</si>
  <si>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</si>
  <si>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</si>
  <si>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</si>
  <si>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</si>
  <si>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</si>
  <si>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</si>
  <si>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</si>
  <si>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</si>
  <si>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</si>
  <si>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</si>
  <si>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</si>
  <si>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</si>
  <si>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</si>
  <si>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</si>
  <si>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</si>
  <si>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</si>
  <si>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</si>
  <si>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</si>
  <si>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</si>
  <si>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</si>
  <si>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</si>
  <si>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</si>
  <si>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</si>
  <si>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</si>
  <si>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</si>
  <si>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</si>
  <si>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</si>
  <si>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</si>
  <si>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</si>
  <si>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</si>
  <si>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</si>
  <si>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</si>
  <si>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</si>
  <si>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</si>
  <si>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</si>
  <si>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</si>
  <si>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</si>
  <si>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</si>
  <si>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</si>
  <si>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</si>
  <si>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</si>
  <si>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</si>
  <si>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</si>
  <si>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</si>
  <si>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</si>
  <si>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</si>
  <si>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</si>
  <si>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</si>
  <si>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</si>
  <si>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</si>
  <si>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</si>
  <si>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</si>
  <si>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</si>
  <si>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</si>
  <si>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</si>
  <si>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</si>
  <si>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</si>
  <si>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</si>
  <si>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</si>
  <si>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</si>
  <si>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</si>
  <si>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</si>
  <si>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</si>
  <si>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</si>
  <si>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</si>
  <si>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</si>
  <si>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</si>
  <si>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</si>
  <si>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</si>
  <si>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</si>
  <si>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</si>
  <si>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</si>
  <si>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</si>
  <si>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</si>
  <si>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</si>
  <si>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</si>
  <si>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</si>
  <si>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</si>
  <si>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</si>
  <si>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</si>
  <si>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</si>
  <si>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</si>
  <si>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</si>
  <si>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</si>
  <si>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</si>
  <si>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</si>
  <si>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</si>
  <si>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</si>
  <si>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</si>
  <si>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</si>
  <si>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</si>
  <si>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</si>
  <si>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</si>
  <si>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</si>
  <si>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</si>
  <si>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</si>
  <si>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</si>
  <si>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</si>
  <si>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</si>
  <si>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</si>
  <si>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</si>
  <si>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</si>
  <si>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</si>
  <si>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</si>
  <si>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</si>
  <si>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</si>
  <si>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</si>
  <si>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</si>
  <si>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</si>
  <si>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</si>
  <si>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</si>
  <si>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</si>
  <si>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</si>
  <si>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</si>
  <si>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</si>
  <si>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</si>
  <si>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</si>
  <si>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</si>
  <si>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</si>
  <si>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</si>
  <si>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</si>
  <si>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</si>
  <si>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</si>
  <si>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</si>
  <si>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</si>
  <si>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</si>
  <si>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</si>
  <si>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</si>
  <si>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</si>
  <si>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</si>
  <si>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</si>
  <si>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</si>
  <si>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</si>
  <si>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</si>
  <si>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</si>
  <si>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</si>
  <si>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</si>
  <si>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</si>
  <si>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</si>
  <si>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</si>
  <si>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</si>
  <si>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</si>
  <si>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</si>
  <si>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</si>
  <si>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</si>
  <si>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</si>
  <si>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</si>
  <si>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</si>
  <si>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</si>
  <si>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</si>
  <si>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</si>
  <si>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</si>
  <si>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</si>
  <si>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</si>
  <si>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</si>
  <si>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</si>
  <si>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</si>
  <si>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</si>
  <si>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</si>
  <si>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</si>
  <si>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</si>
  <si>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</si>
  <si>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</si>
  <si>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</si>
  <si>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</si>
  <si>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</si>
  <si>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</si>
  <si>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</si>
  <si>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</si>
  <si>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</si>
  <si>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</si>
  <si>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</si>
  <si>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</si>
  <si>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</si>
  <si>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</si>
  <si>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</si>
  <si>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</si>
  <si>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</si>
  <si>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</si>
  <si>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</si>
  <si>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</si>
  <si>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</si>
  <si>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</si>
  <si>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</si>
  <si>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</si>
  <si>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</si>
  <si>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</si>
  <si>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</si>
  <si>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</si>
  <si>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</si>
  <si>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</si>
  <si>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</si>
  <si>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</si>
  <si>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</si>
  <si>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</si>
  <si>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</si>
  <si>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</si>
  <si>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</si>
  <si>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</si>
  <si>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</si>
  <si>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</si>
  <si>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</si>
  <si>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</si>
  <si>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</si>
  <si>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</si>
  <si>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</si>
  <si>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</si>
  <si>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</si>
  <si>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</si>
  <si>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</si>
  <si>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</si>
  <si>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</si>
  <si>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</si>
  <si>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</si>
  <si>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</si>
  <si>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</si>
  <si>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</si>
  <si>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</si>
  <si>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</si>
  <si>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</si>
  <si>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</si>
  <si>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</si>
  <si>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</si>
  <si>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</si>
  <si>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</si>
  <si>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</si>
  <si>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(include 2 mos.)</t>
  </si>
  <si>
    <t>March 1, 2026 increase (annualize)</t>
  </si>
  <si>
    <t>2025 Increase</t>
  </si>
  <si>
    <t>(include 10 mos.)</t>
  </si>
  <si>
    <t>March 1, 2025 increase, partial year</t>
  </si>
  <si>
    <t>2024 Increase</t>
  </si>
  <si>
    <t>Adjustment % to annualize year 2024</t>
  </si>
  <si>
    <t>March 1, 2024 increase</t>
  </si>
  <si>
    <t>Annualize 2023</t>
  </si>
  <si>
    <t>Factor to adjust July 1, 2023 - February 28, 2024</t>
  </si>
  <si>
    <t>March 1, 2023 increase</t>
  </si>
  <si>
    <t xml:space="preserve">ADMIN </t>
  </si>
  <si>
    <t>Adjustment % to annualize year 2026</t>
  </si>
  <si>
    <t>March 26, 2026 increase</t>
  </si>
  <si>
    <t>2026 Adjustment</t>
  </si>
  <si>
    <t>(include approx. 9 mos.)</t>
  </si>
  <si>
    <t>March 26, 2025 increase</t>
  </si>
  <si>
    <t>2025 Adjustment</t>
  </si>
  <si>
    <t>March 26, 2024 increase</t>
  </si>
  <si>
    <t>2024 Adjustment</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</si>
  <si>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</si>
  <si>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</si>
  <si>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</si>
  <si>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</si>
  <si>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</si>
  <si>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</si>
  <si>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</si>
  <si>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</si>
  <si>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</si>
  <si>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</si>
  <si>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</si>
  <si>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</si>
  <si>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</si>
  <si>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</si>
  <si>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</si>
  <si>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</si>
  <si>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</si>
  <si>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</si>
  <si>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</si>
  <si>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</si>
  <si>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</si>
  <si>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</si>
  <si>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</si>
  <si>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</si>
  <si>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</si>
  <si>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</si>
  <si>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</si>
  <si>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</si>
  <si>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</si>
  <si>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</si>
  <si>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</si>
  <si>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</si>
  <si>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</si>
  <si>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</si>
  <si>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</si>
  <si>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</si>
  <si>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</si>
  <si>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</si>
  <si>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</si>
  <si>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</si>
  <si>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</si>
  <si>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</si>
  <si>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</si>
  <si>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</si>
  <si>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</si>
  <si>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</si>
  <si>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</si>
  <si>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</si>
  <si>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</si>
  <si>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</si>
  <si>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</si>
  <si>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</si>
  <si>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</si>
  <si>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</si>
  <si>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</si>
  <si>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</si>
  <si>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</si>
  <si>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</si>
  <si>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</si>
  <si>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</si>
  <si>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</si>
  <si>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</si>
  <si>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</si>
  <si>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</si>
  <si>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</si>
  <si>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</si>
  <si>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</si>
  <si>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</si>
  <si>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</si>
  <si>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</si>
  <si>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</si>
  <si>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</si>
  <si>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</si>
  <si>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</si>
  <si>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</si>
  <si>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</si>
  <si>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</si>
  <si>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</si>
  <si>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</si>
  <si>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</si>
  <si>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</si>
  <si>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</si>
  <si>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</si>
  <si>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</si>
  <si>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</si>
  <si>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</si>
  <si>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</si>
  <si>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</si>
  <si>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</si>
  <si>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</si>
  <si>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</si>
  <si>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</si>
  <si>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</si>
  <si>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</si>
  <si>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</si>
  <si>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</si>
  <si>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</si>
  <si>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</si>
  <si>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</si>
  <si>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</si>
  <si>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</si>
  <si>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</si>
  <si>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</si>
  <si>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</si>
  <si>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</si>
  <si>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</si>
  <si>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</si>
  <si>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</si>
  <si>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</si>
  <si>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</si>
  <si>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</si>
  <si>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</si>
  <si>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</si>
  <si>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</si>
  <si>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</si>
  <si>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</si>
  <si>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</si>
  <si>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</si>
  <si>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</si>
  <si>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</si>
  <si>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</si>
  <si>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</si>
  <si>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</si>
  <si>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</si>
  <si>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</si>
  <si>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</si>
  <si>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</si>
  <si>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</si>
  <si>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</si>
  <si>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</si>
  <si>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</si>
  <si>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</si>
  <si>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</si>
  <si>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</si>
  <si>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</si>
  <si>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</si>
  <si>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</si>
  <si>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</si>
  <si>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</si>
  <si>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</si>
  <si>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</si>
  <si>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</si>
  <si>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</si>
  <si>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</si>
  <si>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</si>
  <si>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</si>
  <si>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</si>
  <si>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</si>
  <si>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</si>
  <si>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</si>
  <si>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</si>
  <si>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</si>
  <si>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</si>
  <si>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</si>
  <si>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</si>
  <si>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</si>
  <si>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</si>
  <si>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</si>
  <si>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</si>
  <si>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</si>
  <si>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</si>
  <si>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</si>
  <si>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</si>
  <si>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</si>
  <si>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</si>
  <si>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</si>
  <si>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</si>
  <si>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</si>
  <si>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</si>
  <si>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</si>
  <si>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</si>
  <si>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</si>
  <si>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</si>
  <si>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</si>
  <si>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</si>
  <si>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</si>
  <si>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</si>
  <si>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</si>
  <si>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</si>
  <si>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</si>
  <si>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</si>
  <si>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</si>
  <si>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</si>
  <si>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</si>
  <si>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</si>
  <si>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</si>
  <si>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</si>
  <si>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</si>
  <si>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</si>
  <si>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</si>
  <si>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</si>
  <si>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</si>
  <si>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</si>
  <si>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</si>
  <si>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</si>
  <si>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</si>
  <si>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</si>
  <si>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</si>
  <si>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</si>
  <si>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</si>
  <si>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</si>
  <si>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</si>
  <si>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</si>
  <si>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</si>
  <si>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</si>
  <si>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</si>
  <si>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</si>
  <si>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</si>
  <si>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</si>
  <si>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</si>
  <si>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</si>
  <si>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</si>
  <si>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</si>
  <si>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</si>
  <si>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</si>
  <si>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</si>
  <si>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</si>
  <si>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</si>
  <si>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</si>
  <si>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</si>
  <si>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</si>
  <si>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</si>
  <si>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</si>
  <si>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</si>
  <si>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</si>
  <si>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</si>
  <si>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</si>
  <si>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</si>
  <si>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</si>
  <si>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</si>
  <si>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</si>
  <si>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</si>
  <si>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</si>
  <si>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</si>
  <si>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</si>
  <si>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</si>
  <si>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</si>
  <si>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</si>
  <si>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</si>
  <si>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</si>
  <si>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</si>
  <si>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</si>
  <si>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</si>
  <si>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</si>
  <si>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</si>
  <si>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</si>
  <si>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</si>
  <si>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</si>
  <si>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</si>
  <si>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</si>
  <si>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</si>
  <si>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</si>
  <si>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</si>
  <si>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</si>
  <si>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</si>
  <si>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</si>
  <si>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</si>
  <si>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</si>
  <si>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</si>
  <si>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</si>
  <si>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</si>
  <si>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</si>
  <si>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</si>
  <si>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</si>
  <si>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</si>
  <si>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</si>
  <si>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</si>
  <si>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</si>
  <si>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</si>
  <si>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</si>
  <si>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</si>
  <si>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</si>
  <si>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</si>
  <si>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</si>
  <si>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</si>
  <si>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</si>
  <si>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</si>
  <si>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</si>
  <si>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</si>
  <si>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</si>
  <si>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</si>
  <si>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</si>
  <si>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</si>
  <si>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</si>
  <si>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</si>
  <si>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</si>
  <si>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</si>
  <si>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</si>
  <si>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</si>
  <si>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</si>
  <si>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</si>
  <si>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</si>
  <si>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</si>
  <si>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</si>
  <si>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</si>
  <si>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</si>
  <si>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</si>
  <si>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</si>
  <si>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</si>
  <si>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</si>
  <si>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</si>
  <si>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</si>
  <si>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</si>
  <si>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</si>
  <si>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</si>
  <si>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</si>
  <si>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</si>
  <si>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</si>
  <si>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</si>
  <si>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</si>
  <si>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</si>
  <si>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</si>
  <si>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</si>
  <si>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</si>
  <si>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</si>
  <si>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</si>
  <si>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</si>
  <si>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</si>
  <si>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</si>
  <si>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</si>
  <si>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</si>
  <si>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</si>
  <si>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</si>
  <si>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</si>
  <si>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</si>
  <si>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</si>
  <si>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</si>
  <si>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</si>
  <si>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</si>
  <si>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</si>
  <si>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</si>
  <si>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</si>
  <si>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</si>
  <si>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</si>
  <si>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</si>
  <si>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</si>
  <si>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</si>
  <si>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</si>
  <si>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</si>
  <si>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</si>
  <si>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</si>
  <si>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</si>
  <si>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</si>
  <si>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</si>
  <si>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</si>
  <si>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</si>
  <si>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</si>
  <si>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</si>
  <si>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</si>
  <si>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</si>
  <si>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</si>
  <si>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</si>
  <si>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</si>
  <si>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</si>
  <si>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</si>
  <si>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</si>
  <si>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</si>
  <si>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</si>
  <si>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</si>
  <si>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</si>
  <si>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</si>
  <si>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</si>
  <si>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</si>
  <si>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</si>
  <si>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</si>
  <si>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</si>
  <si>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</si>
  <si>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</si>
  <si>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</si>
  <si>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</si>
  <si>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</si>
  <si>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</si>
  <si>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</si>
  <si>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</si>
  <si>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</si>
  <si>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</si>
  <si>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</si>
  <si>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</si>
  <si>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</si>
  <si>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</si>
  <si>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</si>
  <si>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</si>
  <si>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</si>
  <si>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</si>
  <si>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</si>
  <si>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</si>
  <si>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</si>
  <si>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</si>
  <si>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</si>
  <si>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</si>
  <si>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</si>
  <si>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</si>
  <si>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</si>
  <si>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</si>
  <si>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</si>
  <si>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</si>
  <si>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</si>
  <si>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</si>
  <si>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</si>
  <si>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</si>
  <si>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</si>
  <si>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</si>
  <si>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</si>
  <si>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</si>
  <si>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</si>
  <si>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</si>
  <si>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</si>
  <si>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</si>
  <si>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</si>
  <si>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830-MT</t>
  </si>
  <si>
    <t>826-OP</t>
  </si>
  <si>
    <t>Storage Well Royalties &amp; Rents</t>
  </si>
  <si>
    <t>825-OP</t>
  </si>
  <si>
    <t>824-OP</t>
  </si>
  <si>
    <t>Purification Expenses</t>
  </si>
  <si>
    <t>821-OP</t>
  </si>
  <si>
    <t>930200</t>
  </si>
  <si>
    <t>Measuring &amp; Regulator Station</t>
  </si>
  <si>
    <t>820-OP</t>
  </si>
  <si>
    <t>819-OP</t>
  </si>
  <si>
    <t>818-OP</t>
  </si>
  <si>
    <t>817-OP</t>
  </si>
  <si>
    <t>923000</t>
  </si>
  <si>
    <t>816-OP</t>
  </si>
  <si>
    <t>815-OP</t>
  </si>
  <si>
    <t>814-OP</t>
  </si>
  <si>
    <t>Underground Storage Expenses</t>
  </si>
  <si>
    <t>Total Purchased Gas Expenses</t>
  </si>
  <si>
    <t>813-xxx</t>
  </si>
  <si>
    <t>GTI Expenses</t>
  </si>
  <si>
    <t>813-010</t>
  </si>
  <si>
    <t>811-00</t>
  </si>
  <si>
    <t>Total Purchased Gas Cost</t>
  </si>
  <si>
    <t>Proforma Purchased Gas Expense</t>
  </si>
  <si>
    <t>804.xx</t>
  </si>
  <si>
    <t>808-xxx</t>
  </si>
  <si>
    <t>Gas Expense - Estimated Deferrals</t>
  </si>
  <si>
    <t>805-990</t>
  </si>
  <si>
    <t>Gas Expense - Estimated Amortizations</t>
  </si>
  <si>
    <t>805-980</t>
  </si>
  <si>
    <t>Gas Expense - Rate Deferrals</t>
  </si>
  <si>
    <t>805-120</t>
  </si>
  <si>
    <t>Gas Exp - Rate Amortizations</t>
  </si>
  <si>
    <t>805-110</t>
  </si>
  <si>
    <t>Gas Costs - Fixed Hedge</t>
  </si>
  <si>
    <t>804-010</t>
  </si>
  <si>
    <t>Off System Bookout Offset</t>
  </si>
  <si>
    <t>804-711</t>
  </si>
  <si>
    <t>Off System Gas Purchases - Bookout</t>
  </si>
  <si>
    <t>804-700</t>
  </si>
  <si>
    <t>Gas Purchases - Financial</t>
  </si>
  <si>
    <t>804-600</t>
  </si>
  <si>
    <t>Gas Transaction Fees</t>
  </si>
  <si>
    <t>804-170</t>
  </si>
  <si>
    <t>Gas Costs - Intracompany LDC Gas</t>
  </si>
  <si>
    <t>804-730</t>
  </si>
  <si>
    <t>Transaction Fees</t>
  </si>
  <si>
    <t>804-017</t>
  </si>
  <si>
    <t>Transport Variable Charges</t>
  </si>
  <si>
    <t>804-002</t>
  </si>
  <si>
    <t>Pipeline Demand Costs</t>
  </si>
  <si>
    <t>804-001</t>
  </si>
  <si>
    <t>804/805-000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</si>
  <si>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</si>
  <si>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</si>
  <si>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</si>
  <si>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</si>
  <si>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</si>
  <si>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</si>
  <si>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</si>
  <si>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</si>
  <si>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</si>
  <si>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</si>
  <si>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</si>
  <si>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</si>
  <si>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</si>
  <si>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</si>
  <si>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</si>
  <si>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</si>
  <si>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</si>
  <si>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</si>
  <si>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</si>
  <si>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</si>
  <si>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</si>
  <si>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</si>
  <si>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</si>
  <si>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</si>
  <si>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</si>
  <si>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</si>
  <si>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</si>
  <si>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</si>
  <si>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</si>
  <si>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</si>
  <si>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</si>
  <si>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</si>
  <si>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</si>
  <si>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</si>
  <si>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</si>
  <si>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</si>
  <si>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</si>
  <si>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</si>
  <si>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</si>
  <si>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</si>
  <si>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</si>
  <si>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</si>
  <si>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</si>
  <si>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</si>
  <si>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</si>
  <si>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</si>
  <si>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</si>
  <si>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</si>
  <si>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</si>
  <si>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</si>
  <si>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</si>
  <si>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</si>
  <si>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</si>
  <si>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</si>
  <si>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</si>
  <si>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</si>
  <si>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</si>
  <si>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</si>
  <si>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</si>
  <si>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</si>
  <si>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</si>
  <si>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</si>
  <si>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</si>
  <si>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</si>
  <si>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</si>
  <si>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</si>
  <si>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</si>
  <si>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</si>
  <si>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</si>
  <si>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</si>
  <si>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</si>
  <si>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</si>
  <si>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</si>
  <si>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</si>
  <si>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</si>
  <si>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</si>
  <si>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</si>
  <si>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</si>
  <si>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</si>
  <si>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</si>
  <si>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</si>
  <si>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</si>
  <si>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</si>
  <si>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</si>
  <si>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</si>
  <si>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</si>
  <si>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</si>
  <si>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</si>
  <si>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</si>
  <si>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</si>
  <si>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</si>
  <si>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</si>
  <si>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</si>
  <si>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</si>
  <si>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</si>
  <si>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</si>
  <si>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</si>
  <si>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</si>
  <si>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</si>
  <si>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</si>
  <si>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</si>
  <si>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</si>
  <si>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</si>
  <si>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</si>
  <si>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</si>
  <si>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</si>
  <si>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</si>
  <si>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</si>
  <si>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</si>
  <si>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</si>
  <si>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</si>
  <si>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</si>
  <si>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</si>
  <si>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</si>
  <si>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</si>
  <si>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</si>
  <si>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</si>
  <si>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</si>
  <si>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</si>
  <si>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</si>
  <si>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</si>
  <si>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</si>
  <si>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</si>
  <si>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</si>
  <si>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</si>
  <si>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</si>
  <si>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</si>
  <si>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</si>
  <si>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</si>
  <si>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</si>
  <si>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</si>
  <si>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</si>
  <si>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</si>
  <si>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</si>
  <si>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</si>
  <si>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</si>
  <si>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</si>
  <si>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</si>
  <si>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</si>
  <si>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</si>
  <si>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</si>
  <si>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</si>
  <si>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</si>
  <si>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</si>
  <si>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</si>
  <si>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</si>
  <si>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</si>
  <si>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</si>
  <si>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</si>
  <si>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</si>
  <si>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</si>
  <si>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</si>
  <si>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</si>
  <si>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</si>
  <si>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</si>
  <si>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</si>
  <si>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</si>
  <si>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</si>
  <si>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</si>
  <si>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</si>
  <si>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</si>
  <si>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</si>
  <si>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</si>
  <si>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</si>
  <si>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</si>
  <si>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</si>
  <si>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</si>
  <si>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</si>
  <si>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</si>
  <si>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</si>
  <si>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</si>
  <si>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</si>
  <si>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</si>
  <si>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</si>
  <si>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</si>
  <si>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</si>
  <si>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</si>
  <si>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</si>
  <si>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</si>
  <si>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</si>
  <si>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</si>
  <si>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</si>
  <si>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</si>
  <si>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</si>
  <si>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</si>
  <si>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</si>
  <si>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</si>
  <si>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</si>
  <si>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</si>
  <si>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</si>
  <si>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</si>
  <si>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</si>
  <si>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</si>
  <si>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</si>
  <si>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</si>
  <si>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</si>
  <si>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</si>
  <si>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</si>
  <si>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</si>
  <si>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</si>
  <si>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</si>
  <si>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</si>
  <si>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</si>
  <si>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</si>
  <si>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</si>
  <si>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</si>
  <si>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</si>
  <si>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</si>
  <si>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</si>
  <si>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</si>
  <si>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</si>
  <si>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</si>
  <si>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</si>
  <si>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</si>
  <si>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</si>
  <si>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</si>
  <si>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</si>
  <si>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</si>
  <si>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</si>
  <si>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</si>
  <si>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</si>
  <si>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</si>
  <si>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</si>
  <si>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</si>
  <si>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</si>
  <si>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</si>
  <si>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</si>
  <si>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</si>
  <si>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</si>
  <si>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</si>
  <si>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</si>
  <si>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</si>
  <si>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</si>
  <si>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</si>
  <si>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</si>
  <si>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</si>
  <si>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</si>
  <si>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</si>
  <si>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</si>
  <si>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</si>
  <si>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</si>
  <si>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</si>
  <si>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</si>
  <si>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</si>
  <si>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</si>
  <si>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</si>
  <si>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</si>
  <si>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</si>
  <si>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</si>
  <si>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</si>
  <si>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</si>
  <si>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</si>
  <si>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</si>
  <si>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</si>
  <si>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</si>
  <si>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</si>
  <si>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</si>
  <si>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</si>
  <si>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</si>
  <si>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</si>
  <si>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</si>
  <si>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</si>
  <si>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</si>
  <si>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</si>
  <si>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</si>
  <si>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</si>
  <si>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</si>
  <si>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</si>
  <si>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</si>
  <si>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</si>
  <si>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</si>
  <si>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</si>
  <si>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</si>
  <si>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</si>
  <si>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</si>
  <si>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</si>
  <si>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</si>
  <si>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</si>
  <si>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</si>
  <si>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</si>
  <si>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</si>
  <si>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</si>
  <si>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</si>
  <si>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</si>
  <si>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</si>
  <si>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</si>
  <si>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</si>
  <si>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</si>
  <si>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</si>
  <si>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</si>
  <si>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</si>
  <si>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</si>
  <si>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</si>
  <si>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</si>
  <si>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</si>
  <si>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</si>
  <si>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</si>
  <si>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</si>
  <si>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</si>
  <si>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</si>
  <si>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</si>
  <si>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</si>
  <si>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</si>
  <si>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</si>
  <si>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</si>
  <si>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</si>
  <si>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</si>
  <si>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</si>
  <si>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</si>
  <si>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</si>
  <si>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</si>
  <si>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</si>
  <si>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</si>
  <si>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</si>
  <si>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</si>
  <si>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</si>
  <si>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</si>
  <si>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</si>
  <si>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</si>
  <si>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</si>
  <si>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</si>
  <si>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</si>
  <si>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</si>
  <si>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</si>
  <si>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</si>
  <si>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</si>
  <si>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</si>
  <si>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</si>
  <si>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</si>
  <si>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</si>
  <si>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</si>
  <si>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</si>
  <si>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</si>
  <si>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</si>
  <si>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</si>
  <si>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</si>
  <si>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</si>
  <si>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</si>
  <si>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</si>
  <si>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</si>
  <si>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</si>
  <si>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</si>
  <si>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</si>
  <si>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</si>
  <si>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</si>
  <si>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</si>
  <si>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</si>
  <si>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</si>
  <si>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</si>
  <si>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</si>
  <si>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</si>
  <si>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</si>
  <si>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</si>
  <si>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</si>
  <si>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</si>
  <si>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</si>
  <si>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</si>
  <si>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</si>
  <si>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</si>
  <si>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</si>
  <si>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</si>
  <si>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</si>
  <si>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</si>
  <si>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</si>
  <si>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</si>
  <si>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</si>
  <si>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</si>
  <si>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</si>
  <si>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</si>
  <si>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</si>
  <si>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</si>
  <si>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</si>
  <si>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</si>
  <si>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</si>
  <si>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</si>
  <si>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</si>
  <si>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</si>
  <si>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</si>
  <si>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</si>
  <si>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</si>
  <si>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</si>
  <si>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</si>
  <si>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</si>
  <si>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</si>
  <si>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</si>
  <si>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</si>
  <si>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</si>
  <si>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</si>
  <si>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</si>
  <si>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</si>
  <si>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</si>
  <si>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</si>
  <si>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</si>
  <si>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</si>
  <si>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</si>
  <si>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</si>
  <si>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</si>
  <si>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</si>
  <si>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</si>
  <si>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</si>
  <si>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</si>
  <si>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</si>
  <si>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</si>
  <si>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</si>
  <si>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</si>
  <si>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</si>
  <si>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</si>
  <si>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</si>
  <si>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</si>
  <si>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</si>
  <si>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</si>
  <si>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</si>
  <si>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</si>
  <si>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</si>
  <si>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</si>
  <si>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</si>
  <si>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</si>
  <si>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</si>
  <si>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</si>
  <si>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</si>
  <si>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</si>
  <si>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</si>
  <si>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</si>
  <si>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</si>
  <si>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</si>
  <si>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</si>
  <si>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</si>
  <si>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</si>
  <si>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</si>
  <si>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</si>
  <si>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</si>
  <si>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</si>
  <si>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</si>
  <si>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</si>
  <si>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</si>
  <si>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</si>
  <si>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</si>
  <si>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</si>
  <si>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</si>
  <si>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</si>
  <si>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</si>
  <si>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</si>
  <si>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</si>
  <si>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</si>
  <si>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</si>
  <si>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</si>
  <si>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</si>
  <si>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</si>
  <si>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</si>
  <si>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</si>
  <si>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</si>
  <si>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</si>
  <si>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</si>
  <si>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</si>
  <si>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</si>
  <si>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</si>
  <si>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</si>
  <si>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</si>
  <si>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</si>
  <si>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</si>
  <si>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</si>
  <si>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</si>
  <si>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</si>
  <si>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</si>
  <si>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</si>
  <si>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</si>
  <si>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</si>
  <si>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</si>
  <si>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</si>
  <si>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</si>
  <si>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</si>
  <si>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</si>
  <si>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</si>
  <si>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</si>
  <si>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</si>
  <si>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</si>
  <si>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</si>
  <si>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</si>
  <si>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</si>
  <si>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</si>
  <si>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</si>
  <si>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</si>
  <si>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</si>
  <si>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</si>
  <si>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</si>
  <si>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</si>
  <si>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</si>
  <si>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</si>
  <si>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</si>
  <si>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</si>
  <si>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</si>
  <si>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</si>
  <si>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</si>
  <si>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</si>
  <si>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</si>
  <si>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</si>
  <si>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</si>
  <si>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</si>
  <si>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</si>
  <si>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</si>
  <si>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</si>
  <si>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</si>
  <si>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</si>
  <si>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</si>
  <si>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</si>
  <si>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</si>
  <si>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</si>
  <si>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</si>
  <si>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</si>
  <si>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</si>
  <si>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</si>
  <si>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</si>
  <si>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</si>
  <si>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</si>
  <si>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</si>
  <si>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</si>
  <si>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</si>
  <si>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</si>
  <si>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</si>
  <si>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</si>
  <si>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</si>
  <si>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</si>
  <si>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</si>
  <si>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</si>
  <si>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</si>
  <si>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</si>
  <si>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</si>
  <si>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</si>
  <si>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</si>
  <si>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</si>
  <si>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</si>
  <si>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</si>
  <si>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</si>
  <si>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</si>
  <si>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</si>
  <si>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</si>
  <si>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</si>
  <si>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</si>
  <si>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</si>
  <si>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</si>
  <si>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</si>
  <si>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</si>
  <si>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</si>
  <si>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</si>
  <si>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</si>
  <si>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</si>
  <si>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</si>
  <si>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</si>
  <si>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</si>
  <si>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</si>
  <si>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</si>
  <si>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</si>
  <si>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</si>
  <si>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</si>
  <si>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</si>
  <si>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</si>
  <si>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</si>
  <si>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</si>
  <si>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</si>
  <si>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</si>
  <si>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</si>
  <si>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</si>
  <si>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</si>
  <si>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</si>
  <si>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</si>
  <si>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</si>
  <si>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</si>
  <si>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</si>
  <si>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</si>
  <si>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</si>
  <si>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</si>
  <si>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</si>
  <si>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</si>
  <si>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</si>
  <si>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</si>
  <si>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</si>
  <si>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</si>
  <si>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</si>
  <si>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</si>
  <si>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</si>
  <si>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</si>
  <si>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</si>
  <si>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</si>
  <si>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</si>
  <si>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</si>
  <si>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</si>
  <si>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</si>
  <si>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</si>
  <si>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</si>
  <si>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</si>
  <si>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</si>
  <si>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</si>
  <si>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</si>
  <si>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</si>
  <si>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</si>
  <si>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</si>
  <si>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</si>
  <si>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</si>
  <si>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</si>
  <si>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</si>
  <si>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</si>
  <si>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</si>
  <si>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</si>
  <si>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</si>
  <si>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</si>
  <si>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</si>
  <si>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</si>
  <si>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</si>
  <si>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</si>
  <si>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</si>
  <si>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</si>
  <si>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</si>
  <si>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</si>
  <si>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</si>
  <si>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</si>
  <si>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</si>
  <si>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</si>
  <si>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</si>
  <si>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</si>
  <si>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</si>
  <si>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</si>
  <si>
    <t>Adjustment - As-Filed</t>
  </si>
  <si>
    <t>Variance from As-Filed</t>
  </si>
  <si>
    <t>Adjustment - Revised</t>
  </si>
  <si>
    <t>*REVISED Flow through, balance returned to customers, remove</t>
  </si>
  <si>
    <t>Updated per AWEC-DR-005 Attachment B</t>
  </si>
  <si>
    <t>AS-FILED Rev Req Summary</t>
  </si>
  <si>
    <t>Incremental RY2</t>
  </si>
  <si>
    <t>Variance from filed</t>
  </si>
  <si>
    <t>*Updated per AWEC-DR-040</t>
  </si>
  <si>
    <t>Updated per AWEC-DR-040</t>
  </si>
  <si>
    <t>Net Revenue Requirement - AS FILED</t>
  </si>
  <si>
    <t>Variance From As-Filed</t>
  </si>
  <si>
    <t>Investor</t>
  </si>
  <si>
    <t>Relations</t>
  </si>
  <si>
    <t>PC Sch. 3.7</t>
  </si>
  <si>
    <t>Adjustment % to annualize 2023 increase</t>
  </si>
  <si>
    <t>(agreed to retro pay to March 26, 2024)</t>
  </si>
  <si>
    <t>Factor to adjust March 26, 2024 - March 25, 2025</t>
  </si>
  <si>
    <t>Factor to adjust March 26, 2025 - December 31, 2025</t>
  </si>
  <si>
    <t>Adjustment % annualize year 2025</t>
  </si>
  <si>
    <t>Factor to adjust January 1, 2026 - March 25, 2026</t>
  </si>
  <si>
    <t>Factor to adjust March 26, 2026 - December 31, 2026</t>
  </si>
  <si>
    <t>Factor to adjust March 1, 2024 - February 28, 2025</t>
  </si>
  <si>
    <t>Factor to adjust March 1, 2025 - December 31, 2025</t>
  </si>
  <si>
    <t>Factor to adjust January 1, 2026 - February 28, 2026</t>
  </si>
  <si>
    <t>Factor to include March 1, 2026 - December 31, 2026</t>
  </si>
  <si>
    <t>Adjustment % annualize year 2026</t>
  </si>
  <si>
    <t>REVISED</t>
  </si>
  <si>
    <t>Variance</t>
  </si>
  <si>
    <t>AS-FILED</t>
  </si>
  <si>
    <t>AS-FILED - Non-Union</t>
  </si>
  <si>
    <t>AS-FILED - Union</t>
  </si>
  <si>
    <t>Percent REVISED</t>
  </si>
  <si>
    <t>Percent - AS-FILED</t>
  </si>
  <si>
    <t>As-Filed</t>
  </si>
  <si>
    <t>Incremental Increase in Expense from that As-Filed</t>
  </si>
  <si>
    <t>Updated per Staff-DR-041C Confidential Attachment E</t>
  </si>
  <si>
    <t>*Amounts updated with updated information on Health Insurance and from Willis Towers Watson (WTW) for Post-Retirement Medical and 401(K).  
** Pro-Forma increases to 926225 and 926226 are based on labor increases, refer to Non-Executive Labor Adjustment, Pro-Forma Increases tab for calculation. Updated based on board approved labor increases as described in Staff-DR-046C.
***Regulatory Asset Pension Settlement is amortized over 12 years</t>
  </si>
  <si>
    <t>UPDATED</t>
  </si>
  <si>
    <t>Variance from Filed</t>
  </si>
  <si>
    <t>Updated per AWEC-DR-004 Supplemental Attachment A</t>
  </si>
  <si>
    <t>Updated per PC-DR-295 Attachment A</t>
  </si>
  <si>
    <t>Updated per Staff-DR-098 Supplemental Attachment A</t>
  </si>
  <si>
    <t>Total (WA101/102/111) - As orginally filed</t>
  </si>
  <si>
    <t>Total (WA101/102/111) - Change</t>
  </si>
  <si>
    <t>Updated per AWEC-DR-046 Attachment D</t>
  </si>
  <si>
    <t>Twelve Months Ended December 31, 2023 CBR</t>
  </si>
  <si>
    <t>PC Proposal</t>
  </si>
  <si>
    <t>*Excluded net CCA accounts costs.</t>
  </si>
  <si>
    <t xml:space="preserve">Incremental </t>
  </si>
  <si>
    <t>For Rev. Req. Model Entry</t>
  </si>
  <si>
    <t>Net RY1 (2025)</t>
  </si>
  <si>
    <t xml:space="preserve">Non-Labor ISIT </t>
  </si>
  <si>
    <t>2023 Actual increase 06.2023 vs 12.2023</t>
  </si>
  <si>
    <t>See FERC function breakdown at tab "Nat Gas - 06.2023 vs 12.2023".</t>
  </si>
  <si>
    <t>Total 2025 O&amp;M Increase</t>
  </si>
  <si>
    <t>12ME 06.30.2023</t>
  </si>
  <si>
    <t>12ME 12.31.2023</t>
  </si>
  <si>
    <t>Reduction in Actual Expense 12ME 06.30.2023 vs 12ME 12.31.2023</t>
  </si>
  <si>
    <t>Incremental vs As-Filed</t>
  </si>
  <si>
    <t>Versus As-Filed</t>
  </si>
  <si>
    <t>12ME 06.2023</t>
  </si>
  <si>
    <t>12ME 12.2023</t>
  </si>
  <si>
    <t>06.2023 vs 12.2023</t>
  </si>
  <si>
    <t>2023 Actual decrease 06.2023 vs 12.2023</t>
  </si>
  <si>
    <t>See Escalation</t>
  </si>
  <si>
    <t>Updated per actuals through 12.2023 (per PC-DR-297 Attachment A), and accept PC's annual escalation rate of 2.5%.</t>
  </si>
  <si>
    <t>Sum of Washington Electric</t>
  </si>
  <si>
    <t>Sum of Washington Gas</t>
  </si>
  <si>
    <t>Total Sum of Washington Electric</t>
  </si>
  <si>
    <t>Total Sum of Washington Gas</t>
  </si>
  <si>
    <t>242700</t>
  </si>
  <si>
    <t>426500</t>
  </si>
  <si>
    <t>921000</t>
  </si>
  <si>
    <t>926100</t>
  </si>
  <si>
    <t>926200</t>
  </si>
  <si>
    <t>PC Proposed</t>
  </si>
  <si>
    <t>AVA Rebuttal</t>
  </si>
  <si>
    <t>Schultz, Exh. KJS-9 at 1-2 (AWEC-DR-005)</t>
  </si>
  <si>
    <t>Schultz, Exh. KJS-9 at 6 (AWEC-DR-040)</t>
  </si>
  <si>
    <t>Schultz, Exh. KJS-9 at 9-12 (Staff-DR-044 Sup 3)</t>
  </si>
  <si>
    <t>Schultz, Exh. KJS-10C at 1-4 (Staff-DR-041C)</t>
  </si>
  <si>
    <t>Schultz, Exh. KJS-9 at 13-14 (AWEC-DR-004 Sup)</t>
  </si>
  <si>
    <t>Schultz, Exh. KJS-9 at 15-16 (PC-DR-295)</t>
  </si>
  <si>
    <t>Staff, Hillstead, Exh. KMH-7 / Andrews, EMA-6T (PC-DR-297)</t>
  </si>
  <si>
    <t>Schultz, Exh. KJS-9 at 17-19 (Staff-DR-098 Sup)</t>
  </si>
  <si>
    <t>Schultz, Exh. KJS-9 at 17-19 / Andrews, Exh. EMA-6T (Staff-DR-098 Sup)</t>
  </si>
  <si>
    <t>Schultz, Exh. KJS-9 at 20-22 (AWEC-DR-046)</t>
  </si>
  <si>
    <t>PC, M. Garrett, Exh. MEG-4</t>
  </si>
  <si>
    <t>TOTAL EST TAX</t>
  </si>
  <si>
    <t xml:space="preserve">          SUBTOTAL</t>
  </si>
  <si>
    <t xml:space="preserve">     OREGON</t>
  </si>
  <si>
    <t xml:space="preserve">     IDAHO</t>
  </si>
  <si>
    <t xml:space="preserve">     WASHINGTON </t>
  </si>
  <si>
    <t xml:space="preserve">     OREGON - Coyote Springs II</t>
  </si>
  <si>
    <t xml:space="preserve">     OREGON - Transm line only</t>
  </si>
  <si>
    <t xml:space="preserve">     MONTANA</t>
  </si>
  <si>
    <t xml:space="preserve">     WASHINGTON</t>
  </si>
  <si>
    <t>Estimate</t>
  </si>
  <si>
    <t>Final</t>
  </si>
  <si>
    <t>SUMMARY</t>
  </si>
  <si>
    <t>Tax Owed</t>
  </si>
  <si>
    <t>Tax Rate</t>
  </si>
  <si>
    <t>System Valuation</t>
  </si>
  <si>
    <t>26/27 Estimate</t>
  </si>
  <si>
    <t>25/26 Estimate</t>
  </si>
  <si>
    <t>24/25 Estimate</t>
  </si>
  <si>
    <t>23/24 Estimate</t>
  </si>
  <si>
    <t>22/23 Final</t>
  </si>
  <si>
    <t>21/22 Final</t>
  </si>
  <si>
    <t>20/21 Final</t>
  </si>
  <si>
    <t>OREGON - GAS</t>
  </si>
  <si>
    <t xml:space="preserve">     Adjusted Taxable Value</t>
  </si>
  <si>
    <t>4-R Act Adjustment</t>
  </si>
  <si>
    <t xml:space="preserve">     Taxable Value</t>
  </si>
  <si>
    <t>Deduct Personal Exemptions</t>
  </si>
  <si>
    <t xml:space="preserve">     Allocated Value</t>
  </si>
  <si>
    <t>State Allocation Factor</t>
  </si>
  <si>
    <t>2023 Final</t>
  </si>
  <si>
    <t>2022 Final</t>
  </si>
  <si>
    <t>2021 Final</t>
  </si>
  <si>
    <t>2020 Final</t>
  </si>
  <si>
    <t>IDAHO - GAS</t>
  </si>
  <si>
    <t xml:space="preserve">     Assessed Valuation for County Allocation</t>
  </si>
  <si>
    <t>Equalized Percentage per State Certification Report</t>
  </si>
  <si>
    <t>Equalized Value per State Certification Report</t>
  </si>
  <si>
    <t>2023 Estimate</t>
  </si>
  <si>
    <t>WASHINGTON - GAS</t>
  </si>
  <si>
    <t>TOTAL OREGON - ELECTRIC</t>
  </si>
  <si>
    <t>OREGON - ELECTRIC (Coyote Springs II &amp; Misc)</t>
  </si>
  <si>
    <t>OREGON - ELECTRIC (Imnaha Transmission Line)</t>
  </si>
  <si>
    <t>Ratio per county allocation report</t>
  </si>
  <si>
    <t>Deduct Licensed Vehicles</t>
  </si>
  <si>
    <t xml:space="preserve">     Correlated Unit Value</t>
  </si>
  <si>
    <t>System Valuaiton - after intangible adj</t>
  </si>
  <si>
    <t>System Valuation - before intangible adj</t>
  </si>
  <si>
    <t>(combine  E &amp; G)</t>
  </si>
  <si>
    <t>MONTANA - ELECTRIC</t>
  </si>
  <si>
    <t>Deduct Licensed Vehicles/Business Inventory/Personal Exemptions</t>
  </si>
  <si>
    <t>Deduct Intangible Personal Property</t>
  </si>
  <si>
    <t>IDAHO - ELECTRIC</t>
  </si>
  <si>
    <t xml:space="preserve">     Subtotal</t>
  </si>
  <si>
    <t>Plus Other Taxable (Leased) Property</t>
  </si>
  <si>
    <t>2028 Estimate</t>
  </si>
  <si>
    <t>2027 Estimate</t>
  </si>
  <si>
    <t>2026 Estimate</t>
  </si>
  <si>
    <t>2025 Estimate</t>
  </si>
  <si>
    <t>2024 Estimate</t>
  </si>
  <si>
    <t>WASHINGTON - ELECTRIC</t>
  </si>
  <si>
    <t>2026-2027</t>
  </si>
  <si>
    <t>2021-2022</t>
  </si>
  <si>
    <t>2020-2021</t>
  </si>
  <si>
    <t xml:space="preserve">YEAR TAX PAYABLE </t>
  </si>
  <si>
    <t>YEAR TAX ACCRUED</t>
  </si>
  <si>
    <t>YEAR ASSESSED</t>
  </si>
  <si>
    <t>BOOK VALUE @ DEC</t>
  </si>
  <si>
    <t>in thousands</t>
  </si>
  <si>
    <t>Updated per PC-DR-295 Attachment B</t>
  </si>
  <si>
    <t xml:space="preserve">PROPERTY TAX FORECAST </t>
  </si>
  <si>
    <t>Updated per Staff-DR-044 3 Supplemental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</si>
</sst>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
      <i/>
      <sz val="10"/>
      <name val="Geneva"/>
    </font>
    <font>
      <sz val="10"/>
      <name val="Times New Roman"/>
      <family val="1"/>
    </font>
    <font>
      <b/>
      <i/>
      <u/>
      <sz val="12"/>
      <color rgb="FFFF0000"/>
      <name val="Times New Roman"/>
      <family val="1"/>
    </font>
    <font>
      <b/>
      <sz val="12"/>
      <color rgb="FFFF0000"/>
      <name val="Times New Roman"/>
      <family val="1"/>
    </font>
    <font>
      <sz val="12"/>
      <color rgb="FFFF0000"/>
      <name val="Times New Roman"/>
      <family val="1"/>
    </font>
    <font>
      <i/>
      <sz val="12"/>
      <color rgb="FFFF0000"/>
      <name val="Times New Roman"/>
      <family val="1"/>
    </font>
    <font>
      <i/>
      <u/>
      <sz val="12"/>
      <color theme="1"/>
      <name val="Times New Roman"/>
      <family val="1"/>
    </font>
    <font>
      <sz val="9"/>
      <color rgb="FF000000"/>
      <name val="Times New Roman"/>
      <family val="1"/>
    </font>
    <font>
      <sz val="12"/>
      <name val="Calibri"/>
      <family val="2"/>
      <scheme val="minor"/>
    </font>
    <font>
      <b/>
      <sz val="11"/>
      <color indexed="12"/>
      <name val="Calibri"/>
      <family val="2"/>
      <scheme val="minor"/>
    </font>
    <font>
      <b/>
      <u/>
      <sz val="12"/>
      <name val="Calibri"/>
      <family val="2"/>
      <scheme val="minor"/>
    </font>
    <font>
      <b/>
      <sz val="9"/>
      <name val="Calibri"/>
      <family val="2"/>
      <scheme val="minor"/>
    </font>
  </fonts>
  <fills count="44">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CCFF"/>
        <bgColor indexed="64"/>
      </patternFill>
    </fill>
    <fill>
      <patternFill patternType="solid">
        <fgColor rgb="FFFFCCFF"/>
        <bgColor indexed="64"/>
      </patternFill>
    </fill>
  </fills>
  <borders count="1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double">
        <color rgb="FFFF0000"/>
      </left>
      <right/>
      <top style="double">
        <color rgb="FFFF0000"/>
      </top>
      <bottom style="double">
        <color rgb="FFFF0000"/>
      </bottom>
      <diagonal/>
    </border>
    <border>
      <left style="double">
        <color rgb="FFFF0000"/>
      </left>
      <right style="double">
        <color rgb="FFFF0000"/>
      </right>
      <top style="medium">
        <color indexed="64"/>
      </top>
      <bottom style="double">
        <color rgb="FFFF0000"/>
      </bottom>
      <diagonal/>
    </border>
    <border>
      <left style="double">
        <color rgb="FFFF0000"/>
      </left>
      <right style="medium">
        <color indexed="64"/>
      </right>
      <top style="medium">
        <color indexed="64"/>
      </top>
      <bottom style="double">
        <color rgb="FFFF0000"/>
      </bottom>
      <diagonal/>
    </border>
  </borders>
  <cellStyleXfs count="244">
    <xf numFmtId="0" fontId="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9" fontId="10"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0" fillId="0" borderId="0"/>
    <xf numFmtId="0" fontId="40" fillId="0" borderId="0"/>
    <xf numFmtId="44" fontId="10" fillId="0" borderId="0" applyFont="0" applyFill="0" applyBorder="0" applyAlignment="0" applyProtection="0"/>
    <xf numFmtId="0" fontId="42" fillId="3" borderId="0"/>
    <xf numFmtId="0" fontId="30" fillId="0" borderId="0"/>
    <xf numFmtId="0" fontId="10" fillId="0" borderId="0"/>
    <xf numFmtId="0" fontId="10" fillId="0" borderId="0"/>
    <xf numFmtId="9" fontId="10" fillId="0" borderId="0" applyFont="0" applyFill="0" applyBorder="0" applyAlignment="0" applyProtection="0"/>
    <xf numFmtId="0" fontId="40" fillId="0" borderId="0"/>
    <xf numFmtId="43" fontId="46" fillId="0" borderId="0" applyFont="0" applyFill="0" applyBorder="0" applyAlignment="0" applyProtection="0"/>
    <xf numFmtId="0" fontId="4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59" fillId="0" borderId="0"/>
    <xf numFmtId="43" fontId="10" fillId="0" borderId="0" applyFont="0" applyFill="0" applyBorder="0" applyAlignment="0" applyProtection="0"/>
    <xf numFmtId="8" fontId="11" fillId="0" borderId="0" applyFont="0" applyFill="0" applyBorder="0" applyAlignment="0" applyProtection="0"/>
    <xf numFmtId="4" fontId="11" fillId="0" borderId="0" applyFont="0" applyFill="0" applyBorder="0" applyAlignment="0" applyProtection="0"/>
    <xf numFmtId="0" fontId="9" fillId="0" borderId="0"/>
    <xf numFmtId="9" fontId="46"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0" fontId="56" fillId="0" borderId="0"/>
    <xf numFmtId="44" fontId="59" fillId="0" borderId="0" applyFont="0" applyFill="0" applyBorder="0" applyAlignment="0" applyProtection="0"/>
    <xf numFmtId="43" fontId="46" fillId="0" borderId="0" applyFont="0" applyFill="0" applyBorder="0" applyAlignment="0" applyProtection="0"/>
    <xf numFmtId="0" fontId="10" fillId="0" borderId="0"/>
    <xf numFmtId="39" fontId="60" fillId="0" borderId="0"/>
    <xf numFmtId="0" fontId="61" fillId="0" borderId="0"/>
    <xf numFmtId="9" fontId="62" fillId="0" borderId="0" applyFont="0" applyFill="0" applyBorder="0" applyAlignment="0" applyProtection="0"/>
    <xf numFmtId="0" fontId="59" fillId="0" borderId="0"/>
    <xf numFmtId="4" fontId="11" fillId="0" borderId="0" applyFont="0" applyFill="0" applyBorder="0" applyAlignment="0" applyProtection="0"/>
    <xf numFmtId="9" fontId="11" fillId="0" borderId="0" applyFont="0" applyFill="0" applyBorder="0" applyAlignment="0" applyProtection="0"/>
    <xf numFmtId="0" fontId="10" fillId="0" borderId="0"/>
    <xf numFmtId="43" fontId="46" fillId="0" borderId="0" applyFont="0" applyFill="0" applyBorder="0" applyAlignment="0" applyProtection="0"/>
    <xf numFmtId="43" fontId="56" fillId="0" borderId="0" applyFont="0" applyFill="0" applyBorder="0" applyAlignment="0" applyProtection="0"/>
    <xf numFmtId="44" fontId="10" fillId="0" borderId="0" applyFont="0" applyFill="0" applyBorder="0" applyAlignment="0" applyProtection="0"/>
    <xf numFmtId="9" fontId="56" fillId="0" borderId="0" applyFont="0" applyFill="0" applyBorder="0" applyAlignment="0" applyProtection="0"/>
    <xf numFmtId="0" fontId="63" fillId="0" borderId="0"/>
    <xf numFmtId="44" fontId="63" fillId="0" borderId="0" applyFont="0" applyFill="0" applyBorder="0" applyAlignment="0" applyProtection="0"/>
    <xf numFmtId="43" fontId="63" fillId="0" borderId="0" applyFont="0" applyFill="0" applyBorder="0" applyAlignment="0" applyProtection="0"/>
    <xf numFmtId="0" fontId="64" fillId="0" borderId="0"/>
    <xf numFmtId="9" fontId="63" fillId="0" borderId="0" applyFont="0" applyFill="0" applyBorder="0" applyAlignment="0" applyProtection="0"/>
    <xf numFmtId="44" fontId="64"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7" fillId="0" borderId="0"/>
    <xf numFmtId="0" fontId="64"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64" fillId="0" borderId="0" applyFont="0" applyFill="0" applyBorder="0" applyAlignment="0" applyProtection="0"/>
    <xf numFmtId="0" fontId="10" fillId="0" borderId="0"/>
    <xf numFmtId="43" fontId="17" fillId="0" borderId="0" applyFont="0" applyFill="0" applyBorder="0" applyAlignment="0" applyProtection="0"/>
    <xf numFmtId="9" fontId="46" fillId="0" borderId="0" applyFont="0" applyFill="0" applyBorder="0" applyAlignment="0" applyProtection="0"/>
    <xf numFmtId="9" fontId="64" fillId="0" borderId="0" applyFont="0" applyFill="0" applyBorder="0" applyAlignment="0" applyProtection="0"/>
    <xf numFmtId="0" fontId="65" fillId="0" borderId="0"/>
    <xf numFmtId="43" fontId="65" fillId="0" borderId="0" applyFont="0" applyFill="0" applyBorder="0" applyAlignment="0" applyProtection="0"/>
    <xf numFmtId="0" fontId="66" fillId="0" borderId="0"/>
    <xf numFmtId="0" fontId="9" fillId="0" borderId="0"/>
    <xf numFmtId="44" fontId="9" fillId="0" borderId="0" applyFont="0" applyFill="0" applyBorder="0" applyAlignment="0" applyProtection="0"/>
    <xf numFmtId="43" fontId="64" fillId="0" borderId="0" applyFont="0" applyFill="0" applyBorder="0" applyAlignment="0" applyProtection="0"/>
    <xf numFmtId="0" fontId="9" fillId="0" borderId="0"/>
    <xf numFmtId="44" fontId="17" fillId="0" borderId="0" applyFont="0" applyFill="0" applyBorder="0" applyAlignment="0" applyProtection="0"/>
    <xf numFmtId="0" fontId="9" fillId="0" borderId="0"/>
    <xf numFmtId="0" fontId="9" fillId="0" borderId="0"/>
    <xf numFmtId="0" fontId="9" fillId="0" borderId="0"/>
    <xf numFmtId="0" fontId="8" fillId="0" borderId="0"/>
    <xf numFmtId="43" fontId="8" fillId="0" borderId="0" applyFont="0" applyFill="0" applyBorder="0" applyAlignment="0" applyProtection="0"/>
    <xf numFmtId="43" fontId="64"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59" fillId="0" borderId="0"/>
    <xf numFmtId="0" fontId="11" fillId="0" borderId="0"/>
    <xf numFmtId="4"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56" fillId="0" borderId="0"/>
    <xf numFmtId="43" fontId="46" fillId="0" borderId="0" applyFont="0" applyFill="0" applyBorder="0" applyAlignment="0" applyProtection="0"/>
    <xf numFmtId="0" fontId="10" fillId="0" borderId="0"/>
    <xf numFmtId="0" fontId="63" fillId="0" borderId="0"/>
    <xf numFmtId="44" fontId="63" fillId="0" borderId="0" applyFont="0" applyFill="0" applyBorder="0" applyAlignment="0" applyProtection="0"/>
    <xf numFmtId="43" fontId="63" fillId="0" borderId="0" applyFont="0" applyFill="0" applyBorder="0" applyAlignment="0" applyProtection="0"/>
    <xf numFmtId="0" fontId="64" fillId="0" borderId="0"/>
    <xf numFmtId="0" fontId="68" fillId="0" borderId="0"/>
    <xf numFmtId="0" fontId="60" fillId="0" borderId="0"/>
    <xf numFmtId="8" fontId="11" fillId="0" borderId="0" applyFont="0" applyFill="0" applyBorder="0" applyAlignment="0" applyProtection="0"/>
    <xf numFmtId="0" fontId="6" fillId="0" borderId="0"/>
    <xf numFmtId="43" fontId="6" fillId="0" borderId="0" applyFont="0" applyFill="0" applyBorder="0" applyAlignment="0" applyProtection="0"/>
    <xf numFmtId="0" fontId="11" fillId="0" borderId="0"/>
    <xf numFmtId="44" fontId="6" fillId="0" borderId="0" applyFont="0" applyFill="0" applyBorder="0" applyAlignment="0" applyProtection="0"/>
    <xf numFmtId="0" fontId="5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9" fontId="64"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66" fillId="0" borderId="0"/>
    <xf numFmtId="0" fontId="6" fillId="0" borderId="0"/>
    <xf numFmtId="44" fontId="6" fillId="0" borderId="0" applyFont="0" applyFill="0" applyBorder="0" applyAlignment="0" applyProtection="0"/>
    <xf numFmtId="44" fontId="59" fillId="0" borderId="0" applyFont="0" applyFill="0" applyBorder="0" applyAlignment="0" applyProtection="0"/>
    <xf numFmtId="39" fontId="60" fillId="0" borderId="0"/>
    <xf numFmtId="43" fontId="11" fillId="0" borderId="0" applyFont="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6" fillId="0" borderId="0" applyFont="0" applyFill="0" applyBorder="0" applyAlignment="0" applyProtection="0"/>
    <xf numFmtId="0" fontId="61" fillId="0" borderId="0"/>
    <xf numFmtId="44" fontId="62" fillId="0" borderId="0" applyFont="0" applyFill="0" applyBorder="0" applyAlignment="0" applyProtection="0"/>
    <xf numFmtId="9" fontId="62" fillId="0" borderId="0" applyFont="0" applyFill="0" applyBorder="0" applyAlignment="0" applyProtection="0"/>
    <xf numFmtId="0" fontId="65" fillId="0" borderId="0"/>
    <xf numFmtId="43" fontId="65" fillId="0" borderId="0" applyFont="0" applyFill="0" applyBorder="0" applyAlignment="0" applyProtection="0"/>
    <xf numFmtId="0" fontId="59" fillId="0" borderId="0"/>
    <xf numFmtId="0" fontId="59" fillId="0" borderId="0"/>
    <xf numFmtId="44" fontId="10" fillId="0" borderId="0" applyFont="0" applyFill="0" applyBorder="0" applyAlignment="0" applyProtection="0"/>
    <xf numFmtId="4" fontId="11" fillId="0" borderId="0" applyFont="0" applyFill="0" applyBorder="0" applyAlignment="0" applyProtection="0"/>
    <xf numFmtId="9" fontId="10" fillId="0" borderId="0" applyFont="0" applyFill="0" applyBorder="0" applyAlignment="0" applyProtection="0"/>
    <xf numFmtId="8" fontId="1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1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0" fontId="11" fillId="0" borderId="0"/>
    <xf numFmtId="8" fontId="11" fillId="0" borderId="0" applyFont="0" applyFill="0" applyBorder="0" applyAlignment="0" applyProtection="0"/>
    <xf numFmtId="0" fontId="59" fillId="0" borderId="0"/>
    <xf numFmtId="0" fontId="59" fillId="0" borderId="0"/>
    <xf numFmtId="39" fontId="60" fillId="0" borderId="0"/>
    <xf numFmtId="0" fontId="10" fillId="0" borderId="0"/>
    <xf numFmtId="0" fontId="81" fillId="0" borderId="119" applyNumberFormat="0" applyFill="0" applyAlignment="0" applyProtection="0"/>
    <xf numFmtId="0" fontId="3" fillId="0" borderId="0"/>
    <xf numFmtId="43" fontId="65" fillId="0" borderId="0" applyFont="0" applyFill="0" applyBorder="0" applyAlignment="0" applyProtection="0"/>
    <xf numFmtId="0" fontId="3" fillId="0" borderId="0"/>
    <xf numFmtId="9" fontId="3" fillId="0" borderId="0" applyFont="0" applyFill="0" applyBorder="0" applyAlignment="0" applyProtection="0"/>
    <xf numFmtId="9"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1" fillId="0" borderId="0"/>
    <xf numFmtId="0" fontId="11" fillId="0" borderId="0"/>
    <xf numFmtId="0" fontId="223" fillId="0" borderId="0"/>
    <xf numFmtId="9" fontId="17" fillId="0" borderId="0" applyFont="0" applyFill="0" applyBorder="0" applyAlignment="0" applyProtection="0"/>
    <xf numFmtId="0" fontId="17" fillId="0" borderId="0"/>
    <xf numFmtId="0" fontId="66" fillId="0" borderId="0"/>
    <xf numFmtId="43" fontId="3" fillId="0" borderId="0" applyFont="0" applyFill="0" applyBorder="0" applyAlignment="0" applyProtection="0"/>
    <xf numFmtId="0" fontId="276" fillId="0" borderId="0"/>
  </cellStyleXfs>
  <cellXfs count="4194">
    <xf numFmtId="0" fontId="0" fillId="0" borderId="0" xfId="0"/>
    <xf numFmtId="0" fontId="12" fillId="0" borderId="0" xfId="6" applyFont="1"/>
    <xf numFmtId="5" fontId="12" fillId="0" borderId="0" xfId="6" applyNumberFormat="1" applyFont="1"/>
    <xf numFmtId="37" fontId="12" fillId="0" borderId="0" xfId="6" applyNumberFormat="1" applyFont="1"/>
    <xf numFmtId="0" fontId="12" fillId="0" borderId="0" xfId="6" applyNumberFormat="1" applyFont="1" applyBorder="1" applyAlignment="1">
      <alignment horizontal="center"/>
    </xf>
    <xf numFmtId="37" fontId="12" fillId="0" borderId="0" xfId="6" applyNumberFormat="1" applyFont="1" applyBorder="1"/>
    <xf numFmtId="10" fontId="12" fillId="0" borderId="0" xfId="7" applyNumberFormat="1" applyFont="1"/>
    <xf numFmtId="0" fontId="13" fillId="0" borderId="0" xfId="0" applyFont="1"/>
    <xf numFmtId="0" fontId="16" fillId="0" borderId="0" xfId="0" applyFont="1" applyAlignment="1">
      <alignment horizontal="center"/>
    </xf>
    <xf numFmtId="37" fontId="12" fillId="0" borderId="0" xfId="0" applyNumberFormat="1" applyFont="1"/>
    <xf numFmtId="5" fontId="20" fillId="0" borderId="12" xfId="0" applyNumberFormat="1" applyFont="1" applyBorder="1"/>
    <xf numFmtId="0" fontId="17" fillId="0" borderId="0" xfId="0" applyFont="1"/>
    <xf numFmtId="0" fontId="17" fillId="0" borderId="0" xfId="0" applyFont="1" applyAlignment="1">
      <alignment horizontal="center"/>
    </xf>
    <xf numFmtId="3" fontId="14" fillId="0" borderId="1" xfId="0" applyNumberFormat="1" applyFont="1" applyBorder="1" applyAlignment="1">
      <alignment horizontal="center"/>
    </xf>
    <xf numFmtId="3" fontId="14" fillId="0" borderId="5" xfId="0" applyNumberFormat="1" applyFont="1" applyBorder="1" applyAlignment="1">
      <alignment horizontal="center"/>
    </xf>
    <xf numFmtId="3" fontId="14" fillId="0" borderId="8" xfId="0" applyNumberFormat="1" applyFont="1" applyBorder="1" applyAlignment="1">
      <alignment horizontal="center"/>
    </xf>
    <xf numFmtId="3" fontId="15" fillId="0" borderId="0" xfId="0" applyNumberFormat="1" applyFont="1" applyAlignment="1">
      <alignment horizontal="center"/>
    </xf>
    <xf numFmtId="5" fontId="12" fillId="0" borderId="0" xfId="0" applyNumberFormat="1" applyFont="1"/>
    <xf numFmtId="0" fontId="17" fillId="0" borderId="0" xfId="0" applyFont="1" applyBorder="1"/>
    <xf numFmtId="37" fontId="17" fillId="0" borderId="0" xfId="0" applyNumberFormat="1" applyFont="1" applyBorder="1"/>
    <xf numFmtId="6" fontId="17" fillId="0" borderId="0" xfId="2" applyNumberFormat="1" applyFont="1" applyBorder="1"/>
    <xf numFmtId="0" fontId="21" fillId="0" borderId="0" xfId="0" applyFont="1"/>
    <xf numFmtId="37" fontId="17" fillId="0" borderId="3" xfId="0" applyNumberFormat="1" applyFont="1" applyBorder="1"/>
    <xf numFmtId="3" fontId="17" fillId="0" borderId="0" xfId="0" applyNumberFormat="1" applyFont="1"/>
    <xf numFmtId="5" fontId="17" fillId="0" borderId="0" xfId="0" applyNumberFormat="1" applyFont="1"/>
    <xf numFmtId="0" fontId="17" fillId="0" borderId="0" xfId="0" applyFont="1" applyFill="1" applyAlignment="1">
      <alignment horizontal="center"/>
    </xf>
    <xf numFmtId="5" fontId="17" fillId="0" borderId="16" xfId="0" applyNumberFormat="1" applyFont="1" applyBorder="1"/>
    <xf numFmtId="0" fontId="22" fillId="0" borderId="0" xfId="0" applyFont="1"/>
    <xf numFmtId="3" fontId="12" fillId="0" borderId="0" xfId="6" applyNumberFormat="1" applyFont="1"/>
    <xf numFmtId="168" fontId="12" fillId="0" borderId="0" xfId="6" applyNumberFormat="1" applyFont="1"/>
    <xf numFmtId="170" fontId="12" fillId="0" borderId="0" xfId="7" applyNumberFormat="1" applyFont="1" applyBorder="1"/>
    <xf numFmtId="0" fontId="12" fillId="0" borderId="0" xfId="5" applyFont="1"/>
    <xf numFmtId="0" fontId="12" fillId="0" borderId="0" xfId="5" applyNumberFormat="1" applyFont="1" applyAlignment="1">
      <alignment horizontal="center"/>
    </xf>
    <xf numFmtId="0" fontId="14" fillId="0" borderId="0" xfId="5" applyNumberFormat="1" applyFont="1" applyAlignment="1">
      <alignment horizontal="center"/>
    </xf>
    <xf numFmtId="0" fontId="14" fillId="0" borderId="0" xfId="5" applyFont="1" applyAlignment="1">
      <alignment horizontal="center"/>
    </xf>
    <xf numFmtId="0" fontId="14" fillId="0" borderId="1" xfId="5" applyNumberFormat="1" applyFont="1" applyBorder="1" applyAlignment="1">
      <alignment horizontal="center"/>
    </xf>
    <xf numFmtId="0" fontId="14" fillId="0" borderId="2" xfId="5" applyNumberFormat="1" applyFont="1" applyBorder="1" applyAlignment="1">
      <alignment horizontal="center"/>
    </xf>
    <xf numFmtId="0" fontId="14" fillId="0" borderId="2" xfId="5" applyFont="1" applyBorder="1" applyAlignment="1">
      <alignment horizontal="center"/>
    </xf>
    <xf numFmtId="0" fontId="14" fillId="0" borderId="3" xfId="5" applyFont="1" applyBorder="1" applyAlignment="1">
      <alignment horizontal="center"/>
    </xf>
    <xf numFmtId="0" fontId="14" fillId="0" borderId="4" xfId="5" applyFont="1" applyBorder="1" applyAlignment="1">
      <alignment horizontal="center"/>
    </xf>
    <xf numFmtId="0" fontId="14" fillId="0" borderId="5" xfId="5" applyNumberFormat="1" applyFont="1" applyBorder="1" applyAlignment="1">
      <alignment horizontal="center"/>
    </xf>
    <xf numFmtId="0" fontId="14" fillId="0" borderId="6" xfId="5" applyNumberFormat="1" applyFont="1" applyBorder="1" applyAlignment="1">
      <alignment horizontal="center"/>
    </xf>
    <xf numFmtId="0" fontId="14" fillId="0" borderId="6" xfId="5" applyFont="1" applyBorder="1" applyAlignment="1">
      <alignment horizontal="center"/>
    </xf>
    <xf numFmtId="0" fontId="14" fillId="0" borderId="0" xfId="5" applyFont="1" applyBorder="1" applyAlignment="1">
      <alignment horizontal="center"/>
    </xf>
    <xf numFmtId="0" fontId="14" fillId="0" borderId="7" xfId="5" applyFont="1" applyBorder="1" applyAlignment="1">
      <alignment horizontal="center"/>
    </xf>
    <xf numFmtId="0" fontId="14" fillId="0" borderId="8" xfId="5" applyNumberFormat="1" applyFont="1" applyBorder="1" applyAlignment="1">
      <alignment horizontal="center"/>
    </xf>
    <xf numFmtId="0" fontId="14" fillId="0" borderId="9" xfId="5" applyNumberFormat="1" applyFont="1" applyBorder="1" applyAlignment="1">
      <alignment horizontal="center"/>
    </xf>
    <xf numFmtId="0" fontId="14" fillId="0" borderId="9" xfId="5" applyFont="1" applyBorder="1" applyAlignment="1">
      <alignment horizontal="center"/>
    </xf>
    <xf numFmtId="0" fontId="14" fillId="0" borderId="10" xfId="5" applyFont="1" applyBorder="1" applyAlignment="1">
      <alignment horizontal="center"/>
    </xf>
    <xf numFmtId="0" fontId="14" fillId="0" borderId="11" xfId="5" applyFont="1" applyBorder="1" applyAlignment="1">
      <alignment horizontal="center"/>
    </xf>
    <xf numFmtId="0" fontId="15" fillId="0" borderId="0" xfId="5" applyNumberFormat="1" applyFont="1" applyAlignment="1">
      <alignment horizontal="center"/>
    </xf>
    <xf numFmtId="0" fontId="15" fillId="0" borderId="0" xfId="5" applyFont="1" applyAlignment="1">
      <alignment horizontal="center"/>
    </xf>
    <xf numFmtId="10" fontId="12" fillId="0" borderId="0" xfId="6" applyNumberFormat="1" applyFont="1"/>
    <xf numFmtId="37" fontId="12" fillId="0" borderId="0" xfId="5" applyNumberFormat="1" applyFont="1" applyBorder="1" applyAlignment="1">
      <alignment horizontal="center"/>
    </xf>
    <xf numFmtId="0" fontId="12" fillId="0" borderId="0" xfId="5" applyFont="1" applyBorder="1"/>
    <xf numFmtId="37" fontId="12" fillId="0" borderId="12" xfId="6" applyNumberFormat="1" applyFont="1" applyBorder="1"/>
    <xf numFmtId="171" fontId="12" fillId="0" borderId="0" xfId="1" applyNumberFormat="1" applyFont="1"/>
    <xf numFmtId="171" fontId="17" fillId="0" borderId="0" xfId="1" applyNumberFormat="1" applyFont="1"/>
    <xf numFmtId="0" fontId="21" fillId="0" borderId="0" xfId="0" applyFont="1" applyFill="1"/>
    <xf numFmtId="0" fontId="17" fillId="0" borderId="0" xfId="0" applyFont="1" applyFill="1" applyBorder="1"/>
    <xf numFmtId="0" fontId="17" fillId="0" borderId="0" xfId="0" applyFont="1" applyFill="1"/>
    <xf numFmtId="0" fontId="22" fillId="0" borderId="0" xfId="0" applyFont="1" applyFill="1"/>
    <xf numFmtId="0" fontId="22" fillId="0" borderId="0" xfId="0" applyFont="1" applyFill="1" applyBorder="1"/>
    <xf numFmtId="3" fontId="28" fillId="0" borderId="0" xfId="0" applyNumberFormat="1" applyFont="1" applyFill="1"/>
    <xf numFmtId="3" fontId="12" fillId="0" borderId="0" xfId="0" applyNumberFormat="1" applyFont="1" applyFill="1"/>
    <xf numFmtId="0" fontId="17" fillId="0" borderId="15" xfId="0" applyFont="1" applyBorder="1"/>
    <xf numFmtId="10" fontId="17" fillId="0" borderId="15" xfId="0" applyNumberFormat="1" applyFont="1" applyBorder="1"/>
    <xf numFmtId="0" fontId="29" fillId="0" borderId="0" xfId="0" applyFont="1"/>
    <xf numFmtId="5" fontId="24" fillId="0" borderId="0" xfId="0" applyNumberFormat="1" applyFont="1"/>
    <xf numFmtId="0" fontId="17" fillId="0" borderId="0" xfId="0" applyFont="1" applyAlignment="1">
      <alignment horizontal="right"/>
    </xf>
    <xf numFmtId="5" fontId="17" fillId="0" borderId="12" xfId="0" applyNumberFormat="1" applyFont="1" applyBorder="1"/>
    <xf numFmtId="0" fontId="28" fillId="0" borderId="0" xfId="0" applyFont="1" applyAlignment="1">
      <alignment horizontal="center"/>
    </xf>
    <xf numFmtId="0" fontId="28" fillId="0" borderId="0" xfId="0" applyFont="1" applyAlignment="1"/>
    <xf numFmtId="0" fontId="30" fillId="0" borderId="0" xfId="0" applyFont="1" applyFill="1"/>
    <xf numFmtId="0" fontId="31" fillId="0" borderId="0" xfId="0" applyFont="1" applyFill="1" applyBorder="1" applyAlignment="1">
      <alignment horizontal="center"/>
    </xf>
    <xf numFmtId="5" fontId="30" fillId="0" borderId="0" xfId="0" applyNumberFormat="1" applyFont="1" applyFill="1" applyBorder="1"/>
    <xf numFmtId="0" fontId="31" fillId="0" borderId="0" xfId="0" applyFont="1" applyFill="1" applyBorder="1"/>
    <xf numFmtId="0" fontId="32" fillId="0" borderId="0" xfId="0" applyFont="1" applyAlignment="1">
      <alignment horizontal="center"/>
    </xf>
    <xf numFmtId="3" fontId="12" fillId="0" borderId="0" xfId="0" applyNumberFormat="1" applyFont="1"/>
    <xf numFmtId="0" fontId="12" fillId="0" borderId="0" xfId="6" applyNumberFormat="1" applyFont="1" applyAlignment="1">
      <alignment horizontal="center"/>
    </xf>
    <xf numFmtId="37" fontId="17" fillId="0" borderId="0" xfId="0" applyNumberFormat="1" applyFont="1"/>
    <xf numFmtId="0" fontId="12" fillId="0" borderId="0" xfId="0" applyFont="1" applyFill="1" applyAlignment="1">
      <alignment horizontal="center"/>
    </xf>
    <xf numFmtId="5" fontId="12" fillId="0" borderId="16" xfId="0" applyNumberFormat="1" applyFont="1" applyBorder="1"/>
    <xf numFmtId="5" fontId="17" fillId="0" borderId="0" xfId="0" applyNumberFormat="1" applyFont="1" applyFill="1" applyBorder="1"/>
    <xf numFmtId="5" fontId="18" fillId="0" borderId="0" xfId="0" applyNumberFormat="1" applyFont="1" applyFill="1" applyBorder="1"/>
    <xf numFmtId="10" fontId="17" fillId="0" borderId="0" xfId="0" applyNumberFormat="1" applyFont="1" applyFill="1" applyBorder="1"/>
    <xf numFmtId="171" fontId="17" fillId="0" borderId="0" xfId="1" applyNumberFormat="1" applyFont="1" applyFill="1" applyBorder="1"/>
    <xf numFmtId="171" fontId="17" fillId="0" borderId="0" xfId="0" applyNumberFormat="1" applyFont="1" applyFill="1" applyBorder="1"/>
    <xf numFmtId="3" fontId="35" fillId="0" borderId="0" xfId="0" applyNumberFormat="1" applyFont="1"/>
    <xf numFmtId="3" fontId="36" fillId="0" borderId="0" xfId="6" applyNumberFormat="1" applyFont="1" applyFill="1"/>
    <xf numFmtId="3" fontId="36" fillId="0" borderId="0" xfId="5" applyNumberFormat="1" applyFont="1" applyFill="1"/>
    <xf numFmtId="0" fontId="36" fillId="0" borderId="0" xfId="6" applyNumberFormat="1" applyFont="1" applyAlignment="1">
      <alignment horizontal="left"/>
    </xf>
    <xf numFmtId="0" fontId="36" fillId="0" borderId="0" xfId="6" applyFont="1"/>
    <xf numFmtId="3" fontId="38" fillId="0" borderId="0" xfId="6" applyNumberFormat="1" applyFont="1" applyFill="1"/>
    <xf numFmtId="3" fontId="36" fillId="0" borderId="0" xfId="6" applyNumberFormat="1" applyFont="1"/>
    <xf numFmtId="3" fontId="37" fillId="0" borderId="0" xfId="6" applyNumberFormat="1" applyFont="1"/>
    <xf numFmtId="3" fontId="39" fillId="0" borderId="0" xfId="6" applyNumberFormat="1" applyFont="1"/>
    <xf numFmtId="3" fontId="37" fillId="0" borderId="0" xfId="6" applyNumberFormat="1" applyFont="1" applyAlignment="1"/>
    <xf numFmtId="0" fontId="37" fillId="0" borderId="0" xfId="6" applyNumberFormat="1" applyFont="1" applyAlignment="1">
      <alignment horizontal="center"/>
    </xf>
    <xf numFmtId="0" fontId="37" fillId="0" borderId="0" xfId="6" applyFont="1" applyAlignment="1">
      <alignment horizontal="center"/>
    </xf>
    <xf numFmtId="3" fontId="37" fillId="0" borderId="0" xfId="6" applyNumberFormat="1" applyFont="1" applyAlignment="1">
      <alignment horizontal="center"/>
    </xf>
    <xf numFmtId="0" fontId="37" fillId="0" borderId="1" xfId="6" applyNumberFormat="1" applyFont="1" applyBorder="1" applyAlignment="1">
      <alignment horizontal="center"/>
    </xf>
    <xf numFmtId="0" fontId="37" fillId="0" borderId="2" xfId="6" applyFont="1" applyBorder="1" applyAlignment="1">
      <alignment horizontal="center"/>
    </xf>
    <xf numFmtId="0" fontId="37" fillId="0" borderId="3" xfId="6" applyFont="1" applyBorder="1" applyAlignment="1">
      <alignment horizontal="center"/>
    </xf>
    <xf numFmtId="0" fontId="36" fillId="0" borderId="4" xfId="6" applyFont="1" applyBorder="1"/>
    <xf numFmtId="3" fontId="37" fillId="0" borderId="1" xfId="6" applyNumberFormat="1" applyFont="1" applyBorder="1" applyAlignment="1">
      <alignment horizontal="center"/>
    </xf>
    <xf numFmtId="0" fontId="37" fillId="0" borderId="5" xfId="6" applyNumberFormat="1" applyFont="1" applyBorder="1" applyAlignment="1">
      <alignment horizontal="center"/>
    </xf>
    <xf numFmtId="0" fontId="37" fillId="0" borderId="6" xfId="6" applyFont="1" applyBorder="1" applyAlignment="1">
      <alignment horizontal="center"/>
    </xf>
    <xf numFmtId="0" fontId="37" fillId="0" borderId="0" xfId="6" applyFont="1" applyBorder="1" applyAlignment="1">
      <alignment horizontal="center"/>
    </xf>
    <xf numFmtId="0" fontId="36" fillId="0" borderId="7" xfId="6" applyFont="1" applyBorder="1"/>
    <xf numFmtId="3" fontId="37" fillId="0" borderId="5" xfId="6" applyNumberFormat="1" applyFont="1" applyBorder="1" applyAlignment="1">
      <alignment horizontal="center"/>
    </xf>
    <xf numFmtId="0" fontId="37" fillId="0" borderId="8" xfId="6" applyNumberFormat="1" applyFont="1" applyBorder="1" applyAlignment="1">
      <alignment horizontal="center"/>
    </xf>
    <xf numFmtId="0" fontId="37" fillId="0" borderId="9" xfId="6" applyFont="1" applyBorder="1" applyAlignment="1">
      <alignment horizontal="center"/>
    </xf>
    <xf numFmtId="0" fontId="37" fillId="0" borderId="10" xfId="6" applyFont="1" applyBorder="1" applyAlignment="1">
      <alignment horizontal="center"/>
    </xf>
    <xf numFmtId="0" fontId="37" fillId="0" borderId="11" xfId="6" applyFont="1" applyBorder="1" applyAlignment="1">
      <alignment horizontal="center"/>
    </xf>
    <xf numFmtId="3" fontId="37" fillId="0" borderId="8" xfId="6" applyNumberFormat="1" applyFont="1" applyBorder="1" applyAlignment="1">
      <alignment horizontal="center"/>
    </xf>
    <xf numFmtId="0" fontId="36" fillId="0" borderId="0" xfId="6" applyNumberFormat="1" applyFont="1" applyAlignment="1">
      <alignment horizontal="center"/>
    </xf>
    <xf numFmtId="5" fontId="36" fillId="0" borderId="0" xfId="6" applyNumberFormat="1" applyFont="1"/>
    <xf numFmtId="37" fontId="36" fillId="0" borderId="0" xfId="6" applyNumberFormat="1" applyFont="1"/>
    <xf numFmtId="0" fontId="36" fillId="0" borderId="0" xfId="6" applyNumberFormat="1" applyFont="1" applyBorder="1" applyAlignment="1">
      <alignment horizontal="center"/>
    </xf>
    <xf numFmtId="37" fontId="36" fillId="0" borderId="0" xfId="6" applyNumberFormat="1" applyFont="1" applyBorder="1"/>
    <xf numFmtId="0" fontId="36" fillId="0" borderId="0" xfId="6" applyFont="1" applyBorder="1"/>
    <xf numFmtId="0" fontId="36" fillId="0" borderId="0" xfId="6" applyNumberFormat="1" applyFont="1" applyFill="1" applyAlignment="1">
      <alignment horizontal="left"/>
    </xf>
    <xf numFmtId="0" fontId="36" fillId="0" borderId="0" xfId="6" applyFont="1" applyFill="1"/>
    <xf numFmtId="0" fontId="36" fillId="0" borderId="0" xfId="5" applyFont="1" applyFill="1"/>
    <xf numFmtId="10" fontId="36" fillId="0" borderId="0" xfId="7" applyNumberFormat="1" applyFont="1" applyFill="1"/>
    <xf numFmtId="0" fontId="36" fillId="0" borderId="0" xfId="6" applyNumberFormat="1" applyFont="1" applyFill="1" applyAlignment="1">
      <alignment horizontal="center"/>
    </xf>
    <xf numFmtId="0" fontId="36" fillId="0" borderId="0" xfId="5" applyFont="1" applyFill="1" applyAlignment="1">
      <alignment horizontal="right"/>
    </xf>
    <xf numFmtId="10" fontId="30" fillId="0" borderId="0" xfId="7" applyNumberFormat="1" applyFont="1" applyFill="1" applyBorder="1"/>
    <xf numFmtId="0" fontId="30" fillId="0" borderId="0" xfId="0" applyFont="1" applyFill="1" applyBorder="1"/>
    <xf numFmtId="37" fontId="30" fillId="0" borderId="0" xfId="3" applyNumberFormat="1" applyFont="1" applyFill="1" applyBorder="1"/>
    <xf numFmtId="0" fontId="36" fillId="0" borderId="0" xfId="6" applyFont="1" applyAlignment="1">
      <alignment horizontal="left"/>
    </xf>
    <xf numFmtId="4" fontId="37" fillId="0" borderId="0" xfId="6" applyNumberFormat="1" applyFont="1" applyAlignment="1">
      <alignment horizontal="center"/>
    </xf>
    <xf numFmtId="4" fontId="17" fillId="0" borderId="0" xfId="0" applyNumberFormat="1" applyFont="1" applyFill="1" applyAlignment="1">
      <alignment horizontal="center"/>
    </xf>
    <xf numFmtId="41" fontId="36" fillId="0" borderId="0" xfId="6" applyNumberFormat="1" applyFont="1"/>
    <xf numFmtId="41" fontId="36" fillId="0" borderId="10" xfId="6" applyNumberFormat="1" applyFont="1" applyBorder="1"/>
    <xf numFmtId="41" fontId="36" fillId="0" borderId="0" xfId="6" applyNumberFormat="1" applyFont="1" applyFill="1"/>
    <xf numFmtId="41" fontId="36" fillId="0" borderId="15" xfId="6" applyNumberFormat="1" applyFont="1" applyBorder="1"/>
    <xf numFmtId="41" fontId="36" fillId="0" borderId="0" xfId="6" applyNumberFormat="1" applyFont="1" applyBorder="1"/>
    <xf numFmtId="41" fontId="36" fillId="0" borderId="0" xfId="5" applyNumberFormat="1" applyFont="1" applyFill="1"/>
    <xf numFmtId="41" fontId="41" fillId="0" borderId="0" xfId="5" applyNumberFormat="1" applyFont="1" applyFill="1"/>
    <xf numFmtId="3" fontId="17" fillId="0" borderId="0" xfId="13" applyNumberFormat="1" applyFont="1"/>
    <xf numFmtId="4" fontId="17" fillId="0" borderId="0" xfId="13" applyNumberFormat="1" applyFont="1" applyBorder="1" applyAlignment="1">
      <alignment horizontal="centerContinuous"/>
    </xf>
    <xf numFmtId="3" fontId="17" fillId="0" borderId="0" xfId="13" applyNumberFormat="1" applyFont="1" applyBorder="1" applyAlignment="1">
      <alignment horizontal="left"/>
    </xf>
    <xf numFmtId="3" fontId="17" fillId="0" borderId="0" xfId="13" applyNumberFormat="1" applyFont="1" applyBorder="1" applyAlignment="1">
      <alignment horizontal="centerContinuous"/>
    </xf>
    <xf numFmtId="0" fontId="17" fillId="0" borderId="0" xfId="13" applyFont="1" applyBorder="1" applyAlignment="1">
      <alignment horizontal="centerContinuous"/>
    </xf>
    <xf numFmtId="3" fontId="17" fillId="0" borderId="0" xfId="13" applyNumberFormat="1" applyFont="1" applyAlignment="1">
      <alignment horizontal="center"/>
    </xf>
    <xf numFmtId="4" fontId="17" fillId="0" borderId="0" xfId="13" applyNumberFormat="1" applyFont="1" applyAlignment="1">
      <alignment horizontal="center"/>
    </xf>
    <xf numFmtId="3" fontId="17" fillId="0" borderId="0" xfId="13" applyNumberFormat="1" applyFont="1" applyAlignment="1">
      <alignment horizontal="left"/>
    </xf>
    <xf numFmtId="0" fontId="17" fillId="0" borderId="0" xfId="13" applyFont="1"/>
    <xf numFmtId="0" fontId="17" fillId="0" borderId="0" xfId="13" applyFont="1" applyAlignment="1">
      <alignment horizontal="center"/>
    </xf>
    <xf numFmtId="3" fontId="17" fillId="0" borderId="10" xfId="13" applyNumberFormat="1" applyFont="1" applyBorder="1" applyAlignment="1">
      <alignment horizontal="left"/>
    </xf>
    <xf numFmtId="0" fontId="17" fillId="0" borderId="10" xfId="13" applyFont="1" applyBorder="1" applyAlignment="1">
      <alignment horizontal="center"/>
    </xf>
    <xf numFmtId="3" fontId="17" fillId="0" borderId="10" xfId="13" applyNumberFormat="1" applyFont="1" applyBorder="1" applyAlignment="1">
      <alignment horizontal="center"/>
    </xf>
    <xf numFmtId="41" fontId="17" fillId="0" borderId="0" xfId="13" applyNumberFormat="1" applyFont="1" applyAlignment="1">
      <alignment horizontal="right"/>
    </xf>
    <xf numFmtId="4" fontId="17" fillId="0" borderId="0" xfId="13" applyNumberFormat="1" applyFont="1" applyAlignment="1">
      <alignment horizontal="left"/>
    </xf>
    <xf numFmtId="0" fontId="17" fillId="0" borderId="0" xfId="13" applyFont="1" applyBorder="1"/>
    <xf numFmtId="0" fontId="17" fillId="0" borderId="0" xfId="0" applyFont="1" applyAlignment="1">
      <alignment horizontal="left"/>
    </xf>
    <xf numFmtId="4" fontId="17" fillId="0" borderId="0" xfId="0" applyNumberFormat="1" applyFont="1" applyFill="1" applyAlignment="1">
      <alignment horizontal="left"/>
    </xf>
    <xf numFmtId="4" fontId="17" fillId="0" borderId="0" xfId="0" applyNumberFormat="1" applyFont="1" applyAlignment="1">
      <alignment horizontal="left"/>
    </xf>
    <xf numFmtId="41" fontId="17" fillId="0" borderId="0" xfId="13" applyNumberFormat="1" applyFont="1"/>
    <xf numFmtId="41" fontId="17" fillId="0" borderId="0" xfId="1" applyNumberFormat="1" applyFont="1"/>
    <xf numFmtId="41" fontId="17" fillId="0" borderId="0" xfId="1" applyNumberFormat="1" applyFont="1" applyAlignment="1">
      <alignment horizontal="right"/>
    </xf>
    <xf numFmtId="41" fontId="24" fillId="0" borderId="0" xfId="1" applyNumberFormat="1" applyFont="1"/>
    <xf numFmtId="41" fontId="17" fillId="0" borderId="10" xfId="1" applyNumberFormat="1" applyFont="1" applyBorder="1"/>
    <xf numFmtId="41" fontId="23" fillId="0" borderId="10" xfId="1" applyNumberFormat="1" applyFont="1" applyFill="1" applyBorder="1"/>
    <xf numFmtId="41" fontId="17" fillId="0" borderId="12" xfId="1" applyNumberFormat="1" applyFont="1" applyBorder="1"/>
    <xf numFmtId="9" fontId="17" fillId="0" borderId="10" xfId="7" applyFont="1" applyBorder="1"/>
    <xf numFmtId="9" fontId="17" fillId="0" borderId="0" xfId="7" applyFont="1"/>
    <xf numFmtId="10" fontId="17" fillId="0" borderId="10" xfId="7" applyNumberFormat="1" applyFont="1" applyBorder="1"/>
    <xf numFmtId="10" fontId="36" fillId="0" borderId="0" xfId="7" applyNumberFormat="1" applyFont="1"/>
    <xf numFmtId="42" fontId="36" fillId="0" borderId="0" xfId="6" applyNumberFormat="1" applyFont="1"/>
    <xf numFmtId="41" fontId="12" fillId="0" borderId="0" xfId="6" applyNumberFormat="1" applyFont="1"/>
    <xf numFmtId="41" fontId="12" fillId="0" borderId="0" xfId="1" applyNumberFormat="1" applyFont="1"/>
    <xf numFmtId="41" fontId="12" fillId="0" borderId="10" xfId="6" applyNumberFormat="1" applyFont="1" applyBorder="1"/>
    <xf numFmtId="41" fontId="12" fillId="0" borderId="10" xfId="6" applyNumberFormat="1" applyFont="1" applyFill="1" applyBorder="1"/>
    <xf numFmtId="41" fontId="12" fillId="0" borderId="0" xfId="1" applyNumberFormat="1" applyFont="1" applyBorder="1"/>
    <xf numFmtId="41" fontId="12" fillId="0" borderId="15" xfId="6" applyNumberFormat="1" applyFont="1" applyBorder="1"/>
    <xf numFmtId="41" fontId="12" fillId="0" borderId="0" xfId="0" applyNumberFormat="1" applyFont="1"/>
    <xf numFmtId="41" fontId="12" fillId="0" borderId="12" xfId="6" applyNumberFormat="1" applyFont="1" applyBorder="1"/>
    <xf numFmtId="41" fontId="12"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3" fontId="43" fillId="0" borderId="0" xfId="0" applyNumberFormat="1" applyFont="1" applyAlignment="1">
      <alignment horizontal="center"/>
    </xf>
    <xf numFmtId="174" fontId="43" fillId="0" borderId="0" xfId="0" applyNumberFormat="1" applyFont="1"/>
    <xf numFmtId="174" fontId="43" fillId="0" borderId="0" xfId="0" applyNumberFormat="1" applyFont="1" applyAlignment="1">
      <alignment horizontal="center"/>
    </xf>
    <xf numFmtId="0" fontId="43" fillId="0" borderId="0" xfId="0" applyFont="1"/>
    <xf numFmtId="173" fontId="43" fillId="4" borderId="0" xfId="0" applyNumberFormat="1" applyFont="1" applyFill="1"/>
    <xf numFmtId="3" fontId="43" fillId="4" borderId="0" xfId="0" applyNumberFormat="1" applyFont="1" applyFill="1"/>
    <xf numFmtId="174" fontId="43" fillId="4" borderId="0" xfId="0" applyNumberFormat="1" applyFont="1" applyFill="1" applyAlignment="1">
      <alignment horizontal="center"/>
    </xf>
    <xf numFmtId="3" fontId="0" fillId="0" borderId="0" xfId="0" applyNumberFormat="1"/>
    <xf numFmtId="173" fontId="0" fillId="0" borderId="0" xfId="0" applyNumberFormat="1"/>
    <xf numFmtId="0" fontId="12" fillId="0" borderId="0" xfId="6" applyNumberFormat="1" applyFont="1" applyFill="1" applyAlignment="1">
      <alignment horizontal="center"/>
    </xf>
    <xf numFmtId="5" fontId="37" fillId="0" borderId="0" xfId="6" applyNumberFormat="1" applyFont="1"/>
    <xf numFmtId="42" fontId="36" fillId="0" borderId="12" xfId="6" applyNumberFormat="1" applyFont="1" applyBorder="1"/>
    <xf numFmtId="42" fontId="37" fillId="0" borderId="12" xfId="6" applyNumberFormat="1" applyFont="1" applyBorder="1"/>
    <xf numFmtId="41" fontId="23" fillId="0" borderId="0" xfId="1" applyNumberFormat="1" applyFont="1" applyFill="1" applyBorder="1"/>
    <xf numFmtId="41" fontId="17" fillId="0" borderId="0" xfId="1" applyNumberFormat="1" applyFont="1" applyBorder="1"/>
    <xf numFmtId="0" fontId="17" fillId="0" borderId="0" xfId="13" applyFont="1" applyBorder="1" applyAlignment="1">
      <alignment horizontal="center"/>
    </xf>
    <xf numFmtId="0" fontId="23" fillId="0" borderId="0" xfId="0" applyFont="1" applyFill="1"/>
    <xf numFmtId="175" fontId="36" fillId="0" borderId="0" xfId="5" applyNumberFormat="1" applyFont="1" applyFill="1"/>
    <xf numFmtId="10" fontId="36" fillId="2" borderId="0" xfId="7" applyNumberFormat="1" applyFont="1" applyFill="1"/>
    <xf numFmtId="41" fontId="17" fillId="2" borderId="17" xfId="1" applyNumberFormat="1" applyFont="1" applyFill="1" applyBorder="1"/>
    <xf numFmtId="37" fontId="12" fillId="0" borderId="0" xfId="6" applyNumberFormat="1" applyFont="1" applyFill="1"/>
    <xf numFmtId="41" fontId="12" fillId="0" borderId="0" xfId="6" applyNumberFormat="1" applyFont="1" applyFill="1"/>
    <xf numFmtId="0" fontId="18" fillId="0" borderId="0" xfId="0" applyFont="1" applyFill="1"/>
    <xf numFmtId="166" fontId="45" fillId="0" borderId="0" xfId="0" applyNumberFormat="1" applyFont="1" applyFill="1"/>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applyAlignment="1">
      <alignment horizontal="center"/>
    </xf>
    <xf numFmtId="10" fontId="14" fillId="0" borderId="0" xfId="7" applyNumberFormat="1" applyFont="1"/>
    <xf numFmtId="4" fontId="17" fillId="0" borderId="0" xfId="0" applyNumberFormat="1" applyFont="1" applyAlignment="1">
      <alignment horizontal="center"/>
    </xf>
    <xf numFmtId="37" fontId="17" fillId="0" borderId="0" xfId="0" applyNumberFormat="1" applyFont="1" applyFill="1"/>
    <xf numFmtId="3" fontId="17" fillId="0" borderId="0" xfId="0" applyNumberFormat="1" applyFont="1" applyFill="1"/>
    <xf numFmtId="168" fontId="12" fillId="0" borderId="0" xfId="6" applyNumberFormat="1" applyFont="1" applyFill="1"/>
    <xf numFmtId="0" fontId="12" fillId="0" borderId="0" xfId="0" applyFont="1"/>
    <xf numFmtId="0" fontId="17" fillId="0" borderId="0" xfId="0" applyFont="1"/>
    <xf numFmtId="0" fontId="17" fillId="0" borderId="0" xfId="0" applyFont="1" applyBorder="1"/>
    <xf numFmtId="0" fontId="17" fillId="0" borderId="0" xfId="0" applyFont="1" applyAlignment="1">
      <alignment horizontal="center"/>
    </xf>
    <xf numFmtId="0" fontId="21" fillId="0" borderId="0" xfId="0" applyFont="1"/>
    <xf numFmtId="3" fontId="17" fillId="0" borderId="0" xfId="0" applyNumberFormat="1" applyFont="1"/>
    <xf numFmtId="37" fontId="17" fillId="0" borderId="0" xfId="0" applyNumberFormat="1" applyFont="1"/>
    <xf numFmtId="0" fontId="17" fillId="0" borderId="0" xfId="0" applyFont="1" applyFill="1" applyBorder="1"/>
    <xf numFmtId="0" fontId="17" fillId="0" borderId="0" xfId="0" applyFont="1" applyFill="1"/>
    <xf numFmtId="0" fontId="21" fillId="0" borderId="0" xfId="0" applyFont="1" applyFill="1"/>
    <xf numFmtId="5" fontId="24" fillId="0" borderId="0" xfId="0" applyNumberFormat="1" applyFont="1"/>
    <xf numFmtId="5" fontId="17" fillId="0" borderId="0" xfId="0" applyNumberFormat="1" applyFont="1" applyFill="1"/>
    <xf numFmtId="3" fontId="17" fillId="0" borderId="0" xfId="0" applyNumberFormat="1" applyFont="1" applyFill="1"/>
    <xf numFmtId="4" fontId="17" fillId="0" borderId="0" xfId="0" applyNumberFormat="1" applyFont="1" applyAlignment="1">
      <alignment horizontal="center"/>
    </xf>
    <xf numFmtId="4" fontId="17" fillId="0" borderId="0" xfId="0" applyNumberFormat="1" applyFont="1" applyAlignment="1">
      <alignment horizontal="left"/>
    </xf>
    <xf numFmtId="169" fontId="17" fillId="0" borderId="0" xfId="17" applyNumberFormat="1" applyFont="1"/>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0" fontId="47" fillId="0" borderId="0" xfId="0" applyFont="1"/>
    <xf numFmtId="3" fontId="47" fillId="4" borderId="0" xfId="0" applyNumberFormat="1" applyFont="1" applyFill="1"/>
    <xf numFmtId="173" fontId="47" fillId="0" borderId="0" xfId="0" applyNumberFormat="1" applyFont="1"/>
    <xf numFmtId="0" fontId="17" fillId="0" borderId="0" xfId="0" applyFont="1"/>
    <xf numFmtId="0" fontId="17" fillId="0" borderId="0" xfId="0" applyFont="1" applyAlignment="1">
      <alignment horizontal="center"/>
    </xf>
    <xf numFmtId="37" fontId="17" fillId="0" borderId="0" xfId="0" applyNumberFormat="1" applyFont="1"/>
    <xf numFmtId="0" fontId="17" fillId="0" borderId="0" xfId="0" applyFont="1" applyFill="1"/>
    <xf numFmtId="0" fontId="18" fillId="0" borderId="0" xfId="0" applyFont="1" applyBorder="1" applyAlignment="1">
      <alignment horizontal="left"/>
    </xf>
    <xf numFmtId="3" fontId="17" fillId="0" borderId="0" xfId="0" applyNumberFormat="1" applyFont="1" applyFill="1"/>
    <xf numFmtId="4" fontId="17" fillId="0" borderId="0" xfId="0" applyNumberFormat="1" applyFont="1" applyAlignment="1">
      <alignment horizontal="center"/>
    </xf>
    <xf numFmtId="4" fontId="17" fillId="0" borderId="0" xfId="0" applyNumberFormat="1" applyFont="1" applyAlignment="1">
      <alignment horizontal="left"/>
    </xf>
    <xf numFmtId="5" fontId="24" fillId="0" borderId="0" xfId="0" applyNumberFormat="1" applyFont="1" applyBorder="1"/>
    <xf numFmtId="5" fontId="12" fillId="0" borderId="0" xfId="0" applyNumberFormat="1" applyFont="1" applyFill="1"/>
    <xf numFmtId="0" fontId="31" fillId="4" borderId="31" xfId="0" applyFont="1" applyFill="1" applyBorder="1" applyAlignment="1">
      <alignment horizontal="left"/>
    </xf>
    <xf numFmtId="171" fontId="17" fillId="0" borderId="0" xfId="0" applyNumberFormat="1" applyFont="1" applyBorder="1"/>
    <xf numFmtId="1" fontId="17" fillId="0" borderId="0" xfId="0" applyNumberFormat="1" applyFont="1"/>
    <xf numFmtId="0" fontId="17" fillId="0" borderId="0" xfId="0" applyFont="1" applyAlignment="1">
      <alignment horizontal="center"/>
    </xf>
    <xf numFmtId="3" fontId="18" fillId="0" borderId="0" xfId="0" applyNumberFormat="1" applyFont="1" applyFill="1" applyAlignment="1"/>
    <xf numFmtId="10" fontId="18" fillId="0" borderId="0" xfId="0" applyNumberFormat="1" applyFont="1" applyBorder="1" applyAlignment="1">
      <alignment horizontal="center"/>
    </xf>
    <xf numFmtId="37" fontId="35" fillId="0" borderId="0" xfId="5" applyNumberFormat="1" applyFont="1" applyBorder="1" applyAlignment="1">
      <alignment vertical="top"/>
    </xf>
    <xf numFmtId="174" fontId="47" fillId="4" borderId="0" xfId="0" applyNumberFormat="1" applyFont="1" applyFill="1" applyAlignment="1">
      <alignment horizontal="center"/>
    </xf>
    <xf numFmtId="0" fontId="0" fillId="0" borderId="0" xfId="0" applyAlignment="1">
      <alignment shrinkToFit="1"/>
    </xf>
    <xf numFmtId="0" fontId="17" fillId="0" borderId="0" xfId="0" applyFont="1" applyAlignment="1">
      <alignment horizontal="center"/>
    </xf>
    <xf numFmtId="0" fontId="48"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Border="1"/>
    <xf numFmtId="0" fontId="17" fillId="0" borderId="0" xfId="0" applyFont="1" applyFill="1" applyBorder="1" applyAlignment="1">
      <alignment horizontal="right"/>
    </xf>
    <xf numFmtId="0" fontId="45" fillId="0" borderId="0" xfId="5" applyNumberFormat="1" applyFont="1" applyAlignment="1">
      <alignment horizontal="left"/>
    </xf>
    <xf numFmtId="0" fontId="31" fillId="0" borderId="0" xfId="0" applyFont="1" applyAlignment="1">
      <alignment horizontal="centerContinuous"/>
    </xf>
    <xf numFmtId="0" fontId="30" fillId="0" borderId="0" xfId="0" applyFont="1"/>
    <xf numFmtId="0" fontId="50" fillId="0" borderId="0" xfId="0" applyFont="1"/>
    <xf numFmtId="0" fontId="31" fillId="0" borderId="0" xfId="0" applyFont="1" applyAlignment="1"/>
    <xf numFmtId="0" fontId="31" fillId="0" borderId="0" xfId="0" applyFont="1" applyAlignment="1">
      <alignment horizontal="center"/>
    </xf>
    <xf numFmtId="0" fontId="31" fillId="0" borderId="0" xfId="5" applyNumberFormat="1" applyFont="1" applyAlignment="1">
      <alignment horizontal="center"/>
    </xf>
    <xf numFmtId="0" fontId="31" fillId="0" borderId="0" xfId="0" applyFont="1" applyFill="1" applyAlignment="1">
      <alignment horizontal="center"/>
    </xf>
    <xf numFmtId="0" fontId="50" fillId="0" borderId="0" xfId="0" applyFont="1" applyFill="1"/>
    <xf numFmtId="3" fontId="31" fillId="0" borderId="0" xfId="0" applyNumberFormat="1" applyFont="1" applyFill="1" applyAlignment="1"/>
    <xf numFmtId="0" fontId="31" fillId="0" borderId="1" xfId="0" applyFont="1" applyBorder="1" applyAlignment="1">
      <alignment horizontal="center"/>
    </xf>
    <xf numFmtId="0" fontId="31" fillId="0" borderId="0" xfId="0" applyFont="1" applyBorder="1" applyAlignment="1">
      <alignment horizontal="center"/>
    </xf>
    <xf numFmtId="0" fontId="31" fillId="0" borderId="0" xfId="0" applyFont="1" applyFill="1" applyBorder="1" applyAlignment="1">
      <alignment horizontal="center" wrapText="1"/>
    </xf>
    <xf numFmtId="0" fontId="31" fillId="0" borderId="8" xfId="0" applyFont="1" applyBorder="1" applyAlignment="1">
      <alignment horizontal="center"/>
    </xf>
    <xf numFmtId="0" fontId="30" fillId="0" borderId="0" xfId="0" applyFont="1" applyBorder="1"/>
    <xf numFmtId="0" fontId="30" fillId="0" borderId="0" xfId="0" applyFont="1" applyAlignment="1">
      <alignment horizontal="center"/>
    </xf>
    <xf numFmtId="42" fontId="30" fillId="0" borderId="0" xfId="0" applyNumberFormat="1" applyFont="1"/>
    <xf numFmtId="5" fontId="30" fillId="0" borderId="0" xfId="0" applyNumberFormat="1" applyFont="1"/>
    <xf numFmtId="10" fontId="30" fillId="0" borderId="0" xfId="7" applyNumberFormat="1" applyFont="1" applyBorder="1"/>
    <xf numFmtId="170" fontId="30" fillId="0" borderId="0" xfId="7" applyNumberFormat="1" applyFont="1" applyBorder="1"/>
    <xf numFmtId="42" fontId="30" fillId="0" borderId="10" xfId="0" applyNumberFormat="1" applyFont="1" applyBorder="1"/>
    <xf numFmtId="42" fontId="30" fillId="0" borderId="0" xfId="0" applyNumberFormat="1" applyFont="1" applyBorder="1"/>
    <xf numFmtId="37" fontId="30" fillId="0" borderId="0" xfId="20" applyNumberFormat="1" applyFont="1" applyFill="1"/>
    <xf numFmtId="169" fontId="30" fillId="0" borderId="0" xfId="0" applyNumberFormat="1" applyFont="1"/>
    <xf numFmtId="0" fontId="42" fillId="0" borderId="0" xfId="0" applyFont="1" applyAlignment="1">
      <alignment horizontal="right"/>
    </xf>
    <xf numFmtId="10" fontId="31" fillId="0" borderId="0" xfId="7" applyNumberFormat="1" applyFont="1" applyBorder="1"/>
    <xf numFmtId="37" fontId="30" fillId="0" borderId="0" xfId="5" applyNumberFormat="1" applyFont="1"/>
    <xf numFmtId="42" fontId="30" fillId="0" borderId="0" xfId="0" applyNumberFormat="1" applyFont="1" applyFill="1" applyBorder="1"/>
    <xf numFmtId="0" fontId="45" fillId="0" borderId="0" xfId="0" applyFont="1"/>
    <xf numFmtId="0" fontId="31" fillId="0" borderId="0" xfId="0" applyFont="1" applyFill="1" applyBorder="1" applyAlignment="1">
      <alignment horizontal="center"/>
    </xf>
    <xf numFmtId="0" fontId="31" fillId="4" borderId="32" xfId="0" applyFont="1" applyFill="1" applyBorder="1" applyAlignment="1">
      <alignment horizontal="center"/>
    </xf>
    <xf numFmtId="0" fontId="31" fillId="4" borderId="33" xfId="0" applyFont="1" applyFill="1" applyBorder="1" applyAlignment="1">
      <alignment horizontal="center"/>
    </xf>
    <xf numFmtId="37" fontId="30" fillId="4" borderId="21" xfId="20" applyNumberFormat="1" applyFont="1" applyFill="1" applyBorder="1"/>
    <xf numFmtId="37" fontId="30" fillId="4" borderId="0" xfId="20" applyNumberFormat="1" applyFont="1" applyFill="1" applyBorder="1"/>
    <xf numFmtId="0" fontId="31" fillId="4" borderId="0" xfId="0" applyFont="1" applyFill="1" applyBorder="1" applyAlignment="1">
      <alignment horizontal="center"/>
    </xf>
    <xf numFmtId="37" fontId="51" fillId="4" borderId="0" xfId="20" applyNumberFormat="1" applyFont="1" applyFill="1" applyBorder="1"/>
    <xf numFmtId="0" fontId="31" fillId="4" borderId="22" xfId="0" applyFont="1" applyFill="1" applyBorder="1" applyAlignment="1">
      <alignment horizontal="center"/>
    </xf>
    <xf numFmtId="0" fontId="30" fillId="4" borderId="0" xfId="0" applyFont="1" applyFill="1" applyBorder="1"/>
    <xf numFmtId="0" fontId="31" fillId="4" borderId="10" xfId="0" applyFont="1" applyFill="1" applyBorder="1" applyAlignment="1">
      <alignment horizontal="center"/>
    </xf>
    <xf numFmtId="0" fontId="31" fillId="4" borderId="29" xfId="0" applyFont="1" applyFill="1" applyBorder="1" applyAlignment="1">
      <alignment horizontal="center"/>
    </xf>
    <xf numFmtId="37" fontId="30" fillId="0" borderId="0" xfId="20" applyNumberFormat="1" applyFont="1" applyFill="1" applyBorder="1"/>
    <xf numFmtId="37" fontId="30" fillId="4" borderId="22" xfId="20" applyNumberFormat="1" applyFont="1" applyFill="1" applyBorder="1"/>
    <xf numFmtId="167" fontId="30" fillId="4" borderId="0" xfId="7" applyNumberFormat="1" applyFont="1" applyFill="1" applyBorder="1"/>
    <xf numFmtId="10" fontId="30" fillId="4" borderId="22" xfId="7" applyNumberFormat="1" applyFont="1" applyFill="1" applyBorder="1"/>
    <xf numFmtId="10" fontId="30" fillId="4" borderId="0" xfId="7" applyNumberFormat="1" applyFont="1" applyFill="1" applyBorder="1"/>
    <xf numFmtId="170" fontId="51" fillId="4" borderId="0" xfId="7" applyNumberFormat="1" applyFont="1" applyFill="1" applyBorder="1"/>
    <xf numFmtId="10" fontId="30" fillId="4" borderId="16" xfId="7" applyNumberFormat="1" applyFont="1" applyFill="1" applyBorder="1"/>
    <xf numFmtId="10" fontId="30" fillId="4" borderId="30" xfId="7" applyNumberFormat="1" applyFont="1" applyFill="1" applyBorder="1"/>
    <xf numFmtId="37" fontId="30" fillId="4" borderId="23" xfId="20" applyNumberFormat="1" applyFont="1" applyFill="1" applyBorder="1"/>
    <xf numFmtId="0" fontId="30" fillId="4" borderId="24" xfId="0" applyFont="1" applyFill="1" applyBorder="1"/>
    <xf numFmtId="10" fontId="30" fillId="4" borderId="24" xfId="7" applyNumberFormat="1" applyFont="1" applyFill="1" applyBorder="1"/>
    <xf numFmtId="10" fontId="51" fillId="4" borderId="24" xfId="7" applyNumberFormat="1" applyFont="1" applyFill="1" applyBorder="1"/>
    <xf numFmtId="10" fontId="30" fillId="4" borderId="25" xfId="7" applyNumberFormat="1" applyFont="1" applyFill="1" applyBorder="1"/>
    <xf numFmtId="0" fontId="51" fillId="0" borderId="0" xfId="0" applyFont="1"/>
    <xf numFmtId="0" fontId="51" fillId="0" borderId="0" xfId="0" applyFont="1" applyBorder="1"/>
    <xf numFmtId="0" fontId="51" fillId="0" borderId="0" xfId="0" applyFont="1" applyFill="1" applyBorder="1"/>
    <xf numFmtId="10" fontId="51" fillId="0" borderId="0" xfId="7" applyNumberFormat="1" applyFont="1" applyFill="1" applyBorder="1" applyAlignment="1">
      <alignment horizontal="center"/>
    </xf>
    <xf numFmtId="0" fontId="31" fillId="0" borderId="0" xfId="0" applyFont="1" applyFill="1" applyBorder="1" applyAlignment="1">
      <alignment horizontal="left"/>
    </xf>
    <xf numFmtId="37" fontId="51" fillId="0" borderId="0" xfId="20" applyNumberFormat="1" applyFont="1" applyFill="1" applyBorder="1"/>
    <xf numFmtId="0" fontId="30" fillId="0" borderId="0" xfId="0" applyFont="1" applyFill="1" applyBorder="1" applyAlignment="1">
      <alignment horizontal="left"/>
    </xf>
    <xf numFmtId="5" fontId="30" fillId="0" borderId="0" xfId="7" applyNumberFormat="1" applyFont="1" applyFill="1" applyBorder="1"/>
    <xf numFmtId="3" fontId="44" fillId="0" borderId="0" xfId="13" applyNumberFormat="1" applyFont="1" applyFill="1"/>
    <xf numFmtId="0" fontId="31" fillId="0" borderId="0" xfId="0" applyFont="1" applyFill="1" applyAlignment="1"/>
    <xf numFmtId="174" fontId="47" fillId="0" borderId="0" xfId="0" applyNumberFormat="1" applyFont="1" applyAlignment="1">
      <alignment horizontal="left"/>
    </xf>
    <xf numFmtId="3" fontId="0" fillId="2" borderId="0" xfId="0" applyNumberFormat="1" applyFill="1" applyAlignment="1">
      <alignment horizontal="left"/>
    </xf>
    <xf numFmtId="41" fontId="17" fillId="0" borderId="3" xfId="1" applyNumberFormat="1" applyFont="1" applyBorder="1"/>
    <xf numFmtId="10" fontId="17" fillId="0" borderId="36" xfId="7" applyNumberFormat="1" applyFont="1" applyFill="1" applyBorder="1"/>
    <xf numFmtId="0" fontId="31" fillId="0" borderId="0" xfId="0" applyFont="1" applyFill="1" applyBorder="1" applyAlignment="1">
      <alignment horizontal="center"/>
    </xf>
    <xf numFmtId="0" fontId="17" fillId="0" borderId="0" xfId="0" applyFont="1" applyAlignment="1">
      <alignment horizontal="center"/>
    </xf>
    <xf numFmtId="0" fontId="12" fillId="0" borderId="0" xfId="0" applyFont="1" applyAlignment="1">
      <alignment horizontal="center"/>
    </xf>
    <xf numFmtId="165" fontId="12" fillId="0" borderId="0" xfId="0" applyNumberFormat="1" applyFont="1"/>
    <xf numFmtId="166" fontId="12" fillId="0" borderId="0" xfId="0" applyNumberFormat="1" applyFont="1"/>
    <xf numFmtId="165" fontId="12" fillId="0" borderId="0" xfId="0" applyNumberFormat="1" applyFont="1" applyAlignment="1">
      <alignment horizontal="right"/>
    </xf>
    <xf numFmtId="166" fontId="12" fillId="0" borderId="0" xfId="0" applyNumberFormat="1" applyFont="1" applyAlignment="1">
      <alignment horizontal="right"/>
    </xf>
    <xf numFmtId="0" fontId="12" fillId="0" borderId="0" xfId="0" applyFont="1" applyAlignment="1">
      <alignment horizontal="centerContinuous"/>
    </xf>
    <xf numFmtId="3" fontId="12" fillId="0" borderId="0" xfId="0" applyNumberFormat="1" applyFont="1" applyAlignment="1">
      <alignment horizontal="centerContinuous"/>
    </xf>
    <xf numFmtId="165" fontId="12" fillId="0" borderId="10" xfId="0" applyNumberFormat="1" applyFont="1" applyBorder="1" applyAlignment="1">
      <alignment horizontal="right"/>
    </xf>
    <xf numFmtId="166" fontId="14" fillId="0" borderId="10" xfId="0" applyNumberFormat="1" applyFont="1" applyBorder="1" applyAlignment="1">
      <alignment horizontal="center"/>
    </xf>
    <xf numFmtId="166" fontId="12" fillId="0" borderId="0" xfId="0" applyNumberFormat="1" applyFont="1" applyAlignment="1">
      <alignment horizontal="center"/>
    </xf>
    <xf numFmtId="0" fontId="12" fillId="0" borderId="0" xfId="0" applyFont="1" applyBorder="1" applyAlignment="1">
      <alignment horizontal="center"/>
    </xf>
    <xf numFmtId="0" fontId="12" fillId="0" borderId="10" xfId="0" applyFont="1" applyBorder="1" applyAlignment="1">
      <alignment horizontal="centerContinuous"/>
    </xf>
    <xf numFmtId="165" fontId="12" fillId="0" borderId="10" xfId="0" applyNumberFormat="1" applyFont="1" applyBorder="1" applyAlignment="1">
      <alignment horizontal="center"/>
    </xf>
    <xf numFmtId="166" fontId="12" fillId="0" borderId="10" xfId="0" applyNumberFormat="1" applyFont="1" applyBorder="1" applyAlignment="1">
      <alignment horizontal="center"/>
    </xf>
    <xf numFmtId="165" fontId="12" fillId="0" borderId="0" xfId="0" applyNumberFormat="1" applyFont="1" applyAlignment="1">
      <alignment horizontal="center"/>
    </xf>
    <xf numFmtId="171" fontId="12" fillId="0" borderId="0" xfId="1" applyNumberFormat="1" applyFont="1" applyAlignment="1">
      <alignment horizontal="center"/>
    </xf>
    <xf numFmtId="164" fontId="12" fillId="0" borderId="0" xfId="0" applyNumberFormat="1" applyFont="1"/>
    <xf numFmtId="37" fontId="12" fillId="0" borderId="0" xfId="0" applyNumberFormat="1" applyFont="1" applyFill="1"/>
    <xf numFmtId="37" fontId="12" fillId="0" borderId="10" xfId="0" applyNumberFormat="1" applyFont="1" applyBorder="1"/>
    <xf numFmtId="37" fontId="12" fillId="0" borderId="10" xfId="0" applyNumberFormat="1" applyFont="1" applyFill="1" applyBorder="1"/>
    <xf numFmtId="164" fontId="12" fillId="0" borderId="0" xfId="0" applyNumberFormat="1" applyFont="1" applyFill="1"/>
    <xf numFmtId="3" fontId="12" fillId="0" borderId="0" xfId="0" applyNumberFormat="1" applyFont="1" applyAlignment="1">
      <alignment horizontal="left"/>
    </xf>
    <xf numFmtId="167" fontId="12" fillId="0" borderId="0" xfId="0" applyNumberFormat="1" applyFont="1"/>
    <xf numFmtId="164" fontId="12" fillId="0" borderId="0" xfId="0" applyNumberFormat="1" applyFont="1" applyAlignment="1">
      <alignment horizontal="left"/>
    </xf>
    <xf numFmtId="37" fontId="12" fillId="0" borderId="15" xfId="0" applyNumberFormat="1" applyFont="1" applyBorder="1"/>
    <xf numFmtId="41" fontId="12" fillId="0" borderId="10" xfId="0" applyNumberFormat="1" applyFont="1" applyBorder="1"/>
    <xf numFmtId="5" fontId="12" fillId="0" borderId="12" xfId="0" applyNumberFormat="1" applyFont="1" applyBorder="1"/>
    <xf numFmtId="0" fontId="12" fillId="2" borderId="0" xfId="0" applyFont="1" applyFill="1"/>
    <xf numFmtId="165" fontId="12" fillId="2" borderId="0" xfId="0" applyNumberFormat="1" applyFont="1" applyFill="1"/>
    <xf numFmtId="166" fontId="12" fillId="2" borderId="0" xfId="0" applyNumberFormat="1" applyFont="1" applyFill="1"/>
    <xf numFmtId="171" fontId="12" fillId="2" borderId="0" xfId="1" applyNumberFormat="1" applyFont="1" applyFill="1"/>
    <xf numFmtId="174" fontId="47" fillId="0" borderId="0" xfId="0" applyNumberFormat="1" applyFont="1" applyAlignment="1">
      <alignment horizontal="center"/>
    </xf>
    <xf numFmtId="0" fontId="51" fillId="0" borderId="0" xfId="0" applyFont="1" applyFill="1"/>
    <xf numFmtId="14" fontId="53" fillId="0" borderId="0" xfId="0" applyNumberFormat="1" applyFont="1" applyFill="1" applyBorder="1"/>
    <xf numFmtId="14" fontId="30" fillId="0" borderId="0" xfId="0" applyNumberFormat="1" applyFont="1" applyFill="1" applyBorder="1"/>
    <xf numFmtId="0" fontId="30" fillId="0" borderId="0" xfId="0" applyFont="1" applyFill="1" applyBorder="1" applyAlignment="1">
      <alignment horizontal="center"/>
    </xf>
    <xf numFmtId="5" fontId="49" fillId="0" borderId="0" xfId="0" applyNumberFormat="1" applyFont="1" applyFill="1" applyBorder="1"/>
    <xf numFmtId="0" fontId="50" fillId="0" borderId="0" xfId="0" applyFont="1" applyBorder="1"/>
    <xf numFmtId="0" fontId="55" fillId="0" borderId="0" xfId="0" applyFont="1"/>
    <xf numFmtId="41" fontId="14" fillId="0" borderId="1" xfId="0" applyNumberFormat="1" applyFont="1" applyBorder="1" applyAlignment="1">
      <alignment horizontal="center"/>
    </xf>
    <xf numFmtId="41" fontId="14" fillId="0" borderId="5" xfId="0" applyNumberFormat="1" applyFont="1" applyBorder="1" applyAlignment="1">
      <alignment horizontal="center"/>
    </xf>
    <xf numFmtId="41" fontId="14" fillId="0" borderId="8" xfId="0" applyNumberFormat="1" applyFont="1" applyBorder="1" applyAlignment="1">
      <alignment horizontal="center"/>
    </xf>
    <xf numFmtId="3" fontId="15" fillId="0" borderId="0" xfId="0" quotePrefix="1" applyNumberFormat="1" applyFont="1" applyAlignment="1">
      <alignment horizontal="center"/>
    </xf>
    <xf numFmtId="169" fontId="18" fillId="0" borderId="0" xfId="17" applyNumberFormat="1" applyFont="1"/>
    <xf numFmtId="14" fontId="18" fillId="0" borderId="0" xfId="17" applyNumberFormat="1" applyFont="1"/>
    <xf numFmtId="0" fontId="18" fillId="0" borderId="0" xfId="17" applyFont="1"/>
    <xf numFmtId="169" fontId="18" fillId="0" borderId="0" xfId="17" applyNumberFormat="1" applyFont="1" applyAlignment="1">
      <alignment horizontal="right"/>
    </xf>
    <xf numFmtId="0" fontId="17" fillId="0" borderId="0" xfId="17" applyFont="1"/>
    <xf numFmtId="169" fontId="17" fillId="0" borderId="15" xfId="17" applyNumberFormat="1" applyFont="1" applyBorder="1"/>
    <xf numFmtId="0" fontId="57" fillId="0" borderId="0" xfId="17" applyFont="1"/>
    <xf numFmtId="4" fontId="58" fillId="0" borderId="0" xfId="17" applyNumberFormat="1" applyFont="1" applyAlignment="1">
      <alignment horizontal="left"/>
    </xf>
    <xf numFmtId="169" fontId="17" fillId="7" borderId="15" xfId="17" applyNumberFormat="1" applyFont="1" applyFill="1" applyBorder="1"/>
    <xf numFmtId="4" fontId="58" fillId="0" borderId="0" xfId="17" applyNumberFormat="1" applyFont="1" applyAlignment="1">
      <alignment horizontal="right"/>
    </xf>
    <xf numFmtId="169" fontId="17" fillId="0" borderId="10" xfId="17" applyNumberFormat="1" applyFont="1" applyBorder="1"/>
    <xf numFmtId="5" fontId="31" fillId="0" borderId="17" xfId="0" applyNumberFormat="1" applyFont="1" applyFill="1" applyBorder="1"/>
    <xf numFmtId="172" fontId="17" fillId="0" borderId="0" xfId="2" applyNumberFormat="1" applyFont="1" applyBorder="1"/>
    <xf numFmtId="172" fontId="17" fillId="0" borderId="0" xfId="2" applyNumberFormat="1" applyFont="1" applyFill="1" applyBorder="1"/>
    <xf numFmtId="172" fontId="19" fillId="0" borderId="0" xfId="2" applyNumberFormat="1" applyFont="1" applyFill="1" applyBorder="1" applyAlignment="1">
      <alignment horizontal="center"/>
    </xf>
    <xf numFmtId="172" fontId="17" fillId="0" borderId="0" xfId="2" applyNumberFormat="1" applyFont="1" applyFill="1" applyBorder="1" applyAlignment="1">
      <alignment horizontal="center"/>
    </xf>
    <xf numFmtId="3" fontId="14" fillId="0" borderId="0" xfId="0" applyNumberFormat="1" applyFont="1" applyFill="1"/>
    <xf numFmtId="41" fontId="14" fillId="0" borderId="1" xfId="0" quotePrefix="1" applyNumberFormat="1" applyFont="1" applyFill="1" applyBorder="1" applyAlignment="1">
      <alignment horizontal="center"/>
    </xf>
    <xf numFmtId="41" fontId="14" fillId="0" borderId="1" xfId="0" applyNumberFormat="1" applyFont="1" applyFill="1" applyBorder="1" applyAlignment="1">
      <alignment horizontal="center"/>
    </xf>
    <xf numFmtId="3" fontId="14" fillId="0" borderId="1" xfId="0" applyNumberFormat="1" applyFont="1" applyFill="1" applyBorder="1" applyAlignment="1">
      <alignment horizontal="center"/>
    </xf>
    <xf numFmtId="41" fontId="14" fillId="0" borderId="5" xfId="0" applyNumberFormat="1" applyFont="1" applyFill="1" applyBorder="1" applyAlignment="1">
      <alignment horizontal="center"/>
    </xf>
    <xf numFmtId="3" fontId="14" fillId="0" borderId="5" xfId="0" applyNumberFormat="1" applyFont="1" applyFill="1" applyBorder="1" applyAlignment="1">
      <alignment horizontal="center"/>
    </xf>
    <xf numFmtId="41" fontId="14" fillId="0" borderId="8" xfId="0" applyNumberFormat="1" applyFont="1" applyFill="1" applyBorder="1" applyAlignment="1">
      <alignment horizontal="center"/>
    </xf>
    <xf numFmtId="3" fontId="14" fillId="0" borderId="8" xfId="0" applyNumberFormat="1" applyFont="1" applyFill="1" applyBorder="1" applyAlignment="1">
      <alignment horizontal="center"/>
    </xf>
    <xf numFmtId="0" fontId="17" fillId="0" borderId="0" xfId="0" applyFont="1" applyAlignment="1">
      <alignment horizontal="center"/>
    </xf>
    <xf numFmtId="173" fontId="47" fillId="0" borderId="0" xfId="0" applyNumberFormat="1" applyFont="1" applyAlignment="1">
      <alignment horizontal="left"/>
    </xf>
    <xf numFmtId="166" fontId="12" fillId="0" borderId="10" xfId="0" applyNumberFormat="1" applyFont="1" applyBorder="1"/>
    <xf numFmtId="0" fontId="17" fillId="0" borderId="0" xfId="0" applyFont="1" applyAlignment="1">
      <alignment horizontal="center"/>
    </xf>
    <xf numFmtId="171" fontId="12" fillId="0" borderId="0" xfId="1" applyNumberFormat="1" applyFont="1" applyFill="1"/>
    <xf numFmtId="0" fontId="17" fillId="0" borderId="0" xfId="13" applyFont="1" applyAlignment="1">
      <alignment horizontal="right"/>
    </xf>
    <xf numFmtId="4" fontId="17" fillId="2" borderId="37" xfId="13" applyNumberFormat="1" applyFont="1" applyFill="1" applyBorder="1" applyAlignment="1">
      <alignment horizontal="center"/>
    </xf>
    <xf numFmtId="0" fontId="17" fillId="2" borderId="36" xfId="13" applyFont="1" applyFill="1" applyBorder="1" applyAlignment="1">
      <alignment horizontal="center"/>
    </xf>
    <xf numFmtId="0" fontId="31" fillId="0" borderId="0" xfId="0" applyFont="1" applyFill="1" applyAlignment="1">
      <alignment horizontal="centerContinuous"/>
    </xf>
    <xf numFmtId="0" fontId="31" fillId="0" borderId="0" xfId="5" applyNumberFormat="1" applyFont="1" applyFill="1" applyAlignment="1">
      <alignment horizontal="center"/>
    </xf>
    <xf numFmtId="0" fontId="30" fillId="0" borderId="0" xfId="0" applyFont="1" applyFill="1" applyAlignment="1">
      <alignment horizontal="center"/>
    </xf>
    <xf numFmtId="0" fontId="30" fillId="0" borderId="10" xfId="0" applyFont="1" applyFill="1" applyBorder="1" applyAlignment="1">
      <alignment horizontal="center"/>
    </xf>
    <xf numFmtId="42" fontId="30" fillId="0" borderId="0" xfId="0" applyNumberFormat="1" applyFont="1" applyFill="1"/>
    <xf numFmtId="5" fontId="30" fillId="0" borderId="0" xfId="0" applyNumberFormat="1" applyFont="1" applyFill="1"/>
    <xf numFmtId="170" fontId="30" fillId="0" borderId="0" xfId="7" applyNumberFormat="1" applyFont="1" applyFill="1" applyBorder="1"/>
    <xf numFmtId="169" fontId="30" fillId="0" borderId="0" xfId="0" applyNumberFormat="1" applyFont="1" applyFill="1"/>
    <xf numFmtId="0" fontId="31" fillId="0" borderId="0" xfId="0" applyFont="1" applyFill="1"/>
    <xf numFmtId="42" fontId="31" fillId="0" borderId="0" xfId="0" applyNumberFormat="1" applyFont="1" applyFill="1" applyBorder="1"/>
    <xf numFmtId="37" fontId="31" fillId="0" borderId="0" xfId="5" applyNumberFormat="1" applyFont="1" applyFill="1"/>
    <xf numFmtId="10" fontId="31" fillId="0" borderId="0" xfId="7" applyNumberFormat="1" applyFont="1" applyFill="1" applyBorder="1"/>
    <xf numFmtId="44" fontId="31" fillId="0" borderId="0" xfId="2" applyNumberFormat="1" applyFont="1" applyFill="1" applyBorder="1"/>
    <xf numFmtId="167" fontId="31" fillId="0" borderId="0" xfId="7" applyNumberFormat="1" applyFont="1" applyFill="1" applyBorder="1"/>
    <xf numFmtId="172" fontId="30" fillId="0" borderId="0" xfId="2" applyNumberFormat="1" applyFont="1"/>
    <xf numFmtId="178" fontId="30" fillId="0" borderId="0" xfId="0" applyNumberFormat="1" applyFont="1"/>
    <xf numFmtId="5" fontId="31" fillId="0" borderId="17" xfId="0" applyNumberFormat="1" applyFont="1" applyBorder="1"/>
    <xf numFmtId="0" fontId="30" fillId="0" borderId="0" xfId="20" applyFont="1"/>
    <xf numFmtId="37" fontId="30" fillId="0" borderId="0" xfId="5" applyNumberFormat="1" applyFont="1" applyFill="1" applyBorder="1"/>
    <xf numFmtId="41" fontId="14" fillId="0" borderId="1" xfId="96" quotePrefix="1" applyNumberFormat="1" applyFont="1" applyBorder="1" applyAlignment="1">
      <alignment horizontal="center"/>
    </xf>
    <xf numFmtId="41" fontId="14" fillId="0" borderId="5" xfId="96" applyNumberFormat="1" applyFont="1" applyBorder="1" applyAlignment="1">
      <alignment horizontal="center"/>
    </xf>
    <xf numFmtId="41" fontId="14" fillId="0" borderId="8" xfId="96" applyNumberFormat="1" applyFont="1" applyBorder="1" applyAlignment="1">
      <alignment horizontal="center"/>
    </xf>
    <xf numFmtId="41" fontId="14" fillId="0" borderId="13" xfId="96" applyNumberFormat="1" applyFont="1" applyBorder="1" applyAlignment="1">
      <alignment horizontal="centerContinuous"/>
    </xf>
    <xf numFmtId="41" fontId="14" fillId="0" borderId="1" xfId="96" applyNumberFormat="1" applyFont="1" applyBorder="1" applyAlignment="1">
      <alignment horizontal="center"/>
    </xf>
    <xf numFmtId="171" fontId="12" fillId="0" borderId="10" xfId="1" applyNumberFormat="1" applyFont="1" applyBorder="1"/>
    <xf numFmtId="0" fontId="17" fillId="0" borderId="0" xfId="0" applyFont="1" applyAlignment="1">
      <alignment horizontal="center"/>
    </xf>
    <xf numFmtId="0" fontId="17" fillId="0" borderId="0" xfId="0" applyFont="1" applyAlignment="1">
      <alignment horizontal="center"/>
    </xf>
    <xf numFmtId="41" fontId="14" fillId="0" borderId="1" xfId="0" quotePrefix="1" applyNumberFormat="1" applyFont="1" applyBorder="1" applyAlignment="1">
      <alignment horizontal="center"/>
    </xf>
    <xf numFmtId="172" fontId="51" fillId="0" borderId="0" xfId="7" applyNumberFormat="1" applyFont="1" applyFill="1" applyBorder="1" applyAlignment="1">
      <alignment horizontal="center"/>
    </xf>
    <xf numFmtId="10" fontId="30" fillId="0" borderId="10" xfId="7" applyNumberFormat="1" applyFont="1" applyFill="1" applyBorder="1"/>
    <xf numFmtId="10" fontId="50" fillId="0" borderId="0" xfId="0" applyNumberFormat="1" applyFont="1"/>
    <xf numFmtId="0" fontId="17" fillId="0" borderId="0" xfId="0" applyFont="1" applyBorder="1" applyAlignment="1">
      <alignment horizontal="center"/>
    </xf>
    <xf numFmtId="41" fontId="14" fillId="0" borderId="15" xfId="96" applyNumberFormat="1" applyFont="1" applyBorder="1" applyAlignment="1">
      <alignment horizontal="centerContinuous"/>
    </xf>
    <xf numFmtId="41" fontId="14" fillId="0" borderId="14" xfId="96" applyNumberFormat="1" applyFont="1" applyBorder="1" applyAlignment="1">
      <alignment horizontal="centerContinuous"/>
    </xf>
    <xf numFmtId="41" fontId="14" fillId="0" borderId="39" xfId="96" applyNumberFormat="1" applyFont="1" applyBorder="1" applyAlignment="1">
      <alignment horizontal="centerContinuous"/>
    </xf>
    <xf numFmtId="10" fontId="17" fillId="0" borderId="10" xfId="0" applyNumberFormat="1" applyFont="1" applyBorder="1" applyAlignment="1">
      <alignment horizontal="center" vertical="center"/>
    </xf>
    <xf numFmtId="0" fontId="17" fillId="0" borderId="10" xfId="0" applyFont="1" applyBorder="1" applyAlignment="1">
      <alignment horizontal="center"/>
    </xf>
    <xf numFmtId="41" fontId="17" fillId="0" borderId="10" xfId="0" applyNumberFormat="1" applyFont="1" applyBorder="1" applyAlignment="1">
      <alignment horizontal="center" wrapText="1"/>
    </xf>
    <xf numFmtId="0" fontId="17" fillId="0" borderId="16" xfId="0" applyFont="1" applyBorder="1"/>
    <xf numFmtId="10" fontId="18" fillId="0" borderId="15" xfId="0" applyNumberFormat="1" applyFont="1" applyBorder="1" applyAlignment="1">
      <alignment horizontal="center"/>
    </xf>
    <xf numFmtId="5" fontId="17" fillId="0" borderId="15" xfId="0" applyNumberFormat="1" applyFont="1" applyBorder="1"/>
    <xf numFmtId="5" fontId="17" fillId="0" borderId="40" xfId="0" applyNumberFormat="1" applyFont="1" applyBorder="1"/>
    <xf numFmtId="10" fontId="18" fillId="0" borderId="16" xfId="0" applyNumberFormat="1" applyFont="1" applyBorder="1" applyAlignment="1">
      <alignment horizontal="center"/>
    </xf>
    <xf numFmtId="0" fontId="18" fillId="0" borderId="0" xfId="0" applyFont="1" applyFill="1" applyAlignment="1">
      <alignment horizontal="left"/>
    </xf>
    <xf numFmtId="0" fontId="18" fillId="0" borderId="0" xfId="0" applyFont="1" applyFill="1" applyAlignment="1">
      <alignment horizontal="left"/>
    </xf>
    <xf numFmtId="0" fontId="17" fillId="0" borderId="0" xfId="0" applyFont="1" applyBorder="1" applyAlignment="1">
      <alignment horizontal="left"/>
    </xf>
    <xf numFmtId="0" fontId="17" fillId="0" borderId="0" xfId="0" applyFont="1"/>
    <xf numFmtId="0" fontId="17" fillId="0" borderId="0" xfId="0" applyFont="1" applyBorder="1"/>
    <xf numFmtId="5" fontId="17" fillId="0" borderId="0" xfId="0" applyNumberFormat="1" applyFont="1"/>
    <xf numFmtId="0" fontId="29" fillId="0" borderId="0" xfId="0" applyFont="1"/>
    <xf numFmtId="0" fontId="17" fillId="0" borderId="0" xfId="0" applyFont="1" applyBorder="1" applyAlignment="1">
      <alignment horizontal="left"/>
    </xf>
    <xf numFmtId="171" fontId="17" fillId="0" borderId="0" xfId="1" applyNumberFormat="1" applyFont="1"/>
    <xf numFmtId="0" fontId="17" fillId="0" borderId="0" xfId="0" applyFont="1" applyFill="1" applyBorder="1"/>
    <xf numFmtId="0" fontId="17" fillId="0" borderId="0" xfId="0" applyFont="1" applyFill="1"/>
    <xf numFmtId="171" fontId="17" fillId="0" borderId="0" xfId="1" applyNumberFormat="1" applyFont="1" applyFill="1" applyBorder="1"/>
    <xf numFmtId="5" fontId="24" fillId="0" borderId="0" xfId="0" applyNumberFormat="1" applyFont="1"/>
    <xf numFmtId="5" fontId="17" fillId="0" borderId="0" xfId="0" applyNumberFormat="1" applyFont="1" applyFill="1"/>
    <xf numFmtId="5" fontId="17" fillId="0" borderId="0" xfId="0" applyNumberFormat="1" applyFont="1" applyFill="1" applyBorder="1"/>
    <xf numFmtId="172" fontId="17" fillId="0" borderId="0" xfId="2" applyNumberFormat="1" applyFont="1" applyFill="1" applyBorder="1"/>
    <xf numFmtId="0" fontId="17" fillId="0" borderId="0" xfId="0" applyFont="1" applyFill="1" applyAlignment="1">
      <alignment horizontal="right"/>
    </xf>
    <xf numFmtId="172" fontId="17" fillId="0" borderId="0" xfId="2" applyNumberFormat="1" applyFont="1" applyBorder="1"/>
    <xf numFmtId="2" fontId="17" fillId="0" borderId="0" xfId="0" applyNumberFormat="1" applyFont="1"/>
    <xf numFmtId="0" fontId="0" fillId="0" borderId="0" xfId="0"/>
    <xf numFmtId="0" fontId="17" fillId="0" borderId="0" xfId="0" applyFont="1"/>
    <xf numFmtId="0" fontId="23" fillId="0" borderId="0" xfId="0" applyFont="1"/>
    <xf numFmtId="5" fontId="23" fillId="0" borderId="0" xfId="0" applyNumberFormat="1" applyFont="1"/>
    <xf numFmtId="6" fontId="17" fillId="0" borderId="0" xfId="0" applyNumberFormat="1" applyFont="1"/>
    <xf numFmtId="0" fontId="17" fillId="0" borderId="0" xfId="0" applyFont="1" applyFill="1" applyBorder="1"/>
    <xf numFmtId="0" fontId="17" fillId="0" borderId="0" xfId="0" applyFont="1" applyFill="1"/>
    <xf numFmtId="5" fontId="24" fillId="0" borderId="0" xfId="0" applyNumberFormat="1" applyFont="1"/>
    <xf numFmtId="5" fontId="17" fillId="0" borderId="0" xfId="0" applyNumberFormat="1" applyFont="1" applyFill="1"/>
    <xf numFmtId="5" fontId="17" fillId="0" borderId="0" xfId="0" applyNumberFormat="1" applyFont="1" applyFill="1" applyAlignment="1">
      <alignment horizontal="right"/>
    </xf>
    <xf numFmtId="5" fontId="17" fillId="0" borderId="0" xfId="0" applyNumberFormat="1" applyFont="1" applyBorder="1" applyAlignment="1">
      <alignment horizontal="right"/>
    </xf>
    <xf numFmtId="5" fontId="17" fillId="0" borderId="0" xfId="0" applyNumberFormat="1" applyFont="1" applyAlignment="1">
      <alignment horizontal="right"/>
    </xf>
    <xf numFmtId="5" fontId="17" fillId="0" borderId="16" xfId="2" applyNumberFormat="1" applyFont="1" applyFill="1" applyBorder="1"/>
    <xf numFmtId="5" fontId="69" fillId="0" borderId="16" xfId="0" applyNumberFormat="1" applyFont="1" applyFill="1" applyBorder="1"/>
    <xf numFmtId="5" fontId="17" fillId="0" borderId="0" xfId="0" applyNumberFormat="1" applyFont="1" applyFill="1" applyBorder="1"/>
    <xf numFmtId="171" fontId="69" fillId="0" borderId="0" xfId="0" applyNumberFormat="1" applyFont="1" applyFill="1"/>
    <xf numFmtId="0" fontId="17" fillId="0" borderId="0" xfId="0" applyFont="1" applyFill="1"/>
    <xf numFmtId="0" fontId="17" fillId="0" borderId="0" xfId="0" applyFont="1" applyAlignment="1">
      <alignment horizontal="center"/>
    </xf>
    <xf numFmtId="0" fontId="17" fillId="0" borderId="0" xfId="0" applyFont="1" applyBorder="1" applyAlignment="1">
      <alignment horizontal="center"/>
    </xf>
    <xf numFmtId="0" fontId="17" fillId="0" borderId="0" xfId="0" applyFont="1" applyAlignment="1">
      <alignment horizontal="center"/>
    </xf>
    <xf numFmtId="3" fontId="12" fillId="0" borderId="0" xfId="5" applyNumberFormat="1" applyFont="1"/>
    <xf numFmtId="3" fontId="17" fillId="0" borderId="0" xfId="0" applyNumberFormat="1" applyFont="1" applyBorder="1"/>
    <xf numFmtId="0" fontId="19" fillId="0" borderId="0" xfId="0" applyFont="1" applyBorder="1"/>
    <xf numFmtId="0" fontId="17" fillId="0" borderId="0" xfId="0" applyFont="1" applyFill="1" applyBorder="1" applyAlignment="1">
      <alignment horizontal="center"/>
    </xf>
    <xf numFmtId="0" fontId="19" fillId="0" borderId="0" xfId="0" applyFont="1" applyBorder="1" applyAlignment="1">
      <alignment horizontal="center"/>
    </xf>
    <xf numFmtId="0" fontId="17"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2" fillId="0" borderId="0" xfId="0" applyFont="1" applyFill="1"/>
    <xf numFmtId="165" fontId="12" fillId="0" borderId="0" xfId="0" applyNumberFormat="1" applyFont="1" applyFill="1"/>
    <xf numFmtId="166" fontId="12" fillId="0" borderId="0" xfId="0" applyNumberFormat="1" applyFont="1" applyFill="1"/>
    <xf numFmtId="0" fontId="13" fillId="0" borderId="0" xfId="0" applyFont="1" applyFill="1"/>
    <xf numFmtId="49" fontId="47" fillId="0" borderId="0" xfId="0" applyNumberFormat="1" applyFont="1" applyFill="1" applyAlignment="1">
      <alignment horizontal="left"/>
    </xf>
    <xf numFmtId="0" fontId="0" fillId="0" borderId="0" xfId="0" applyFill="1"/>
    <xf numFmtId="173" fontId="43"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7" fillId="0" borderId="0" xfId="0" applyFont="1" applyAlignment="1">
      <alignment horizontal="center"/>
    </xf>
    <xf numFmtId="171" fontId="26" fillId="0" borderId="0" xfId="1" applyNumberFormat="1" applyFont="1"/>
    <xf numFmtId="169" fontId="52" fillId="0" borderId="0" xfId="17" applyNumberFormat="1" applyFont="1"/>
    <xf numFmtId="171" fontId="52" fillId="0" borderId="0" xfId="1" applyNumberFormat="1" applyFont="1"/>
    <xf numFmtId="171" fontId="52" fillId="0" borderId="10" xfId="1" applyNumberFormat="1" applyFont="1" applyBorder="1"/>
    <xf numFmtId="10" fontId="52" fillId="0" borderId="0" xfId="17" applyNumberFormat="1" applyFont="1"/>
    <xf numFmtId="169" fontId="72" fillId="0" borderId="0" xfId="17" applyNumberFormat="1"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70" fillId="0" borderId="0" xfId="0"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171" fontId="17" fillId="0" borderId="0" xfId="1" applyNumberFormat="1" applyFont="1" applyFill="1"/>
    <xf numFmtId="41" fontId="52" fillId="0" borderId="10" xfId="1" applyNumberFormat="1" applyFont="1" applyFill="1" applyBorder="1"/>
    <xf numFmtId="3" fontId="73" fillId="0" borderId="0" xfId="13" applyNumberFormat="1" applyFont="1"/>
    <xf numFmtId="43" fontId="49" fillId="0" borderId="0" xfId="1"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5" fontId="50" fillId="0" borderId="0" xfId="0" applyNumberFormat="1" applyFont="1"/>
    <xf numFmtId="172" fontId="45" fillId="0" borderId="0" xfId="2" applyNumberFormat="1" applyFont="1" applyFill="1" applyBorder="1" applyAlignment="1">
      <alignment horizontal="right"/>
    </xf>
    <xf numFmtId="5" fontId="30" fillId="0" borderId="10" xfId="0" applyNumberFormat="1" applyFont="1" applyFill="1" applyBorder="1"/>
    <xf numFmtId="0" fontId="30" fillId="0" borderId="0" xfId="0" applyFont="1" applyFill="1" applyAlignment="1">
      <alignment horizontal="right"/>
    </xf>
    <xf numFmtId="5" fontId="30" fillId="0" borderId="16" xfId="0" applyNumberFormat="1" applyFont="1" applyFill="1" applyBorder="1"/>
    <xf numFmtId="5" fontId="30" fillId="0" borderId="0" xfId="0" applyNumberFormat="1" applyFont="1" applyFill="1" applyAlignment="1">
      <alignment horizontal="right"/>
    </xf>
    <xf numFmtId="5" fontId="30" fillId="0" borderId="10" xfId="0" applyNumberFormat="1" applyFont="1" applyFill="1" applyBorder="1" applyAlignment="1">
      <alignment horizontal="right"/>
    </xf>
    <xf numFmtId="0" fontId="31" fillId="0" borderId="0" xfId="0" applyFont="1" applyFill="1" applyBorder="1" applyAlignment="1">
      <alignment horizontal="center"/>
    </xf>
    <xf numFmtId="5" fontId="30" fillId="0" borderId="0" xfId="0" applyNumberFormat="1" applyFont="1" applyFill="1" applyAlignment="1">
      <alignment horizontal="left"/>
    </xf>
    <xf numFmtId="179" fontId="17" fillId="0" borderId="0" xfId="7" applyNumberFormat="1" applyFont="1" applyFill="1" applyBorder="1" applyAlignment="1">
      <alignment horizontal="right"/>
    </xf>
    <xf numFmtId="0" fontId="15" fillId="0"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applyAlignment="1">
      <alignment horizontal="center"/>
    </xf>
    <xf numFmtId="0" fontId="28" fillId="0" borderId="0" xfId="0" applyFont="1" applyAlignment="1">
      <alignment horizontal="center"/>
    </xf>
    <xf numFmtId="41" fontId="54" fillId="0" borderId="0" xfId="6" applyNumberFormat="1" applyFont="1" applyFill="1"/>
    <xf numFmtId="4" fontId="17" fillId="0" borderId="21" xfId="0" applyNumberFormat="1" applyFont="1" applyFill="1" applyBorder="1" applyAlignment="1">
      <alignment horizontal="center"/>
    </xf>
    <xf numFmtId="3" fontId="17" fillId="0" borderId="0" xfId="0" applyNumberFormat="1" applyFont="1" applyFill="1" applyBorder="1"/>
    <xf numFmtId="37" fontId="17" fillId="0" borderId="0" xfId="0" applyNumberFormat="1" applyFont="1" applyFill="1" applyBorder="1"/>
    <xf numFmtId="5" fontId="17" fillId="0" borderId="0" xfId="0" applyNumberFormat="1" applyFont="1" applyBorder="1"/>
    <xf numFmtId="3" fontId="17" fillId="0" borderId="0" xfId="0" applyNumberFormat="1" applyFont="1" applyFill="1" applyAlignment="1">
      <alignment horizontal="left"/>
    </xf>
    <xf numFmtId="10" fontId="17" fillId="0" borderId="0" xfId="7" applyNumberFormat="1" applyFont="1" applyAlignment="1">
      <alignment horizontal="center"/>
    </xf>
    <xf numFmtId="3" fontId="17" fillId="0" borderId="0" xfId="0" applyNumberFormat="1" applyFont="1" applyFill="1" applyAlignment="1">
      <alignment horizontal="center"/>
    </xf>
    <xf numFmtId="3" fontId="17" fillId="0" borderId="0" xfId="0" applyNumberFormat="1" applyFont="1" applyAlignment="1">
      <alignment horizontal="center"/>
    </xf>
    <xf numFmtId="5" fontId="17" fillId="0" borderId="0" xfId="2" applyNumberFormat="1" applyFont="1" applyFill="1"/>
    <xf numFmtId="0" fontId="31" fillId="0" borderId="2" xfId="0" applyFont="1" applyBorder="1" applyAlignment="1">
      <alignment horizontal="center"/>
    </xf>
    <xf numFmtId="0" fontId="31" fillId="0" borderId="9" xfId="0" applyFont="1" applyBorder="1" applyAlignment="1">
      <alignment horizontal="center"/>
    </xf>
    <xf numFmtId="0" fontId="31" fillId="0" borderId="0" xfId="5" applyNumberFormat="1" applyFont="1" applyAlignment="1">
      <alignment horizontal="center"/>
    </xf>
    <xf numFmtId="0" fontId="31" fillId="0" borderId="0" xfId="0" applyFont="1" applyAlignment="1">
      <alignment horizontal="center"/>
    </xf>
    <xf numFmtId="0" fontId="18" fillId="0" borderId="0" xfId="0" applyFont="1" applyFill="1" applyAlignment="1">
      <alignment horizontal="center"/>
    </xf>
    <xf numFmtId="0" fontId="19"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12" fillId="0" borderId="0" xfId="0" applyFont="1" applyAlignment="1">
      <alignment horizontal="center"/>
    </xf>
    <xf numFmtId="169" fontId="31" fillId="0" borderId="0" xfId="0" applyNumberFormat="1" applyFont="1" applyAlignment="1">
      <alignment horizontal="center"/>
    </xf>
    <xf numFmtId="169" fontId="31" fillId="0" borderId="0" xfId="0" applyNumberFormat="1" applyFont="1"/>
    <xf numFmtId="14" fontId="31" fillId="0" borderId="0" xfId="0" applyNumberFormat="1" applyFont="1"/>
    <xf numFmtId="0" fontId="31" fillId="0" borderId="0" xfId="0" applyFont="1"/>
    <xf numFmtId="169" fontId="31" fillId="0" borderId="0" xfId="0" applyNumberFormat="1" applyFont="1" applyAlignment="1">
      <alignment horizontal="right"/>
    </xf>
    <xf numFmtId="169" fontId="31" fillId="0" borderId="0" xfId="0" applyNumberFormat="1" applyFont="1" applyAlignment="1"/>
    <xf numFmtId="0" fontId="53" fillId="0" borderId="0" xfId="0" applyFont="1"/>
    <xf numFmtId="169" fontId="74" fillId="0" borderId="0" xfId="0" applyNumberFormat="1" applyFont="1" applyAlignment="1">
      <alignment horizontal="center"/>
    </xf>
    <xf numFmtId="169" fontId="31" fillId="0" borderId="0" xfId="0" applyNumberFormat="1" applyFont="1" applyFill="1" applyAlignment="1">
      <alignment horizontal="center"/>
    </xf>
    <xf numFmtId="0" fontId="31" fillId="0" borderId="10" xfId="0" applyFont="1" applyBorder="1" applyAlignment="1">
      <alignment horizontal="center"/>
    </xf>
    <xf numFmtId="169" fontId="31" fillId="0" borderId="0" xfId="0" applyNumberFormat="1" applyFont="1" applyFill="1"/>
    <xf numFmtId="5" fontId="30" fillId="0" borderId="0" xfId="1" applyNumberFormat="1" applyFont="1"/>
    <xf numFmtId="5" fontId="30" fillId="0" borderId="0" xfId="1" applyNumberFormat="1" applyFont="1" applyBorder="1"/>
    <xf numFmtId="169" fontId="30" fillId="0" borderId="0" xfId="17" applyNumberFormat="1" applyFont="1" applyFill="1"/>
    <xf numFmtId="169" fontId="30" fillId="0" borderId="0" xfId="17" applyNumberFormat="1" applyFont="1"/>
    <xf numFmtId="171" fontId="30" fillId="0" borderId="0" xfId="1" applyNumberFormat="1" applyFont="1"/>
    <xf numFmtId="171" fontId="30" fillId="0" borderId="0" xfId="1" applyNumberFormat="1" applyFont="1" applyBorder="1"/>
    <xf numFmtId="169" fontId="51" fillId="0" borderId="0" xfId="0" applyNumberFormat="1" applyFont="1" applyFill="1"/>
    <xf numFmtId="169" fontId="30" fillId="0" borderId="15" xfId="0" applyNumberFormat="1" applyFont="1" applyFill="1" applyBorder="1"/>
    <xf numFmtId="171" fontId="30" fillId="0" borderId="15" xfId="1" applyNumberFormat="1" applyFont="1" applyBorder="1"/>
    <xf numFmtId="10" fontId="75" fillId="0" borderId="0" xfId="0" applyNumberFormat="1" applyFont="1" applyFill="1"/>
    <xf numFmtId="169" fontId="30" fillId="0" borderId="10" xfId="0" applyNumberFormat="1" applyFont="1" applyFill="1" applyBorder="1"/>
    <xf numFmtId="171" fontId="30" fillId="0" borderId="10" xfId="1" applyNumberFormat="1" applyFont="1" applyBorder="1"/>
    <xf numFmtId="169" fontId="30" fillId="0" borderId="12" xfId="0" applyNumberFormat="1" applyFont="1" applyFill="1" applyBorder="1"/>
    <xf numFmtId="164" fontId="30" fillId="0" borderId="12" xfId="1" applyNumberFormat="1" applyFont="1" applyBorder="1"/>
    <xf numFmtId="164" fontId="30" fillId="0" borderId="0" xfId="1" applyNumberFormat="1" applyFont="1" applyBorder="1"/>
    <xf numFmtId="0" fontId="30" fillId="0" borderId="0" xfId="0" applyFont="1" applyAlignment="1">
      <alignment vertical="top" wrapText="1"/>
    </xf>
    <xf numFmtId="171" fontId="30" fillId="0" borderId="0" xfId="0" applyNumberFormat="1" applyFont="1"/>
    <xf numFmtId="0" fontId="31" fillId="5" borderId="2" xfId="0" applyFont="1" applyFill="1" applyBorder="1" applyAlignment="1">
      <alignment horizontal="center"/>
    </xf>
    <xf numFmtId="0" fontId="31" fillId="5" borderId="6" xfId="0" applyFont="1" applyFill="1" applyBorder="1" applyAlignment="1">
      <alignment horizontal="center"/>
    </xf>
    <xf numFmtId="14" fontId="31" fillId="5" borderId="9" xfId="0" quotePrefix="1" applyNumberFormat="1" applyFont="1" applyFill="1" applyBorder="1" applyAlignment="1">
      <alignment horizontal="center"/>
    </xf>
    <xf numFmtId="14" fontId="31" fillId="5" borderId="11" xfId="0" quotePrefix="1" applyNumberFormat="1" applyFont="1" applyFill="1" applyBorder="1" applyAlignment="1">
      <alignment horizontal="center"/>
    </xf>
    <xf numFmtId="0" fontId="31" fillId="5" borderId="7" xfId="0" applyFont="1" applyFill="1" applyBorder="1" applyAlignment="1">
      <alignment horizontal="center"/>
    </xf>
    <xf numFmtId="0" fontId="31" fillId="5" borderId="9" xfId="0" applyFont="1" applyFill="1" applyBorder="1" applyAlignment="1">
      <alignment horizontal="center"/>
    </xf>
    <xf numFmtId="0" fontId="31" fillId="5" borderId="11" xfId="0" applyFont="1" applyFill="1" applyBorder="1" applyAlignment="1">
      <alignment horizontal="center"/>
    </xf>
    <xf numFmtId="0" fontId="30" fillId="0" borderId="1" xfId="0" applyFont="1" applyFill="1" applyBorder="1" applyAlignment="1">
      <alignment horizontal="center"/>
    </xf>
    <xf numFmtId="0" fontId="30" fillId="0" borderId="5" xfId="0" applyFont="1" applyFill="1" applyBorder="1" applyAlignment="1">
      <alignment horizontal="center"/>
    </xf>
    <xf numFmtId="14" fontId="30" fillId="0" borderId="8" xfId="0" quotePrefix="1" applyNumberFormat="1" applyFont="1" applyFill="1" applyBorder="1" applyAlignment="1">
      <alignment horizontal="center"/>
    </xf>
    <xf numFmtId="0" fontId="30" fillId="0" borderId="8" xfId="0" applyFont="1" applyFill="1" applyBorder="1" applyAlignment="1">
      <alignment horizontal="center"/>
    </xf>
    <xf numFmtId="0" fontId="17" fillId="0" borderId="0" xfId="6" applyNumberFormat="1" applyFont="1" applyAlignment="1">
      <alignment horizontal="center"/>
    </xf>
    <xf numFmtId="0" fontId="17" fillId="0" borderId="0" xfId="6" applyFont="1"/>
    <xf numFmtId="3" fontId="17" fillId="0" borderId="0" xfId="6" applyNumberFormat="1" applyFont="1"/>
    <xf numFmtId="41" fontId="17" fillId="0" borderId="0" xfId="5" applyNumberFormat="1" applyFont="1" applyFill="1"/>
    <xf numFmtId="3" fontId="17" fillId="0" borderId="0" xfId="6" applyNumberFormat="1" applyFont="1" applyFill="1"/>
    <xf numFmtId="3" fontId="67" fillId="0" borderId="0" xfId="6" applyNumberFormat="1" applyFont="1" applyFill="1"/>
    <xf numFmtId="3" fontId="76" fillId="0" borderId="0" xfId="6" applyNumberFormat="1" applyFont="1" applyFill="1"/>
    <xf numFmtId="3" fontId="18" fillId="0" borderId="0" xfId="6" applyNumberFormat="1" applyFont="1" applyFill="1"/>
    <xf numFmtId="3" fontId="77" fillId="0" borderId="0" xfId="6" applyNumberFormat="1" applyFont="1" applyFill="1"/>
    <xf numFmtId="3" fontId="18" fillId="0" borderId="0" xfId="6" applyNumberFormat="1" applyFont="1"/>
    <xf numFmtId="3" fontId="18" fillId="0" borderId="0" xfId="6" applyNumberFormat="1" applyFont="1" applyFill="1" applyBorder="1"/>
    <xf numFmtId="0" fontId="17" fillId="0" borderId="0" xfId="6" applyFont="1" applyFill="1" applyBorder="1"/>
    <xf numFmtId="0" fontId="10" fillId="0" borderId="0" xfId="0" applyFont="1"/>
    <xf numFmtId="3" fontId="78" fillId="0" borderId="0" xfId="22" applyNumberFormat="1" applyFont="1" applyFill="1"/>
    <xf numFmtId="3" fontId="18" fillId="0" borderId="0" xfId="6" applyNumberFormat="1" applyFont="1" applyFill="1" applyAlignment="1">
      <alignment horizontal="center"/>
    </xf>
    <xf numFmtId="3" fontId="18" fillId="0" borderId="0" xfId="6" applyNumberFormat="1" applyFont="1" applyFill="1" applyAlignment="1">
      <alignment vertical="center" wrapText="1"/>
    </xf>
    <xf numFmtId="41" fontId="18" fillId="0" borderId="0" xfId="20" applyNumberFormat="1" applyFont="1" applyFill="1" applyAlignment="1">
      <alignment wrapText="1"/>
    </xf>
    <xf numFmtId="41" fontId="18" fillId="0" borderId="0" xfId="20" applyNumberFormat="1" applyFont="1" applyFill="1" applyAlignment="1">
      <alignment horizontal="center"/>
    </xf>
    <xf numFmtId="41" fontId="18" fillId="0" borderId="0" xfId="20" applyNumberFormat="1" applyFont="1" applyFill="1" applyBorder="1" applyAlignment="1">
      <alignment wrapText="1"/>
    </xf>
    <xf numFmtId="41" fontId="18" fillId="0" borderId="0" xfId="20" applyNumberFormat="1" applyFont="1" applyFill="1" applyBorder="1" applyAlignment="1">
      <alignment horizontal="center"/>
    </xf>
    <xf numFmtId="41" fontId="77" fillId="0" borderId="0" xfId="22" applyNumberFormat="1" applyFont="1" applyFill="1" applyAlignment="1">
      <alignment horizontal="center"/>
    </xf>
    <xf numFmtId="3" fontId="18" fillId="0" borderId="0" xfId="6" applyNumberFormat="1" applyFont="1" applyAlignment="1">
      <alignment horizontal="center"/>
    </xf>
    <xf numFmtId="3" fontId="18" fillId="0" borderId="0" xfId="22" applyNumberFormat="1" applyFont="1" applyFill="1" applyAlignment="1">
      <alignment horizontal="center"/>
    </xf>
    <xf numFmtId="3" fontId="18" fillId="0" borderId="0" xfId="6" applyNumberFormat="1" applyFont="1" applyFill="1" applyAlignment="1">
      <alignment wrapText="1"/>
    </xf>
    <xf numFmtId="41" fontId="18" fillId="0" borderId="0" xfId="20" applyNumberFormat="1" applyFont="1" applyFill="1"/>
    <xf numFmtId="41" fontId="76" fillId="0" borderId="0" xfId="20" applyNumberFormat="1" applyFont="1" applyFill="1" applyBorder="1" applyAlignment="1">
      <alignment horizontal="center" vertical="center"/>
    </xf>
    <xf numFmtId="0" fontId="18" fillId="0" borderId="0" xfId="6" applyNumberFormat="1" applyFont="1" applyFill="1" applyAlignment="1">
      <alignment wrapText="1"/>
    </xf>
    <xf numFmtId="41" fontId="18" fillId="0" borderId="0" xfId="22" applyNumberFormat="1" applyFont="1" applyFill="1" applyBorder="1" applyAlignment="1">
      <alignment horizontal="center"/>
    </xf>
    <xf numFmtId="41" fontId="18" fillId="0" borderId="0" xfId="20" applyNumberFormat="1" applyFont="1" applyFill="1" applyBorder="1" applyAlignment="1">
      <alignment horizontal="center" wrapText="1"/>
    </xf>
    <xf numFmtId="3" fontId="18" fillId="0" borderId="0" xfId="6" applyNumberFormat="1" applyFont="1" applyFill="1" applyAlignment="1">
      <alignment horizontal="center" vertical="center" wrapText="1"/>
    </xf>
    <xf numFmtId="41" fontId="18" fillId="0" borderId="0" xfId="20" quotePrefix="1" applyNumberFormat="1" applyFont="1" applyFill="1" applyAlignment="1">
      <alignment horizontal="center"/>
    </xf>
    <xf numFmtId="3" fontId="78" fillId="0" borderId="0" xfId="6" applyNumberFormat="1" applyFont="1" applyAlignment="1">
      <alignment horizontal="center"/>
    </xf>
    <xf numFmtId="41" fontId="76" fillId="0" borderId="0" xfId="22" applyNumberFormat="1" applyFont="1" applyFill="1" applyAlignment="1">
      <alignment horizontal="center"/>
    </xf>
    <xf numFmtId="41" fontId="76" fillId="0" borderId="0" xfId="20" applyNumberFormat="1" applyFont="1" applyFill="1" applyAlignment="1">
      <alignment horizontal="center"/>
    </xf>
    <xf numFmtId="41" fontId="18" fillId="0" borderId="0" xfId="22" applyNumberFormat="1" applyFont="1" applyFill="1" applyAlignment="1">
      <alignment horizontal="center"/>
    </xf>
    <xf numFmtId="0" fontId="18" fillId="0" borderId="0" xfId="6" applyNumberFormat="1" applyFont="1" applyFill="1" applyAlignment="1">
      <alignment horizontal="center" wrapText="1"/>
    </xf>
    <xf numFmtId="0" fontId="18" fillId="0" borderId="0" xfId="6" applyNumberFormat="1" applyFont="1" applyFill="1" applyAlignment="1">
      <alignment horizontal="center"/>
    </xf>
    <xf numFmtId="0" fontId="77" fillId="0" borderId="0" xfId="6" applyNumberFormat="1" applyFont="1" applyFill="1" applyAlignment="1">
      <alignment horizontal="center"/>
    </xf>
    <xf numFmtId="41" fontId="18" fillId="7" borderId="1" xfId="20" applyNumberFormat="1" applyFont="1" applyFill="1" applyBorder="1" applyAlignment="1">
      <alignment horizontal="center"/>
    </xf>
    <xf numFmtId="0" fontId="17" fillId="0" borderId="0" xfId="6" applyFont="1" applyFill="1" applyBorder="1" applyAlignment="1">
      <alignment horizontal="center"/>
    </xf>
    <xf numFmtId="0" fontId="17" fillId="0" borderId="0" xfId="6" applyNumberFormat="1" applyFont="1" applyFill="1" applyAlignment="1">
      <alignment horizontal="center"/>
    </xf>
    <xf numFmtId="0" fontId="17" fillId="0" borderId="0" xfId="6" applyFont="1" applyFill="1" applyAlignment="1">
      <alignment horizontal="center"/>
    </xf>
    <xf numFmtId="3" fontId="17" fillId="0" borderId="0" xfId="6" applyNumberFormat="1" applyFont="1" applyFill="1" applyAlignment="1">
      <alignment horizontal="center"/>
    </xf>
    <xf numFmtId="41" fontId="18" fillId="5" borderId="0" xfId="20" applyNumberFormat="1" applyFont="1" applyFill="1" applyAlignment="1">
      <alignment horizontal="center"/>
    </xf>
    <xf numFmtId="3" fontId="17" fillId="0" borderId="0" xfId="6" applyNumberFormat="1" applyFont="1" applyFill="1" applyBorder="1" applyAlignment="1">
      <alignment horizontal="center"/>
    </xf>
    <xf numFmtId="41" fontId="18" fillId="7" borderId="8" xfId="20" applyNumberFormat="1" applyFont="1" applyFill="1" applyBorder="1" applyAlignment="1">
      <alignment horizontal="center"/>
    </xf>
    <xf numFmtId="0" fontId="18" fillId="0" borderId="1" xfId="6" applyNumberFormat="1" applyFont="1" applyFill="1" applyBorder="1" applyAlignment="1">
      <alignment horizontal="center"/>
    </xf>
    <xf numFmtId="0" fontId="18" fillId="0" borderId="2" xfId="6" applyFont="1" applyFill="1" applyBorder="1" applyAlignment="1">
      <alignment horizontal="center"/>
    </xf>
    <xf numFmtId="0" fontId="18" fillId="0" borderId="3" xfId="6" applyFont="1" applyFill="1" applyBorder="1" applyAlignment="1">
      <alignment horizontal="center"/>
    </xf>
    <xf numFmtId="3" fontId="18" fillId="0" borderId="1" xfId="6" applyNumberFormat="1" applyFont="1" applyFill="1" applyBorder="1" applyAlignment="1">
      <alignment horizontal="center"/>
    </xf>
    <xf numFmtId="41" fontId="18" fillId="0" borderId="1" xfId="22" applyNumberFormat="1" applyFont="1" applyFill="1" applyBorder="1" applyAlignment="1">
      <alignment horizontal="center"/>
    </xf>
    <xf numFmtId="41" fontId="76" fillId="0" borderId="1" xfId="22" applyNumberFormat="1" applyFont="1" applyFill="1" applyBorder="1" applyAlignment="1">
      <alignment horizontal="center"/>
    </xf>
    <xf numFmtId="3" fontId="76" fillId="0" borderId="1" xfId="6" applyNumberFormat="1" applyFont="1" applyFill="1" applyBorder="1" applyAlignment="1">
      <alignment horizontal="center"/>
    </xf>
    <xf numFmtId="41" fontId="18" fillId="0" borderId="1" xfId="20" applyNumberFormat="1" applyFont="1" applyFill="1" applyBorder="1" applyAlignment="1">
      <alignment horizontal="center"/>
    </xf>
    <xf numFmtId="41" fontId="18" fillId="5" borderId="1" xfId="20" applyNumberFormat="1" applyFont="1" applyFill="1" applyBorder="1" applyAlignment="1">
      <alignment horizontal="center"/>
    </xf>
    <xf numFmtId="3" fontId="18" fillId="0" borderId="4" xfId="6" applyNumberFormat="1" applyFont="1" applyFill="1" applyBorder="1" applyAlignment="1">
      <alignment horizontal="center"/>
    </xf>
    <xf numFmtId="3" fontId="18" fillId="0" borderId="1" xfId="20" applyNumberFormat="1" applyFont="1" applyBorder="1" applyAlignment="1">
      <alignment horizontal="center"/>
    </xf>
    <xf numFmtId="41" fontId="18" fillId="0" borderId="1" xfId="20" applyNumberFormat="1" applyFont="1" applyBorder="1" applyAlignment="1">
      <alignment horizontal="center"/>
    </xf>
    <xf numFmtId="3" fontId="18" fillId="0" borderId="1" xfId="22" applyNumberFormat="1" applyFont="1" applyBorder="1" applyAlignment="1">
      <alignment horizontal="center"/>
    </xf>
    <xf numFmtId="49" fontId="18" fillId="5" borderId="2" xfId="20" quotePrefix="1" applyNumberFormat="1" applyFont="1" applyFill="1" applyBorder="1" applyAlignment="1">
      <alignment horizontal="center"/>
    </xf>
    <xf numFmtId="41" fontId="18" fillId="0" borderId="0" xfId="4" applyNumberFormat="1" applyFont="1" applyFill="1" applyBorder="1" applyAlignment="1">
      <alignment horizontal="center"/>
    </xf>
    <xf numFmtId="49" fontId="18" fillId="0" borderId="1" xfId="22" applyNumberFormat="1" applyFont="1" applyBorder="1" applyAlignment="1">
      <alignment horizontal="center"/>
    </xf>
    <xf numFmtId="49" fontId="18" fillId="5" borderId="1" xfId="20" quotePrefix="1" applyNumberFormat="1" applyFont="1" applyFill="1" applyBorder="1" applyAlignment="1">
      <alignment horizontal="center"/>
    </xf>
    <xf numFmtId="0" fontId="18" fillId="0" borderId="0" xfId="6" applyFont="1" applyFill="1" applyBorder="1" applyAlignment="1">
      <alignment horizontal="center"/>
    </xf>
    <xf numFmtId="0" fontId="18" fillId="0" borderId="0" xfId="6" applyFont="1" applyFill="1" applyAlignment="1">
      <alignment horizontal="center"/>
    </xf>
    <xf numFmtId="0" fontId="18" fillId="0" borderId="5" xfId="6" applyNumberFormat="1" applyFont="1" applyFill="1" applyBorder="1" applyAlignment="1">
      <alignment horizontal="center"/>
    </xf>
    <xf numFmtId="0" fontId="18" fillId="0" borderId="6" xfId="6" applyFont="1" applyFill="1" applyBorder="1" applyAlignment="1">
      <alignment horizontal="center"/>
    </xf>
    <xf numFmtId="3" fontId="18" fillId="0" borderId="5" xfId="6" applyNumberFormat="1" applyFont="1" applyFill="1" applyBorder="1" applyAlignment="1">
      <alignment horizontal="center"/>
    </xf>
    <xf numFmtId="41" fontId="18" fillId="0" borderId="5" xfId="22" applyNumberFormat="1" applyFont="1" applyFill="1" applyBorder="1" applyAlignment="1">
      <alignment horizontal="center"/>
    </xf>
    <xf numFmtId="41" fontId="76" fillId="0" borderId="5" xfId="22" applyNumberFormat="1" applyFont="1" applyFill="1" applyBorder="1" applyAlignment="1">
      <alignment horizontal="center"/>
    </xf>
    <xf numFmtId="3" fontId="76" fillId="0" borderId="5" xfId="5" applyNumberFormat="1" applyFont="1" applyFill="1" applyBorder="1" applyAlignment="1">
      <alignment horizontal="center"/>
    </xf>
    <xf numFmtId="41" fontId="18" fillId="0" borderId="5" xfId="20" quotePrefix="1" applyNumberFormat="1" applyFont="1" applyFill="1" applyBorder="1" applyAlignment="1">
      <alignment horizontal="center"/>
    </xf>
    <xf numFmtId="41" fontId="18" fillId="5" borderId="5" xfId="20" applyNumberFormat="1" applyFont="1" applyFill="1" applyBorder="1" applyAlignment="1">
      <alignment horizontal="center"/>
    </xf>
    <xf numFmtId="3" fontId="18" fillId="0" borderId="7" xfId="6" applyNumberFormat="1" applyFont="1" applyFill="1" applyBorder="1" applyAlignment="1">
      <alignment horizontal="center"/>
    </xf>
    <xf numFmtId="41" fontId="18" fillId="0" borderId="5" xfId="20" applyNumberFormat="1" applyFont="1" applyFill="1" applyBorder="1" applyAlignment="1">
      <alignment horizontal="center"/>
    </xf>
    <xf numFmtId="3" fontId="18" fillId="0" borderId="5" xfId="5" applyNumberFormat="1" applyFont="1" applyFill="1" applyBorder="1" applyAlignment="1">
      <alignment horizontal="center"/>
    </xf>
    <xf numFmtId="3" fontId="18" fillId="0" borderId="5" xfId="20" applyNumberFormat="1" applyFont="1" applyBorder="1" applyAlignment="1">
      <alignment horizontal="center"/>
    </xf>
    <xf numFmtId="3" fontId="18" fillId="0" borderId="5" xfId="22" applyNumberFormat="1" applyFont="1" applyBorder="1" applyAlignment="1">
      <alignment horizontal="center"/>
    </xf>
    <xf numFmtId="41" fontId="18" fillId="0" borderId="5" xfId="20" applyNumberFormat="1" applyFont="1" applyBorder="1" applyAlignment="1">
      <alignment horizontal="center"/>
    </xf>
    <xf numFmtId="41" fontId="18" fillId="5" borderId="6" xfId="20" applyNumberFormat="1" applyFont="1" applyFill="1" applyBorder="1" applyAlignment="1">
      <alignment horizontal="center"/>
    </xf>
    <xf numFmtId="41" fontId="18" fillId="7" borderId="5" xfId="20" applyNumberFormat="1" applyFont="1" applyFill="1" applyBorder="1" applyAlignment="1">
      <alignment horizontal="center"/>
    </xf>
    <xf numFmtId="0" fontId="18" fillId="0" borderId="8" xfId="6" applyNumberFormat="1" applyFont="1" applyFill="1" applyBorder="1" applyAlignment="1">
      <alignment horizontal="center"/>
    </xf>
    <xf numFmtId="0" fontId="18" fillId="0" borderId="9" xfId="6" applyFont="1" applyFill="1" applyBorder="1" applyAlignment="1">
      <alignment horizontal="center"/>
    </xf>
    <xf numFmtId="0" fontId="18" fillId="0" borderId="10" xfId="6" applyFont="1" applyFill="1" applyBorder="1" applyAlignment="1">
      <alignment horizontal="center"/>
    </xf>
    <xf numFmtId="0" fontId="18" fillId="0" borderId="11" xfId="6" applyFont="1" applyFill="1" applyBorder="1" applyAlignment="1">
      <alignment horizontal="center"/>
    </xf>
    <xf numFmtId="3" fontId="18" fillId="0" borderId="8" xfId="6" applyNumberFormat="1" applyFont="1" applyFill="1" applyBorder="1" applyAlignment="1">
      <alignment horizontal="center"/>
    </xf>
    <xf numFmtId="41" fontId="18" fillId="0" borderId="8" xfId="22" applyNumberFormat="1" applyFont="1" applyFill="1" applyBorder="1" applyAlignment="1">
      <alignment horizontal="center"/>
    </xf>
    <xf numFmtId="41" fontId="76" fillId="0" borderId="8" xfId="22" applyNumberFormat="1" applyFont="1" applyFill="1" applyBorder="1" applyAlignment="1">
      <alignment horizontal="center"/>
    </xf>
    <xf numFmtId="3" fontId="76" fillId="0" borderId="8" xfId="5" applyNumberFormat="1" applyFont="1" applyFill="1" applyBorder="1" applyAlignment="1">
      <alignment horizontal="center"/>
    </xf>
    <xf numFmtId="41" fontId="18" fillId="0" borderId="8" xfId="20" applyNumberFormat="1" applyFont="1" applyFill="1" applyBorder="1" applyAlignment="1">
      <alignment horizontal="center"/>
    </xf>
    <xf numFmtId="3" fontId="18" fillId="5" borderId="8" xfId="6" quotePrefix="1" applyNumberFormat="1" applyFont="1" applyFill="1" applyBorder="1" applyAlignment="1">
      <alignment horizontal="center"/>
    </xf>
    <xf numFmtId="3" fontId="18" fillId="0" borderId="11" xfId="6" applyNumberFormat="1" applyFont="1" applyFill="1" applyBorder="1" applyAlignment="1">
      <alignment horizontal="center"/>
    </xf>
    <xf numFmtId="41" fontId="18" fillId="0" borderId="8" xfId="20" applyNumberFormat="1" applyFont="1" applyBorder="1" applyAlignment="1">
      <alignment horizontal="center"/>
    </xf>
    <xf numFmtId="3" fontId="18" fillId="0" borderId="8" xfId="20" applyNumberFormat="1" applyFont="1" applyBorder="1" applyAlignment="1">
      <alignment horizontal="center"/>
    </xf>
    <xf numFmtId="3" fontId="18" fillId="0" borderId="8" xfId="5" applyNumberFormat="1" applyFont="1" applyFill="1" applyBorder="1" applyAlignment="1">
      <alignment horizontal="center"/>
    </xf>
    <xf numFmtId="3" fontId="18" fillId="0" borderId="8" xfId="22" applyNumberFormat="1" applyFont="1" applyBorder="1" applyAlignment="1">
      <alignment horizontal="center"/>
    </xf>
    <xf numFmtId="41" fontId="18" fillId="5" borderId="9" xfId="20" applyNumberFormat="1" applyFont="1" applyFill="1" applyBorder="1" applyAlignment="1">
      <alignment horizontal="center"/>
    </xf>
    <xf numFmtId="3" fontId="18" fillId="0" borderId="0" xfId="6" applyNumberFormat="1" applyFont="1" applyFill="1" applyBorder="1" applyAlignment="1">
      <alignment horizontal="center"/>
    </xf>
    <xf numFmtId="41" fontId="18" fillId="5" borderId="8" xfId="20" applyNumberFormat="1" applyFont="1" applyFill="1" applyBorder="1" applyAlignment="1">
      <alignment horizontal="center"/>
    </xf>
    <xf numFmtId="4" fontId="18" fillId="0" borderId="0" xfId="6" applyNumberFormat="1" applyFont="1" applyFill="1" applyAlignment="1">
      <alignment horizontal="center"/>
    </xf>
    <xf numFmtId="4" fontId="18" fillId="0" borderId="0" xfId="6" applyNumberFormat="1" applyFont="1" applyFill="1" applyBorder="1" applyAlignment="1">
      <alignment horizontal="center"/>
    </xf>
    <xf numFmtId="4" fontId="76" fillId="0" borderId="0" xfId="6" applyNumberFormat="1" applyFont="1" applyFill="1" applyBorder="1" applyAlignment="1">
      <alignment horizontal="center"/>
    </xf>
    <xf numFmtId="3" fontId="18" fillId="5" borderId="0" xfId="6" applyNumberFormat="1" applyFont="1" applyFill="1" applyAlignment="1">
      <alignment horizontal="center"/>
    </xf>
    <xf numFmtId="4" fontId="77" fillId="0" borderId="0" xfId="6" applyNumberFormat="1" applyFont="1" applyFill="1" applyBorder="1" applyAlignment="1">
      <alignment horizontal="center"/>
    </xf>
    <xf numFmtId="2" fontId="18" fillId="0" borderId="0" xfId="10" applyNumberFormat="1" applyFont="1" applyFill="1" applyAlignment="1" applyProtection="1">
      <alignment horizontal="center"/>
    </xf>
    <xf numFmtId="2" fontId="18" fillId="0" borderId="3" xfId="10" applyNumberFormat="1" applyFont="1" applyFill="1" applyBorder="1" applyAlignment="1" applyProtection="1">
      <alignment horizontal="center"/>
    </xf>
    <xf numFmtId="2" fontId="18" fillId="0" borderId="0" xfId="10" applyNumberFormat="1" applyFont="1" applyFill="1" applyBorder="1" applyAlignment="1" applyProtection="1">
      <alignment horizontal="center"/>
    </xf>
    <xf numFmtId="3" fontId="18" fillId="5" borderId="6" xfId="6" applyNumberFormat="1" applyFont="1" applyFill="1" applyBorder="1" applyAlignment="1">
      <alignment horizontal="center"/>
    </xf>
    <xf numFmtId="2" fontId="18" fillId="5" borderId="5" xfId="20" applyNumberFormat="1" applyFont="1" applyFill="1" applyBorder="1" applyAlignment="1">
      <alignment horizontal="center"/>
    </xf>
    <xf numFmtId="2" fontId="18" fillId="7" borderId="0" xfId="20" applyNumberFormat="1" applyFont="1" applyFill="1" applyAlignment="1">
      <alignment horizontal="center"/>
    </xf>
    <xf numFmtId="3" fontId="76" fillId="0" borderId="0" xfId="6" applyNumberFormat="1" applyFont="1" applyFill="1" applyAlignment="1">
      <alignment horizontal="center"/>
    </xf>
    <xf numFmtId="3" fontId="77" fillId="0" borderId="0" xfId="6" applyNumberFormat="1" applyFont="1" applyFill="1" applyAlignment="1">
      <alignment horizontal="center"/>
    </xf>
    <xf numFmtId="2" fontId="18" fillId="5" borderId="6" xfId="20" applyNumberFormat="1" applyFont="1" applyFill="1" applyBorder="1" applyAlignment="1">
      <alignment horizontal="center"/>
    </xf>
    <xf numFmtId="0" fontId="17" fillId="0" borderId="0" xfId="6" applyFont="1" applyFill="1"/>
    <xf numFmtId="3" fontId="18" fillId="5" borderId="0" xfId="6" applyNumberFormat="1" applyFont="1" applyFill="1"/>
    <xf numFmtId="3" fontId="79" fillId="0" borderId="0" xfId="6" applyNumberFormat="1" applyFont="1" applyFill="1"/>
    <xf numFmtId="3" fontId="17" fillId="0" borderId="0" xfId="6" applyNumberFormat="1" applyFont="1" applyFill="1" applyBorder="1"/>
    <xf numFmtId="3" fontId="18" fillId="5" borderId="6" xfId="6" applyNumberFormat="1" applyFont="1" applyFill="1" applyBorder="1"/>
    <xf numFmtId="3" fontId="18" fillId="6" borderId="0" xfId="6" applyNumberFormat="1" applyFont="1" applyFill="1"/>
    <xf numFmtId="5" fontId="17" fillId="0" borderId="0" xfId="6" applyNumberFormat="1" applyFont="1"/>
    <xf numFmtId="42" fontId="17" fillId="0" borderId="0" xfId="6" applyNumberFormat="1" applyFont="1"/>
    <xf numFmtId="42" fontId="17" fillId="0" borderId="0" xfId="4" applyNumberFormat="1" applyFont="1" applyFill="1"/>
    <xf numFmtId="41" fontId="17" fillId="0" borderId="0" xfId="4" applyNumberFormat="1" applyFont="1" applyFill="1"/>
    <xf numFmtId="42" fontId="67" fillId="0" borderId="0" xfId="4" applyNumberFormat="1" applyFont="1" applyFill="1"/>
    <xf numFmtId="42" fontId="18" fillId="5" borderId="0" xfId="6" applyNumberFormat="1" applyFont="1" applyFill="1"/>
    <xf numFmtId="42" fontId="79" fillId="0" borderId="0" xfId="4" applyNumberFormat="1" applyFont="1" applyFill="1"/>
    <xf numFmtId="42" fontId="17" fillId="0" borderId="0" xfId="4" applyNumberFormat="1" applyFont="1" applyFill="1" applyBorder="1"/>
    <xf numFmtId="42" fontId="18" fillId="5" borderId="6" xfId="6" applyNumberFormat="1" applyFont="1" applyFill="1" applyBorder="1"/>
    <xf numFmtId="42" fontId="18" fillId="0" borderId="0" xfId="6" applyNumberFormat="1" applyFont="1" applyFill="1" applyBorder="1"/>
    <xf numFmtId="42" fontId="18" fillId="6" borderId="0" xfId="4" applyNumberFormat="1" applyFont="1" applyFill="1"/>
    <xf numFmtId="5" fontId="17" fillId="0" borderId="0" xfId="6" applyNumberFormat="1" applyFont="1" applyFill="1" applyBorder="1"/>
    <xf numFmtId="37" fontId="17" fillId="0" borderId="0" xfId="6" applyNumberFormat="1" applyFont="1"/>
    <xf numFmtId="41" fontId="17" fillId="0" borderId="0" xfId="6" applyNumberFormat="1" applyFont="1"/>
    <xf numFmtId="41" fontId="67" fillId="0" borderId="0" xfId="4" applyNumberFormat="1" applyFont="1" applyFill="1"/>
    <xf numFmtId="41" fontId="18" fillId="5" borderId="0" xfId="6" applyNumberFormat="1" applyFont="1" applyFill="1"/>
    <xf numFmtId="41" fontId="79" fillId="0" borderId="0" xfId="4" applyNumberFormat="1" applyFont="1" applyFill="1"/>
    <xf numFmtId="41" fontId="17" fillId="0" borderId="0" xfId="4" applyNumberFormat="1" applyFont="1" applyFill="1" applyBorder="1"/>
    <xf numFmtId="41" fontId="18" fillId="5" borderId="6" xfId="6" applyNumberFormat="1" applyFont="1" applyFill="1" applyBorder="1"/>
    <xf numFmtId="41" fontId="18" fillId="0" borderId="0" xfId="6" applyNumberFormat="1" applyFont="1" applyFill="1" applyBorder="1"/>
    <xf numFmtId="171" fontId="18" fillId="6" borderId="0" xfId="1" applyNumberFormat="1" applyFont="1" applyFill="1"/>
    <xf numFmtId="41" fontId="17" fillId="0" borderId="10" xfId="6" applyNumberFormat="1" applyFont="1" applyBorder="1"/>
    <xf numFmtId="41" fontId="17" fillId="0" borderId="10" xfId="4" applyNumberFormat="1" applyFont="1" applyFill="1" applyBorder="1"/>
    <xf numFmtId="41" fontId="67" fillId="0" borderId="10" xfId="4" applyNumberFormat="1" applyFont="1" applyFill="1" applyBorder="1"/>
    <xf numFmtId="41" fontId="18" fillId="5" borderId="10" xfId="6" applyNumberFormat="1" applyFont="1" applyFill="1" applyBorder="1"/>
    <xf numFmtId="41" fontId="79" fillId="0" borderId="10" xfId="4" applyNumberFormat="1" applyFont="1" applyFill="1" applyBorder="1"/>
    <xf numFmtId="41" fontId="18" fillId="5" borderId="9" xfId="6" applyNumberFormat="1" applyFont="1" applyFill="1" applyBorder="1"/>
    <xf numFmtId="171" fontId="18" fillId="6" borderId="10" xfId="1" applyNumberFormat="1" applyFont="1" applyFill="1" applyBorder="1"/>
    <xf numFmtId="171" fontId="17" fillId="0" borderId="10" xfId="1" applyNumberFormat="1" applyFont="1" applyFill="1" applyBorder="1"/>
    <xf numFmtId="41" fontId="17" fillId="0" borderId="0" xfId="6" applyNumberFormat="1" applyFont="1" applyFill="1"/>
    <xf numFmtId="41" fontId="67" fillId="0" borderId="0" xfId="6" applyNumberFormat="1" applyFont="1" applyFill="1"/>
    <xf numFmtId="41" fontId="79" fillId="0" borderId="0" xfId="6" applyNumberFormat="1" applyFont="1" applyFill="1"/>
    <xf numFmtId="41" fontId="17" fillId="0" borderId="0" xfId="6" applyNumberFormat="1" applyFont="1" applyFill="1" applyBorder="1"/>
    <xf numFmtId="41" fontId="18" fillId="6" borderId="0" xfId="6" applyNumberFormat="1" applyFont="1" applyFill="1"/>
    <xf numFmtId="41" fontId="18" fillId="6" borderId="0" xfId="4" applyNumberFormat="1" applyFont="1" applyFill="1"/>
    <xf numFmtId="37" fontId="17" fillId="0" borderId="0" xfId="6" applyNumberFormat="1" applyFont="1" applyFill="1"/>
    <xf numFmtId="41" fontId="17" fillId="0" borderId="10" xfId="6" applyNumberFormat="1" applyFont="1" applyFill="1" applyBorder="1"/>
    <xf numFmtId="41" fontId="67" fillId="0" borderId="10" xfId="6" applyNumberFormat="1" applyFont="1" applyFill="1" applyBorder="1"/>
    <xf numFmtId="41" fontId="79" fillId="0" borderId="10" xfId="6" applyNumberFormat="1" applyFont="1" applyFill="1" applyBorder="1"/>
    <xf numFmtId="41" fontId="18" fillId="6" borderId="10" xfId="6" applyNumberFormat="1" applyFont="1" applyFill="1" applyBorder="1"/>
    <xf numFmtId="42" fontId="17" fillId="0" borderId="12" xfId="6" applyNumberFormat="1" applyFont="1" applyBorder="1"/>
    <xf numFmtId="42" fontId="17" fillId="0" borderId="12" xfId="6" applyNumberFormat="1" applyFont="1" applyFill="1" applyBorder="1"/>
    <xf numFmtId="42" fontId="67" fillId="0" borderId="12" xfId="6" applyNumberFormat="1" applyFont="1" applyFill="1" applyBorder="1"/>
    <xf numFmtId="42" fontId="18" fillId="5" borderId="12" xfId="6" applyNumberFormat="1" applyFont="1" applyFill="1" applyBorder="1"/>
    <xf numFmtId="42" fontId="79" fillId="0" borderId="12" xfId="6" applyNumberFormat="1" applyFont="1" applyFill="1" applyBorder="1"/>
    <xf numFmtId="42" fontId="18" fillId="5" borderId="38" xfId="6" applyNumberFormat="1" applyFont="1" applyFill="1" applyBorder="1"/>
    <xf numFmtId="42" fontId="18" fillId="6" borderId="12" xfId="6" applyNumberFormat="1" applyFont="1" applyFill="1" applyBorder="1"/>
    <xf numFmtId="41" fontId="76" fillId="0" borderId="0" xfId="6" applyNumberFormat="1" applyFont="1" applyFill="1"/>
    <xf numFmtId="41" fontId="77" fillId="0" borderId="0" xfId="6" applyNumberFormat="1" applyFont="1" applyFill="1"/>
    <xf numFmtId="41" fontId="18" fillId="0" borderId="0" xfId="6" applyNumberFormat="1" applyFont="1" applyFill="1"/>
    <xf numFmtId="41" fontId="76" fillId="0" borderId="0" xfId="4" applyNumberFormat="1" applyFont="1" applyFill="1"/>
    <xf numFmtId="41" fontId="77" fillId="0" borderId="0" xfId="4" applyNumberFormat="1" applyFont="1" applyFill="1"/>
    <xf numFmtId="41" fontId="18" fillId="0" borderId="0" xfId="4" applyNumberFormat="1" applyFont="1" applyFill="1"/>
    <xf numFmtId="42" fontId="76" fillId="0" borderId="0" xfId="4" applyNumberFormat="1" applyFont="1" applyFill="1"/>
    <xf numFmtId="42" fontId="77" fillId="0" borderId="0" xfId="4" applyNumberFormat="1" applyFont="1" applyFill="1"/>
    <xf numFmtId="42" fontId="18" fillId="0" borderId="0" xfId="4" applyNumberFormat="1" applyFont="1" applyFill="1"/>
    <xf numFmtId="41" fontId="76" fillId="0" borderId="10" xfId="4" applyNumberFormat="1" applyFont="1" applyFill="1" applyBorder="1"/>
    <xf numFmtId="41" fontId="77" fillId="0" borderId="10" xfId="4" applyNumberFormat="1" applyFont="1" applyFill="1" applyBorder="1"/>
    <xf numFmtId="41" fontId="18" fillId="0" borderId="10" xfId="4" applyNumberFormat="1" applyFont="1" applyFill="1" applyBorder="1"/>
    <xf numFmtId="41" fontId="17" fillId="0" borderId="15" xfId="6" applyNumberFormat="1" applyFont="1" applyBorder="1"/>
    <xf numFmtId="41" fontId="17" fillId="0" borderId="15" xfId="6" applyNumberFormat="1" applyFont="1" applyFill="1" applyBorder="1"/>
    <xf numFmtId="41" fontId="67" fillId="0" borderId="15" xfId="6" applyNumberFormat="1" applyFont="1" applyFill="1" applyBorder="1"/>
    <xf numFmtId="41" fontId="18" fillId="5" borderId="15" xfId="6" applyNumberFormat="1" applyFont="1" applyFill="1" applyBorder="1"/>
    <xf numFmtId="41" fontId="79" fillId="0" borderId="15" xfId="6" applyNumberFormat="1" applyFont="1" applyFill="1" applyBorder="1"/>
    <xf numFmtId="41" fontId="18" fillId="5" borderId="13" xfId="6" applyNumberFormat="1" applyFont="1" applyFill="1" applyBorder="1"/>
    <xf numFmtId="41" fontId="18" fillId="6" borderId="15" xfId="6" applyNumberFormat="1" applyFont="1" applyFill="1" applyBorder="1"/>
    <xf numFmtId="41" fontId="17" fillId="0" borderId="0" xfId="6" applyNumberFormat="1" applyFont="1" applyBorder="1"/>
    <xf numFmtId="41" fontId="67" fillId="0" borderId="0" xfId="6" applyNumberFormat="1" applyFont="1" applyFill="1" applyBorder="1"/>
    <xf numFmtId="41" fontId="18" fillId="5" borderId="0" xfId="6" applyNumberFormat="1" applyFont="1" applyFill="1" applyBorder="1"/>
    <xf numFmtId="41" fontId="79" fillId="0" borderId="0" xfId="6" applyNumberFormat="1" applyFont="1" applyFill="1" applyBorder="1"/>
    <xf numFmtId="41" fontId="18" fillId="6" borderId="0" xfId="6" applyNumberFormat="1" applyFont="1" applyFill="1" applyBorder="1"/>
    <xf numFmtId="0" fontId="17" fillId="0" borderId="0" xfId="6" applyNumberFormat="1" applyFont="1" applyBorder="1" applyAlignment="1">
      <alignment horizontal="center"/>
    </xf>
    <xf numFmtId="37" fontId="17" fillId="0" borderId="0" xfId="6" applyNumberFormat="1" applyFont="1" applyBorder="1"/>
    <xf numFmtId="0" fontId="17" fillId="0" borderId="0" xfId="6" applyFont="1" applyBorder="1"/>
    <xf numFmtId="41" fontId="67" fillId="0" borderId="0" xfId="4" applyNumberFormat="1" applyFont="1" applyFill="1" applyBorder="1"/>
    <xf numFmtId="0" fontId="18" fillId="0" borderId="0" xfId="6" applyNumberFormat="1" applyFont="1" applyAlignment="1">
      <alignment horizontal="center"/>
    </xf>
    <xf numFmtId="5" fontId="18" fillId="0" borderId="0" xfId="6" applyNumberFormat="1" applyFont="1"/>
    <xf numFmtId="42" fontId="18" fillId="0" borderId="12" xfId="6" applyNumberFormat="1" applyFont="1" applyBorder="1"/>
    <xf numFmtId="42" fontId="18" fillId="0" borderId="12" xfId="6" applyNumberFormat="1" applyFont="1" applyFill="1" applyBorder="1"/>
    <xf numFmtId="42" fontId="76" fillId="0" borderId="12" xfId="6" applyNumberFormat="1" applyFont="1" applyFill="1" applyBorder="1"/>
    <xf numFmtId="42" fontId="77" fillId="0" borderId="12" xfId="6" applyNumberFormat="1" applyFont="1" applyFill="1" applyBorder="1"/>
    <xf numFmtId="5" fontId="18" fillId="0" borderId="0" xfId="6" applyNumberFormat="1" applyFont="1" applyFill="1" applyBorder="1"/>
    <xf numFmtId="10" fontId="17" fillId="0" borderId="0" xfId="7" applyNumberFormat="1" applyFont="1"/>
    <xf numFmtId="10" fontId="18" fillId="0" borderId="0" xfId="7" quotePrefix="1" applyNumberFormat="1" applyFont="1" applyFill="1" applyAlignment="1">
      <alignment horizontal="center"/>
    </xf>
    <xf numFmtId="10" fontId="18" fillId="5" borderId="0" xfId="7" applyNumberFormat="1" applyFont="1" applyFill="1"/>
    <xf numFmtId="10" fontId="18" fillId="0" borderId="0" xfId="7" applyNumberFormat="1" applyFont="1" applyFill="1" applyBorder="1"/>
    <xf numFmtId="3" fontId="18" fillId="5" borderId="13" xfId="6" applyNumberFormat="1" applyFont="1" applyFill="1" applyBorder="1"/>
    <xf numFmtId="41" fontId="18" fillId="6" borderId="13" xfId="7" applyNumberFormat="1" applyFont="1" applyFill="1" applyBorder="1"/>
    <xf numFmtId="41" fontId="17" fillId="0" borderId="13" xfId="7" applyNumberFormat="1" applyFont="1" applyFill="1" applyBorder="1"/>
    <xf numFmtId="41" fontId="72" fillId="0" borderId="0" xfId="6" applyNumberFormat="1" applyFont="1" applyFill="1" applyAlignment="1">
      <alignment vertical="top" wrapText="1"/>
    </xf>
    <xf numFmtId="41" fontId="18" fillId="0" borderId="0" xfId="6" applyNumberFormat="1" applyFont="1" applyFill="1" applyAlignment="1">
      <alignment vertical="top" wrapText="1"/>
    </xf>
    <xf numFmtId="177" fontId="17" fillId="0" borderId="0" xfId="6" applyNumberFormat="1" applyFont="1" applyFill="1"/>
    <xf numFmtId="0" fontId="17" fillId="0" borderId="0" xfId="6" applyNumberFormat="1" applyFont="1" applyFill="1" applyAlignment="1">
      <alignment horizontal="left"/>
    </xf>
    <xf numFmtId="0" fontId="17" fillId="0" borderId="0" xfId="5" applyFont="1" applyFill="1"/>
    <xf numFmtId="10" fontId="17" fillId="0" borderId="0" xfId="7" applyNumberFormat="1" applyFont="1" applyFill="1"/>
    <xf numFmtId="176" fontId="17" fillId="0" borderId="0" xfId="5" applyNumberFormat="1" applyFont="1" applyFill="1"/>
    <xf numFmtId="41" fontId="67" fillId="0" borderId="0" xfId="5" applyNumberFormat="1" applyFont="1" applyFill="1"/>
    <xf numFmtId="41" fontId="79" fillId="0" borderId="0" xfId="5" applyNumberFormat="1" applyFont="1" applyFill="1"/>
    <xf numFmtId="41" fontId="18" fillId="0" borderId="0" xfId="5" applyNumberFormat="1" applyFont="1" applyFill="1"/>
    <xf numFmtId="41" fontId="18" fillId="0" borderId="0" xfId="5" applyNumberFormat="1" applyFont="1" applyFill="1" applyBorder="1"/>
    <xf numFmtId="3" fontId="17" fillId="0" borderId="0" xfId="5" applyNumberFormat="1" applyFont="1" applyFill="1"/>
    <xf numFmtId="3" fontId="67" fillId="0" borderId="0" xfId="5" applyNumberFormat="1" applyFont="1" applyFill="1"/>
    <xf numFmtId="3" fontId="79" fillId="0" borderId="0" xfId="5" applyNumberFormat="1" applyFont="1" applyFill="1"/>
    <xf numFmtId="3" fontId="18" fillId="0" borderId="0" xfId="5" applyNumberFormat="1" applyFont="1" applyFill="1"/>
    <xf numFmtId="3" fontId="18" fillId="0" borderId="0" xfId="5" applyNumberFormat="1" applyFont="1" applyFill="1" applyBorder="1"/>
    <xf numFmtId="0" fontId="18" fillId="0" borderId="4" xfId="6" applyFont="1" applyFill="1" applyBorder="1"/>
    <xf numFmtId="0" fontId="18" fillId="0" borderId="7" xfId="6" applyFont="1" applyFill="1" applyBorder="1"/>
    <xf numFmtId="0" fontId="18" fillId="0" borderId="0" xfId="6" applyNumberFormat="1" applyFont="1" applyAlignment="1">
      <alignment horizontal="left"/>
    </xf>
    <xf numFmtId="0" fontId="18" fillId="0" borderId="0" xfId="6" applyFont="1"/>
    <xf numFmtId="0" fontId="18" fillId="0" borderId="0" xfId="6" applyFont="1" applyFill="1" applyAlignment="1">
      <alignment vertical="top" wrapText="1"/>
    </xf>
    <xf numFmtId="0" fontId="76" fillId="0" borderId="0" xfId="0" applyFont="1" applyFill="1"/>
    <xf numFmtId="0" fontId="18" fillId="0" borderId="0" xfId="0" applyFont="1" applyFill="1" applyAlignment="1">
      <alignment vertical="top"/>
    </xf>
    <xf numFmtId="0" fontId="77" fillId="0" borderId="0" xfId="0" applyFont="1" applyFill="1" applyAlignment="1">
      <alignment vertical="top"/>
    </xf>
    <xf numFmtId="0" fontId="18" fillId="0" borderId="0" xfId="6" applyFont="1" applyFill="1" applyBorder="1"/>
    <xf numFmtId="41" fontId="18" fillId="0" borderId="0" xfId="20" applyNumberFormat="1" applyFont="1" applyFill="1" applyBorder="1" applyAlignment="1">
      <alignment vertical="top" wrapText="1"/>
    </xf>
    <xf numFmtId="41" fontId="18" fillId="0" borderId="0" xfId="20" applyNumberFormat="1" applyFont="1" applyFill="1" applyAlignment="1">
      <alignment vertical="top" wrapText="1"/>
    </xf>
    <xf numFmtId="0" fontId="76" fillId="0" borderId="0" xfId="0" applyFont="1" applyFill="1" applyAlignment="1">
      <alignment horizontal="right"/>
    </xf>
    <xf numFmtId="41" fontId="18" fillId="0" borderId="0" xfId="5" applyNumberFormat="1" applyFont="1" applyFill="1" applyAlignment="1">
      <alignment horizontal="center"/>
    </xf>
    <xf numFmtId="0" fontId="77" fillId="0" borderId="0" xfId="0" applyFont="1" applyFill="1" applyAlignment="1"/>
    <xf numFmtId="41" fontId="18" fillId="0" borderId="0" xfId="5" applyNumberFormat="1" applyFont="1" applyFill="1" applyBorder="1" applyAlignment="1">
      <alignment horizontal="center"/>
    </xf>
    <xf numFmtId="0" fontId="18" fillId="0" borderId="0" xfId="6" applyFont="1" applyAlignment="1">
      <alignment horizontal="center"/>
    </xf>
    <xf numFmtId="3" fontId="17" fillId="0" borderId="0" xfId="0" applyNumberFormat="1" applyFont="1" applyFill="1" applyAlignment="1">
      <alignment horizontal="right" indent="1"/>
    </xf>
    <xf numFmtId="0" fontId="18" fillId="0" borderId="0" xfId="6" applyFont="1" applyFill="1" applyAlignment="1">
      <alignment horizontal="left"/>
    </xf>
    <xf numFmtId="41" fontId="18" fillId="7" borderId="1" xfId="20" quotePrefix="1" applyNumberFormat="1" applyFont="1" applyFill="1" applyBorder="1" applyAlignment="1">
      <alignment horizontal="center"/>
    </xf>
    <xf numFmtId="2" fontId="18" fillId="7" borderId="6" xfId="20" applyNumberFormat="1" applyFont="1" applyFill="1" applyBorder="1" applyAlignment="1">
      <alignment horizontal="center"/>
    </xf>
    <xf numFmtId="37" fontId="70" fillId="0" borderId="0" xfId="0" applyNumberFormat="1" applyFont="1"/>
    <xf numFmtId="37" fontId="0" fillId="0" borderId="0" xfId="0" applyNumberFormat="1"/>
    <xf numFmtId="0" fontId="0" fillId="0" borderId="0" xfId="0" applyAlignment="1">
      <alignment horizontal="center"/>
    </xf>
    <xf numFmtId="179" fontId="10"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4" fillId="0" borderId="0" xfId="0" applyFont="1" applyAlignment="1">
      <alignment horizontal="left"/>
    </xf>
    <xf numFmtId="0" fontId="10"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4" fillId="0" borderId="0" xfId="0" applyFont="1" applyAlignment="1">
      <alignment horizontal="center"/>
    </xf>
    <xf numFmtId="0" fontId="88" fillId="0" borderId="0" xfId="0" applyFont="1" applyAlignment="1">
      <alignment horizontal="center"/>
    </xf>
    <xf numFmtId="0" fontId="88" fillId="0" borderId="0" xfId="0" applyFont="1"/>
    <xf numFmtId="0" fontId="87" fillId="0" borderId="0" xfId="0" applyFont="1"/>
    <xf numFmtId="0" fontId="89" fillId="0" borderId="0" xfId="0" applyFont="1" applyAlignment="1">
      <alignment horizontal="center"/>
    </xf>
    <xf numFmtId="0" fontId="90" fillId="0" borderId="0" xfId="0" applyFont="1"/>
    <xf numFmtId="170" fontId="11" fillId="0" borderId="0" xfId="104" applyNumberFormat="1" applyFont="1" applyFill="1"/>
    <xf numFmtId="170" fontId="89" fillId="0" borderId="0" xfId="104" applyNumberFormat="1" applyFont="1" applyFill="1"/>
    <xf numFmtId="0" fontId="89" fillId="0" borderId="0" xfId="0" applyFont="1"/>
    <xf numFmtId="37" fontId="87" fillId="7" borderId="41" xfId="0" applyNumberFormat="1" applyFont="1" applyFill="1" applyBorder="1"/>
    <xf numFmtId="0" fontId="90" fillId="0" borderId="0" xfId="0" applyFont="1" applyAlignment="1">
      <alignment horizontal="left"/>
    </xf>
    <xf numFmtId="37" fontId="87" fillId="0" borderId="0" xfId="0" applyNumberFormat="1" applyFont="1"/>
    <xf numFmtId="0" fontId="91" fillId="0" borderId="0" xfId="0" applyFont="1"/>
    <xf numFmtId="170" fontId="0" fillId="0" borderId="0" xfId="104" applyNumberFormat="1" applyFont="1"/>
    <xf numFmtId="10" fontId="0" fillId="0" borderId="0" xfId="104" applyNumberFormat="1" applyFont="1" applyFill="1"/>
    <xf numFmtId="0" fontId="86" fillId="0" borderId="0" xfId="0" applyFont="1" applyAlignment="1">
      <alignment horizontal="center"/>
    </xf>
    <xf numFmtId="37" fontId="0" fillId="5" borderId="12" xfId="0" applyNumberFormat="1" applyFill="1" applyBorder="1"/>
    <xf numFmtId="37" fontId="87"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6" fillId="0" borderId="0" xfId="0" applyFont="1" applyAlignment="1">
      <alignment horizontal="right"/>
    </xf>
    <xf numFmtId="3" fontId="86" fillId="0" borderId="0" xfId="0" applyNumberFormat="1" applyFont="1" applyAlignment="1">
      <alignment horizontal="right"/>
    </xf>
    <xf numFmtId="3" fontId="86" fillId="0" borderId="0" xfId="0" applyNumberFormat="1" applyFont="1" applyAlignment="1">
      <alignment horizontal="center"/>
    </xf>
    <xf numFmtId="37" fontId="11" fillId="0" borderId="3" xfId="0" applyNumberFormat="1" applyFont="1" applyBorder="1"/>
    <xf numFmtId="7" fontId="0" fillId="0" borderId="0" xfId="0" applyNumberFormat="1" applyAlignment="1">
      <alignment horizontal="left"/>
    </xf>
    <xf numFmtId="3" fontId="11" fillId="0" borderId="0" xfId="0" applyNumberFormat="1" applyFont="1" applyAlignment="1">
      <alignment horizontal="left"/>
    </xf>
    <xf numFmtId="171" fontId="89" fillId="0" borderId="0" xfId="0" applyNumberFormat="1" applyFont="1"/>
    <xf numFmtId="44" fontId="92" fillId="0" borderId="42" xfId="2" applyFont="1" applyFill="1" applyBorder="1" applyAlignment="1">
      <alignment horizontal="left" vertical="top"/>
    </xf>
    <xf numFmtId="44" fontId="92" fillId="0" borderId="43" xfId="2" applyFont="1" applyFill="1" applyBorder="1" applyAlignment="1">
      <alignment horizontal="left" vertical="top"/>
    </xf>
    <xf numFmtId="44" fontId="92" fillId="0" borderId="10" xfId="2" applyFont="1" applyFill="1" applyBorder="1" applyAlignment="1">
      <alignment horizontal="left" vertical="top"/>
    </xf>
    <xf numFmtId="0" fontId="92" fillId="0" borderId="44" xfId="0" applyFont="1" applyBorder="1" applyAlignment="1">
      <alignment horizontal="left" vertical="top"/>
    </xf>
    <xf numFmtId="171" fontId="11" fillId="0" borderId="0" xfId="0" applyNumberFormat="1" applyFont="1"/>
    <xf numFmtId="44" fontId="0" fillId="0" borderId="0" xfId="0" applyNumberFormat="1"/>
    <xf numFmtId="44" fontId="93" fillId="0" borderId="45" xfId="2" applyFont="1" applyFill="1" applyBorder="1" applyAlignment="1">
      <alignment horizontal="right" vertical="center"/>
    </xf>
    <xf numFmtId="43" fontId="93" fillId="0" borderId="46" xfId="0" applyNumberFormat="1" applyFont="1" applyBorder="1" applyAlignment="1">
      <alignment horizontal="center" vertical="center" wrapText="1"/>
    </xf>
    <xf numFmtId="44" fontId="93" fillId="0" borderId="46" xfId="2" applyFont="1" applyFill="1" applyBorder="1" applyAlignment="1">
      <alignment horizontal="right" vertical="center"/>
    </xf>
    <xf numFmtId="0" fontId="93" fillId="0" borderId="47" xfId="0" applyFont="1" applyBorder="1" applyAlignment="1">
      <alignment horizontal="left" vertical="center"/>
    </xf>
    <xf numFmtId="43" fontId="0" fillId="0" borderId="0" xfId="0" applyNumberFormat="1"/>
    <xf numFmtId="37" fontId="86" fillId="0" borderId="0" xfId="0" applyNumberFormat="1" applyFont="1" applyAlignment="1">
      <alignment horizontal="center"/>
    </xf>
    <xf numFmtId="37" fontId="87" fillId="0" borderId="10" xfId="0" applyNumberFormat="1" applyFont="1" applyBorder="1"/>
    <xf numFmtId="37" fontId="11" fillId="0" borderId="0" xfId="0" applyNumberFormat="1" applyFont="1"/>
    <xf numFmtId="17" fontId="94" fillId="0" borderId="0" xfId="0" applyNumberFormat="1" applyFont="1" applyAlignment="1">
      <alignment horizontal="left"/>
    </xf>
    <xf numFmtId="37" fontId="0" fillId="0" borderId="3" xfId="0" applyNumberFormat="1" applyBorder="1"/>
    <xf numFmtId="3" fontId="88" fillId="0" borderId="0" xfId="0" applyNumberFormat="1" applyFont="1" applyAlignment="1">
      <alignment horizontal="center"/>
    </xf>
    <xf numFmtId="0" fontId="0" fillId="0" borderId="10" xfId="0" applyBorder="1" applyAlignment="1">
      <alignment horizontal="center"/>
    </xf>
    <xf numFmtId="0" fontId="87" fillId="0" borderId="0" xfId="0" quotePrefix="1" applyFont="1"/>
    <xf numFmtId="1" fontId="88" fillId="0" borderId="0" xfId="0" applyNumberFormat="1" applyFont="1" applyAlignment="1">
      <alignment horizontal="center"/>
    </xf>
    <xf numFmtId="0" fontId="93" fillId="0" borderId="46" xfId="0" applyFont="1" applyBorder="1" applyAlignment="1">
      <alignment horizontal="center" vertical="center" wrapText="1"/>
    </xf>
    <xf numFmtId="3" fontId="0" fillId="0" borderId="0" xfId="0" applyNumberFormat="1" applyAlignment="1">
      <alignment horizontal="center"/>
    </xf>
    <xf numFmtId="0" fontId="93" fillId="0" borderId="0" xfId="0" applyFont="1" applyAlignment="1">
      <alignment horizontal="center" vertical="center" wrapText="1"/>
    </xf>
    <xf numFmtId="0" fontId="93" fillId="0" borderId="45" xfId="0" applyFont="1" applyBorder="1" applyAlignment="1">
      <alignment horizontal="center" vertical="center" wrapText="1"/>
    </xf>
    <xf numFmtId="0" fontId="93"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5"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3" fillId="0" borderId="48" xfId="0" applyFont="1" applyBorder="1" applyAlignment="1">
      <alignment horizontal="left" vertical="top"/>
    </xf>
    <xf numFmtId="0" fontId="92" fillId="0" borderId="49" xfId="0" applyFont="1" applyBorder="1" applyAlignment="1">
      <alignment horizontal="center" vertical="center" wrapText="1"/>
    </xf>
    <xf numFmtId="0" fontId="96" fillId="0" borderId="50" xfId="0" applyFont="1" applyBorder="1" applyAlignment="1">
      <alignment horizontal="center" vertical="center" wrapText="1"/>
    </xf>
    <xf numFmtId="17" fontId="0" fillId="0" borderId="0" xfId="0" applyNumberFormat="1" applyAlignment="1">
      <alignment horizontal="right"/>
    </xf>
    <xf numFmtId="0" fontId="11" fillId="0" borderId="0" xfId="0" applyFont="1" applyAlignment="1">
      <alignment horizontal="center"/>
    </xf>
    <xf numFmtId="0" fontId="12" fillId="0" borderId="0" xfId="20" applyFont="1"/>
    <xf numFmtId="171" fontId="89" fillId="0" borderId="0" xfId="30" applyNumberFormat="1" applyFont="1" applyFill="1"/>
    <xf numFmtId="182" fontId="0" fillId="0" borderId="10" xfId="104" applyNumberFormat="1" applyFont="1" applyFill="1" applyBorder="1"/>
    <xf numFmtId="171" fontId="11" fillId="0" borderId="10" xfId="30" applyNumberFormat="1" applyFont="1" applyFill="1" applyBorder="1"/>
    <xf numFmtId="182" fontId="0" fillId="0" borderId="0" xfId="104" applyNumberFormat="1" applyFont="1" applyFill="1"/>
    <xf numFmtId="171" fontId="11" fillId="0" borderId="0" xfId="30" applyNumberFormat="1" applyFont="1" applyFill="1"/>
    <xf numFmtId="0" fontId="97" fillId="0" borderId="0" xfId="0" applyFont="1" applyFill="1"/>
    <xf numFmtId="37" fontId="0" fillId="0" borderId="0" xfId="0" applyNumberFormat="1" applyFill="1"/>
    <xf numFmtId="37" fontId="89" fillId="0" borderId="0" xfId="0" applyNumberFormat="1" applyFont="1" applyFill="1"/>
    <xf numFmtId="37" fontId="0" fillId="0" borderId="10" xfId="0" applyNumberFormat="1" applyFill="1" applyBorder="1"/>
    <xf numFmtId="37" fontId="89"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6" fillId="0" borderId="0" xfId="30" applyNumberFormat="1" applyFont="1" applyAlignment="1">
      <alignment horizontal="center"/>
    </xf>
    <xf numFmtId="171" fontId="87" fillId="0" borderId="24" xfId="30" applyNumberFormat="1" applyFont="1" applyBorder="1"/>
    <xf numFmtId="171" fontId="0" fillId="0" borderId="10" xfId="30" applyNumberFormat="1" applyFont="1" applyBorder="1"/>
    <xf numFmtId="171" fontId="0" fillId="0" borderId="0" xfId="30" applyNumberFormat="1" applyFont="1" applyBorder="1"/>
    <xf numFmtId="0" fontId="87"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5" fillId="0" borderId="0" xfId="30" applyNumberFormat="1" applyFont="1"/>
    <xf numFmtId="171" fontId="11" fillId="0" borderId="0" xfId="30" applyNumberFormat="1" applyFont="1"/>
    <xf numFmtId="37" fontId="98" fillId="0" borderId="0" xfId="0" applyNumberFormat="1" applyFont="1"/>
    <xf numFmtId="49" fontId="0" fillId="0" borderId="0" xfId="0" applyNumberFormat="1"/>
    <xf numFmtId="0" fontId="0" fillId="0" borderId="0" xfId="0" applyAlignment="1">
      <alignment wrapText="1"/>
    </xf>
    <xf numFmtId="43" fontId="93" fillId="0" borderId="46" xfId="30" applyFont="1" applyFill="1" applyBorder="1" applyAlignment="1">
      <alignment horizontal="right" vertical="center" wrapText="1"/>
    </xf>
    <xf numFmtId="43" fontId="93" fillId="0" borderId="46" xfId="30" applyFont="1" applyFill="1" applyBorder="1" applyAlignment="1">
      <alignment horizontal="right" vertical="center"/>
    </xf>
    <xf numFmtId="43" fontId="0" fillId="0" borderId="0" xfId="30" applyFont="1" applyFill="1"/>
    <xf numFmtId="43" fontId="93" fillId="0" borderId="46" xfId="30" applyFont="1" applyFill="1" applyBorder="1" applyAlignment="1">
      <alignment horizontal="center" vertical="center" wrapText="1"/>
    </xf>
    <xf numFmtId="171" fontId="10" fillId="0" borderId="0" xfId="30" applyNumberFormat="1" applyFont="1" applyFill="1"/>
    <xf numFmtId="171" fontId="10" fillId="0" borderId="0" xfId="30" applyNumberFormat="1" applyFont="1"/>
    <xf numFmtId="171" fontId="10" fillId="0" borderId="10" xfId="30" applyNumberFormat="1" applyFont="1" applyFill="1" applyBorder="1"/>
    <xf numFmtId="171" fontId="83" fillId="0" borderId="0" xfId="30" applyNumberFormat="1" applyFont="1" applyFill="1"/>
    <xf numFmtId="183" fontId="10" fillId="0" borderId="0" xfId="104" applyNumberFormat="1" applyFont="1"/>
    <xf numFmtId="37" fontId="0" fillId="8" borderId="0" xfId="0" applyNumberFormat="1" applyFill="1"/>
    <xf numFmtId="171" fontId="17" fillId="0" borderId="0" xfId="0" applyNumberFormat="1" applyFont="1"/>
    <xf numFmtId="170" fontId="17" fillId="0" borderId="0" xfId="0" applyNumberFormat="1" applyFont="1"/>
    <xf numFmtId="170" fontId="17" fillId="0" borderId="0" xfId="104" applyNumberFormat="1" applyFont="1" applyFill="1"/>
    <xf numFmtId="171" fontId="17" fillId="0" borderId="0" xfId="30" applyNumberFormat="1" applyFont="1" applyFill="1"/>
    <xf numFmtId="171" fontId="17" fillId="0" borderId="51" xfId="30" applyNumberFormat="1" applyFont="1" applyFill="1" applyBorder="1"/>
    <xf numFmtId="171" fontId="99" fillId="0" borderId="0" xfId="30" applyNumberFormat="1" applyFont="1" applyFill="1"/>
    <xf numFmtId="171" fontId="100" fillId="0" borderId="0" xfId="30" applyNumberFormat="1" applyFont="1" applyFill="1"/>
    <xf numFmtId="171" fontId="17" fillId="0" borderId="3" xfId="30" applyNumberFormat="1" applyFont="1" applyFill="1" applyBorder="1"/>
    <xf numFmtId="174" fontId="17" fillId="0" borderId="0" xfId="0" applyNumberFormat="1" applyFont="1" applyAlignment="1">
      <alignment horizontal="center"/>
    </xf>
    <xf numFmtId="43" fontId="10" fillId="0" borderId="0" xfId="1"/>
    <xf numFmtId="0" fontId="0" fillId="5" borderId="0" xfId="0" applyFill="1"/>
    <xf numFmtId="0" fontId="10" fillId="0" borderId="0" xfId="17"/>
    <xf numFmtId="4" fontId="10" fillId="0" borderId="0" xfId="103" applyFont="1"/>
    <xf numFmtId="4" fontId="10" fillId="0" borderId="0" xfId="103" applyFont="1" applyBorder="1"/>
    <xf numFmtId="166" fontId="17" fillId="0" borderId="0" xfId="0" applyNumberFormat="1" applyFont="1"/>
    <xf numFmtId="7" fontId="30" fillId="0" borderId="0" xfId="0" applyNumberFormat="1" applyFont="1"/>
    <xf numFmtId="5" fontId="45" fillId="0" borderId="52" xfId="0" applyNumberFormat="1" applyFont="1" applyBorder="1"/>
    <xf numFmtId="5" fontId="32" fillId="0" borderId="53" xfId="0" applyNumberFormat="1" applyFont="1" applyBorder="1"/>
    <xf numFmtId="5" fontId="45" fillId="0" borderId="53" xfId="0" applyNumberFormat="1" applyFont="1" applyBorder="1"/>
    <xf numFmtId="5" fontId="45" fillId="0" borderId="54" xfId="0" applyNumberFormat="1" applyFont="1" applyBorder="1"/>
    <xf numFmtId="0" fontId="45" fillId="0" borderId="23" xfId="0" applyFont="1" applyBorder="1"/>
    <xf numFmtId="3" fontId="45" fillId="0" borderId="22" xfId="0" applyNumberFormat="1" applyFont="1" applyBorder="1"/>
    <xf numFmtId="3" fontId="45" fillId="0" borderId="0" xfId="0" applyNumberFormat="1" applyFont="1"/>
    <xf numFmtId="0" fontId="45" fillId="0" borderId="21" xfId="0" applyFont="1" applyBorder="1"/>
    <xf numFmtId="3" fontId="45" fillId="0" borderId="55" xfId="0" applyNumberFormat="1" applyFont="1" applyBorder="1"/>
    <xf numFmtId="3" fontId="45" fillId="0" borderId="3" xfId="0" applyNumberFormat="1" applyFont="1" applyBorder="1"/>
    <xf numFmtId="2" fontId="45" fillId="0" borderId="21" xfId="0" applyNumberFormat="1" applyFont="1" applyBorder="1" applyAlignment="1">
      <alignment horizontal="center"/>
    </xf>
    <xf numFmtId="37" fontId="17" fillId="0" borderId="22" xfId="221" applyNumberFormat="1" applyFont="1" applyBorder="1"/>
    <xf numFmtId="37" fontId="17" fillId="0" borderId="0" xfId="221" applyNumberFormat="1" applyFont="1"/>
    <xf numFmtId="2" fontId="45" fillId="0" borderId="21" xfId="0" applyNumberFormat="1" applyFont="1" applyBorder="1" applyAlignment="1">
      <alignment horizontal="left"/>
    </xf>
    <xf numFmtId="0" fontId="0" fillId="0" borderId="22" xfId="0" applyBorder="1"/>
    <xf numFmtId="0" fontId="45" fillId="0" borderId="56"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5" fillId="0" borderId="11" xfId="0" applyFont="1" applyBorder="1" applyAlignment="1">
      <alignment horizontal="center"/>
    </xf>
    <xf numFmtId="0" fontId="45" fillId="0" borderId="57" xfId="0" applyFont="1" applyBorder="1" applyAlignment="1">
      <alignment horizontal="center"/>
    </xf>
    <xf numFmtId="0" fontId="45" fillId="0" borderId="55" xfId="0" applyFont="1" applyBorder="1" applyAlignment="1">
      <alignment horizontal="center"/>
    </xf>
    <xf numFmtId="0" fontId="32" fillId="0" borderId="1" xfId="0" applyFont="1" applyBorder="1"/>
    <xf numFmtId="0" fontId="45" fillId="0" borderId="4" xfId="0" applyFont="1" applyBorder="1" applyAlignment="1">
      <alignment horizontal="center"/>
    </xf>
    <xf numFmtId="0" fontId="45" fillId="0" borderId="7" xfId="0" applyFont="1" applyBorder="1" applyAlignment="1">
      <alignment horizontal="center"/>
    </xf>
    <xf numFmtId="0" fontId="45" fillId="0" borderId="58" xfId="0" applyFont="1" applyBorder="1" applyAlignment="1">
      <alignment horizontal="center"/>
    </xf>
    <xf numFmtId="0" fontId="45" fillId="0" borderId="20" xfId="0" applyFont="1" applyBorder="1" applyAlignment="1">
      <alignment horizontal="centerContinuous"/>
    </xf>
    <xf numFmtId="0" fontId="32" fillId="0" borderId="59" xfId="0" applyFont="1" applyBorder="1" applyAlignment="1">
      <alignment horizontal="centerContinuous"/>
    </xf>
    <xf numFmtId="0" fontId="45" fillId="0" borderId="19" xfId="0" applyFont="1" applyBorder="1" applyAlignment="1">
      <alignment horizontal="centerContinuous"/>
    </xf>
    <xf numFmtId="0" fontId="45" fillId="0" borderId="60" xfId="0" applyFont="1" applyBorder="1" applyAlignment="1">
      <alignment horizontal="center"/>
    </xf>
    <xf numFmtId="0" fontId="45" fillId="0" borderId="61" xfId="0" applyFont="1" applyBorder="1"/>
    <xf numFmtId="0" fontId="18" fillId="0" borderId="0" xfId="0" applyFont="1"/>
    <xf numFmtId="37" fontId="18" fillId="0" borderId="3" xfId="222" applyNumberFormat="1" applyFont="1" applyBorder="1" applyAlignment="1"/>
    <xf numFmtId="37" fontId="18" fillId="0" borderId="0" xfId="221" applyNumberFormat="1" applyFont="1" applyAlignment="1">
      <alignment horizontal="left"/>
    </xf>
    <xf numFmtId="167" fontId="17" fillId="0" borderId="3" xfId="221" applyNumberFormat="1" applyFont="1" applyBorder="1"/>
    <xf numFmtId="37" fontId="17" fillId="0" borderId="3" xfId="221" applyNumberFormat="1" applyFont="1" applyBorder="1"/>
    <xf numFmtId="3" fontId="17" fillId="0" borderId="0" xfId="221" applyNumberFormat="1" applyFont="1"/>
    <xf numFmtId="3" fontId="18" fillId="0" borderId="0" xfId="221" applyNumberFormat="1" applyFont="1"/>
    <xf numFmtId="166" fontId="17" fillId="0" borderId="0" xfId="0" applyNumberFormat="1" applyFont="1" applyAlignment="1">
      <alignment horizontal="center"/>
    </xf>
    <xf numFmtId="10" fontId="17" fillId="0" borderId="0" xfId="221" applyNumberFormat="1" applyFont="1"/>
    <xf numFmtId="37" fontId="24" fillId="0" borderId="0" xfId="221" applyNumberFormat="1" applyFont="1"/>
    <xf numFmtId="37" fontId="52" fillId="0" borderId="0" xfId="221" applyNumberFormat="1" applyFont="1"/>
    <xf numFmtId="2" fontId="18" fillId="0" borderId="0" xfId="0" applyNumberFormat="1" applyFont="1" applyAlignment="1">
      <alignment horizontal="center"/>
    </xf>
    <xf numFmtId="10" fontId="17" fillId="0" borderId="0" xfId="0" applyNumberFormat="1" applyFont="1" applyAlignment="1">
      <alignment horizontal="center"/>
    </xf>
    <xf numFmtId="3" fontId="18" fillId="0" borderId="0" xfId="221" applyNumberFormat="1" applyFont="1" applyAlignment="1">
      <alignment horizontal="center"/>
    </xf>
    <xf numFmtId="39" fontId="18" fillId="0" borderId="0" xfId="221" applyNumberFormat="1" applyFont="1" applyAlignment="1">
      <alignment horizontal="center"/>
    </xf>
    <xf numFmtId="0" fontId="18" fillId="0" borderId="0" xfId="0" applyFont="1" applyAlignment="1">
      <alignment horizontal="centerContinuous"/>
    </xf>
    <xf numFmtId="166" fontId="17" fillId="0" borderId="11" xfId="0" applyNumberFormat="1" applyFont="1" applyBorder="1"/>
    <xf numFmtId="166" fontId="17" fillId="0" borderId="10" xfId="0" applyNumberFormat="1" applyFont="1" applyBorder="1"/>
    <xf numFmtId="166" fontId="17" fillId="0" borderId="9" xfId="0" applyNumberFormat="1" applyFont="1" applyBorder="1"/>
    <xf numFmtId="0" fontId="17" fillId="0" borderId="7" xfId="0" applyFont="1" applyBorder="1" applyAlignment="1">
      <alignment horizontal="center"/>
    </xf>
    <xf numFmtId="166" fontId="17" fillId="0" borderId="4" xfId="0" applyNumberFormat="1" applyFont="1" applyBorder="1"/>
    <xf numFmtId="166" fontId="17" fillId="0" borderId="3" xfId="0" applyNumberFormat="1" applyFont="1" applyBorder="1"/>
    <xf numFmtId="166" fontId="17" fillId="0" borderId="2" xfId="0" applyNumberFormat="1" applyFont="1" applyBorder="1"/>
    <xf numFmtId="166" fontId="17" fillId="0" borderId="62" xfId="0" applyNumberFormat="1" applyFont="1" applyBorder="1"/>
    <xf numFmtId="166" fontId="17" fillId="0" borderId="11" xfId="0" applyNumberFormat="1" applyFont="1" applyBorder="1" applyAlignment="1">
      <alignment horizontal="center"/>
    </xf>
    <xf numFmtId="166" fontId="17" fillId="0" borderId="10" xfId="0" applyNumberFormat="1" applyFont="1" applyBorder="1" applyAlignment="1">
      <alignment horizontal="center"/>
    </xf>
    <xf numFmtId="166" fontId="17" fillId="0" borderId="9" xfId="0" applyNumberFormat="1" applyFont="1" applyBorder="1" applyAlignment="1">
      <alignment horizontal="center"/>
    </xf>
    <xf numFmtId="166" fontId="17" fillId="0" borderId="63" xfId="0" applyNumberFormat="1" applyFont="1" applyBorder="1" applyAlignment="1">
      <alignment horizontal="center"/>
    </xf>
    <xf numFmtId="39" fontId="10" fillId="0" borderId="0" xfId="17" applyNumberFormat="1"/>
    <xf numFmtId="166" fontId="17" fillId="0" borderId="7" xfId="0" applyNumberFormat="1" applyFont="1" applyBorder="1"/>
    <xf numFmtId="166" fontId="17" fillId="0" borderId="64" xfId="0" applyNumberFormat="1" applyFont="1" applyBorder="1"/>
    <xf numFmtId="166" fontId="17" fillId="0" borderId="65" xfId="0" applyNumberFormat="1" applyFont="1" applyBorder="1"/>
    <xf numFmtId="39" fontId="92" fillId="0" borderId="46" xfId="0" applyNumberFormat="1" applyFont="1" applyBorder="1" applyAlignment="1">
      <alignment horizontal="right" vertical="top"/>
    </xf>
    <xf numFmtId="39" fontId="92" fillId="0" borderId="66" xfId="0" applyNumberFormat="1" applyFont="1" applyBorder="1" applyAlignment="1">
      <alignment horizontal="right" vertical="top"/>
    </xf>
    <xf numFmtId="0" fontId="92" fillId="0" borderId="46" xfId="0" applyFont="1" applyBorder="1" applyAlignment="1">
      <alignment horizontal="right" vertical="top"/>
    </xf>
    <xf numFmtId="166" fontId="17" fillId="0" borderId="67" xfId="0" applyNumberFormat="1" applyFont="1" applyBorder="1"/>
    <xf numFmtId="39" fontId="93" fillId="0" borderId="46" xfId="0" applyNumberFormat="1" applyFont="1" applyBorder="1" applyAlignment="1">
      <alignment horizontal="right" vertical="center"/>
    </xf>
    <xf numFmtId="0" fontId="93" fillId="0" borderId="46" xfId="0" applyFont="1" applyBorder="1" applyAlignment="1">
      <alignment horizontal="left" vertical="center"/>
    </xf>
    <xf numFmtId="172" fontId="0" fillId="0" borderId="0" xfId="0" applyNumberFormat="1"/>
    <xf numFmtId="166" fontId="17" fillId="0" borderId="68" xfId="0" applyNumberFormat="1" applyFont="1" applyBorder="1"/>
    <xf numFmtId="0" fontId="93" fillId="0" borderId="46" xfId="0" applyFont="1" applyBorder="1" applyAlignment="1">
      <alignment horizontal="left" vertical="center" wrapText="1"/>
    </xf>
    <xf numFmtId="0" fontId="93" fillId="0" borderId="69" xfId="0" applyFont="1" applyBorder="1" applyAlignment="1">
      <alignment horizontal="left" vertical="center" wrapText="1"/>
    </xf>
    <xf numFmtId="166" fontId="17" fillId="0" borderId="6" xfId="0" applyNumberFormat="1" applyFont="1" applyBorder="1"/>
    <xf numFmtId="0" fontId="101" fillId="0" borderId="46" xfId="0" applyFont="1" applyBorder="1" applyAlignment="1">
      <alignment horizontal="left" vertical="top"/>
    </xf>
    <xf numFmtId="4" fontId="10" fillId="0" borderId="0" xfId="103" applyFont="1" applyBorder="1" applyAlignment="1">
      <alignment vertical="center"/>
    </xf>
    <xf numFmtId="0" fontId="101" fillId="0" borderId="46" xfId="0" applyFont="1" applyBorder="1" applyAlignment="1">
      <alignment horizontal="left" vertical="center"/>
    </xf>
    <xf numFmtId="0" fontId="17" fillId="0" borderId="7" xfId="0" quotePrefix="1" applyFont="1" applyBorder="1" applyAlignment="1">
      <alignment horizontal="center"/>
    </xf>
    <xf numFmtId="10" fontId="0" fillId="0" borderId="0" xfId="7" applyNumberFormat="1" applyFont="1"/>
    <xf numFmtId="0" fontId="17" fillId="0" borderId="70" xfId="0" applyFont="1" applyBorder="1"/>
    <xf numFmtId="166" fontId="17" fillId="0" borderId="71" xfId="0" applyNumberFormat="1" applyFont="1" applyBorder="1"/>
    <xf numFmtId="0" fontId="17" fillId="0" borderId="62" xfId="0" applyFont="1" applyBorder="1" applyAlignment="1">
      <alignment horizontal="center"/>
    </xf>
    <xf numFmtId="0" fontId="17" fillId="0" borderId="69" xfId="0" applyFont="1" applyBorder="1"/>
    <xf numFmtId="1" fontId="18" fillId="0" borderId="72" xfId="0" applyNumberFormat="1" applyFont="1" applyBorder="1" applyAlignment="1">
      <alignment horizontal="center"/>
    </xf>
    <xf numFmtId="1" fontId="18" fillId="0" borderId="73" xfId="0" applyNumberFormat="1" applyFont="1" applyBorder="1" applyAlignment="1">
      <alignment horizontal="center"/>
    </xf>
    <xf numFmtId="1" fontId="18" fillId="0" borderId="74" xfId="0" applyNumberFormat="1" applyFont="1" applyBorder="1" applyAlignment="1">
      <alignment horizontal="center"/>
    </xf>
    <xf numFmtId="1" fontId="18" fillId="0" borderId="65" xfId="0" applyNumberFormat="1" applyFont="1" applyBorder="1" applyAlignment="1">
      <alignment horizontal="center"/>
    </xf>
    <xf numFmtId="0" fontId="18" fillId="0" borderId="10" xfId="0" applyFont="1" applyBorder="1" applyAlignment="1">
      <alignment horizontal="center"/>
    </xf>
    <xf numFmtId="39" fontId="0" fillId="0" borderId="0" xfId="0" applyNumberFormat="1"/>
    <xf numFmtId="166" fontId="17" fillId="0" borderId="7" xfId="0" applyNumberFormat="1" applyFont="1" applyBorder="1" applyAlignment="1">
      <alignment horizontal="center"/>
    </xf>
    <xf numFmtId="166" fontId="17" fillId="0" borderId="75" xfId="0" applyNumberFormat="1" applyFont="1" applyBorder="1" applyAlignment="1">
      <alignment horizontal="center"/>
    </xf>
    <xf numFmtId="166" fontId="17" fillId="0" borderId="67" xfId="0" applyNumberFormat="1" applyFont="1" applyBorder="1" applyAlignment="1">
      <alignment horizontal="center"/>
    </xf>
    <xf numFmtId="0" fontId="10" fillId="0" borderId="0" xfId="0" applyFont="1" applyAlignment="1">
      <alignment horizontal="center"/>
    </xf>
    <xf numFmtId="10" fontId="17" fillId="0" borderId="70" xfId="0" applyNumberFormat="1" applyFont="1" applyBorder="1" applyAlignment="1">
      <alignment horizontal="center"/>
    </xf>
    <xf numFmtId="10" fontId="17" fillId="0" borderId="76" xfId="0" applyNumberFormat="1" applyFont="1" applyBorder="1" applyAlignment="1">
      <alignment horizontal="center"/>
    </xf>
    <xf numFmtId="10" fontId="17" fillId="0" borderId="77" xfId="0" applyNumberFormat="1" applyFont="1" applyBorder="1" applyAlignment="1">
      <alignment horizontal="center"/>
    </xf>
    <xf numFmtId="10" fontId="17" fillId="0" borderId="78" xfId="0" applyNumberFormat="1" applyFont="1" applyBorder="1" applyAlignment="1">
      <alignment horizontal="center"/>
    </xf>
    <xf numFmtId="166" fontId="17" fillId="0" borderId="68" xfId="0" applyNumberFormat="1" applyFont="1" applyBorder="1" applyAlignment="1">
      <alignment horizontal="center"/>
    </xf>
    <xf numFmtId="0" fontId="18" fillId="0" borderId="48" xfId="0" applyFont="1" applyBorder="1" applyAlignment="1">
      <alignment horizontal="centerContinuous"/>
    </xf>
    <xf numFmtId="0" fontId="18" fillId="0" borderId="79" xfId="0" applyFont="1" applyBorder="1" applyAlignment="1">
      <alignment horizontal="centerContinuous"/>
    </xf>
    <xf numFmtId="166" fontId="18" fillId="0" borderId="80" xfId="0" applyNumberFormat="1" applyFont="1" applyBorder="1" applyAlignment="1">
      <alignment horizontal="centerContinuous"/>
    </xf>
    <xf numFmtId="0" fontId="18" fillId="0" borderId="81" xfId="0" applyFont="1" applyBorder="1" applyAlignment="1">
      <alignment horizontal="centerContinuous"/>
    </xf>
    <xf numFmtId="0" fontId="18" fillId="0" borderId="82" xfId="0" applyFont="1" applyBorder="1" applyAlignment="1">
      <alignment horizontal="centerContinuous"/>
    </xf>
    <xf numFmtId="172" fontId="0" fillId="0" borderId="10" xfId="0" applyNumberFormat="1" applyBorder="1"/>
    <xf numFmtId="0" fontId="70" fillId="0" borderId="0" xfId="0" applyFont="1" applyAlignment="1">
      <alignment horizontal="center"/>
    </xf>
    <xf numFmtId="166" fontId="17" fillId="0" borderId="25" xfId="0" applyNumberFormat="1" applyFont="1" applyBorder="1"/>
    <xf numFmtId="166" fontId="17" fillId="0" borderId="23" xfId="0" applyNumberFormat="1" applyFont="1" applyBorder="1"/>
    <xf numFmtId="166" fontId="17" fillId="0" borderId="83" xfId="0" applyNumberFormat="1" applyFont="1" applyBorder="1"/>
    <xf numFmtId="166" fontId="17" fillId="0" borderId="84" xfId="0" applyNumberFormat="1" applyFont="1" applyBorder="1"/>
    <xf numFmtId="166" fontId="17" fillId="0" borderId="85" xfId="0" applyNumberFormat="1" applyFont="1" applyBorder="1"/>
    <xf numFmtId="166" fontId="17" fillId="0" borderId="86" xfId="0" applyNumberFormat="1" applyFont="1" applyBorder="1" applyAlignment="1">
      <alignment horizontal="center"/>
    </xf>
    <xf numFmtId="166" fontId="17" fillId="0" borderId="87" xfId="0" applyNumberFormat="1" applyFont="1" applyBorder="1" applyAlignment="1">
      <alignment horizontal="center"/>
    </xf>
    <xf numFmtId="166" fontId="17" fillId="0" borderId="83" xfId="0" applyNumberFormat="1" applyFont="1" applyBorder="1" applyAlignment="1">
      <alignment horizontal="center"/>
    </xf>
    <xf numFmtId="184" fontId="0" fillId="0" borderId="15" xfId="0" applyNumberFormat="1" applyBorder="1"/>
    <xf numFmtId="166" fontId="17" fillId="0" borderId="86" xfId="0" applyNumberFormat="1" applyFont="1" applyBorder="1"/>
    <xf numFmtId="166" fontId="17" fillId="0" borderId="87" xfId="0" applyNumberFormat="1" applyFont="1" applyBorder="1"/>
    <xf numFmtId="184" fontId="70" fillId="0" borderId="0" xfId="0" applyNumberFormat="1" applyFont="1"/>
    <xf numFmtId="10" fontId="0" fillId="0" borderId="0" xfId="0" applyNumberFormat="1"/>
    <xf numFmtId="7" fontId="10" fillId="0" borderId="51" xfId="1" applyNumberFormat="1" applyBorder="1"/>
    <xf numFmtId="166" fontId="17" fillId="0" borderId="22" xfId="0" applyNumberFormat="1" applyFont="1" applyBorder="1"/>
    <xf numFmtId="166" fontId="17" fillId="0" borderId="21" xfId="0" applyNumberFormat="1" applyFont="1" applyBorder="1"/>
    <xf numFmtId="7" fontId="70" fillId="0" borderId="0" xfId="1" applyNumberFormat="1" applyFont="1"/>
    <xf numFmtId="170" fontId="10" fillId="0" borderId="0" xfId="1" applyNumberFormat="1"/>
    <xf numFmtId="0" fontId="70" fillId="0" borderId="10" xfId="0" applyFont="1" applyBorder="1"/>
    <xf numFmtId="7" fontId="70" fillId="0" borderId="41" xfId="1" applyNumberFormat="1" applyFont="1" applyBorder="1" applyAlignment="1">
      <alignment horizontal="right"/>
    </xf>
    <xf numFmtId="0" fontId="70" fillId="0" borderId="0" xfId="0" applyFont="1" applyAlignment="1">
      <alignment wrapText="1"/>
    </xf>
    <xf numFmtId="7" fontId="10"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10" fillId="0" borderId="24" xfId="1" applyNumberFormat="1" applyBorder="1"/>
    <xf numFmtId="9" fontId="0" fillId="0" borderId="0" xfId="0" applyNumberFormat="1"/>
    <xf numFmtId="43" fontId="10" fillId="0" borderId="39" xfId="1" applyFill="1" applyBorder="1"/>
    <xf numFmtId="171" fontId="10" fillId="0" borderId="39" xfId="1" applyNumberFormat="1" applyFill="1" applyBorder="1"/>
    <xf numFmtId="14" fontId="0" fillId="0" borderId="39" xfId="0" applyNumberFormat="1" applyBorder="1"/>
    <xf numFmtId="39" fontId="17"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7" fillId="0" borderId="71" xfId="0" applyFont="1" applyBorder="1"/>
    <xf numFmtId="166" fontId="17" fillId="0" borderId="84" xfId="0" applyNumberFormat="1" applyFont="1" applyBorder="1" applyAlignment="1">
      <alignment horizontal="center"/>
    </xf>
    <xf numFmtId="166" fontId="17" fillId="0" borderId="85" xfId="0" applyNumberFormat="1" applyFont="1" applyBorder="1" applyAlignment="1">
      <alignment horizontal="center"/>
    </xf>
    <xf numFmtId="1" fontId="18" fillId="0" borderId="89" xfId="0" applyNumberFormat="1" applyFont="1" applyBorder="1" applyAlignment="1">
      <alignment horizontal="center"/>
    </xf>
    <xf numFmtId="1" fontId="18" fillId="0" borderId="83" xfId="0" applyNumberFormat="1" applyFont="1" applyBorder="1" applyAlignment="1">
      <alignment horizontal="center"/>
    </xf>
    <xf numFmtId="1" fontId="18" fillId="0" borderId="90" xfId="0" applyNumberFormat="1" applyFont="1" applyBorder="1" applyAlignment="1">
      <alignment horizontal="center"/>
    </xf>
    <xf numFmtId="166" fontId="17" fillId="0" borderId="91" xfId="0" applyNumberFormat="1" applyFont="1" applyBorder="1" applyAlignment="1">
      <alignment horizontal="center"/>
    </xf>
    <xf numFmtId="166" fontId="17" fillId="0" borderId="92" xfId="0" applyNumberFormat="1" applyFont="1" applyBorder="1" applyAlignment="1">
      <alignment horizontal="center"/>
    </xf>
    <xf numFmtId="166" fontId="17" fillId="0" borderId="64" xfId="0" applyNumberFormat="1" applyFont="1" applyBorder="1" applyAlignment="1">
      <alignment horizontal="center"/>
    </xf>
    <xf numFmtId="10" fontId="17" fillId="0" borderId="93" xfId="0" applyNumberFormat="1" applyFont="1" applyBorder="1" applyAlignment="1">
      <alignment horizontal="center"/>
    </xf>
    <xf numFmtId="10" fontId="17" fillId="0" borderId="94" xfId="0" applyNumberFormat="1" applyFont="1" applyBorder="1" applyAlignment="1">
      <alignment horizontal="center"/>
    </xf>
    <xf numFmtId="166" fontId="17" fillId="0" borderId="71" xfId="0" applyNumberFormat="1" applyFont="1" applyBorder="1" applyAlignment="1">
      <alignment horizontal="center"/>
    </xf>
    <xf numFmtId="0" fontId="18"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70" fillId="10" borderId="39" xfId="1" applyFont="1" applyFill="1" applyBorder="1" applyAlignment="1">
      <alignment horizontal="center"/>
    </xf>
    <xf numFmtId="171" fontId="70" fillId="10" borderId="39" xfId="1" applyNumberFormat="1" applyFont="1" applyFill="1" applyBorder="1" applyAlignment="1">
      <alignment horizontal="center"/>
    </xf>
    <xf numFmtId="0" fontId="70" fillId="10" borderId="39" xfId="0" applyFont="1" applyFill="1" applyBorder="1" applyAlignment="1">
      <alignment horizontal="center"/>
    </xf>
    <xf numFmtId="171" fontId="10" fillId="0" borderId="0" xfId="1" applyNumberFormat="1"/>
    <xf numFmtId="0" fontId="103" fillId="0" borderId="0" xfId="0" applyFont="1"/>
    <xf numFmtId="0" fontId="103" fillId="0" borderId="0" xfId="0" applyFont="1" applyAlignment="1">
      <alignment horizontal="center"/>
    </xf>
    <xf numFmtId="171" fontId="81" fillId="7" borderId="3" xfId="0" applyNumberFormat="1" applyFont="1" applyFill="1" applyBorder="1"/>
    <xf numFmtId="37" fontId="107" fillId="0" borderId="0" xfId="0" applyNumberFormat="1" applyFont="1" applyAlignment="1">
      <alignment shrinkToFit="1"/>
    </xf>
    <xf numFmtId="3" fontId="14"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5" fillId="0" borderId="0" xfId="17" applyFont="1" applyAlignment="1">
      <alignment horizontal="left"/>
    </xf>
    <xf numFmtId="0" fontId="70" fillId="0" borderId="0" xfId="17" applyFont="1" applyAlignment="1">
      <alignment horizontal="left"/>
    </xf>
    <xf numFmtId="0" fontId="0" fillId="4" borderId="0" xfId="0" applyFill="1"/>
    <xf numFmtId="171" fontId="0" fillId="4" borderId="0" xfId="21" applyNumberFormat="1" applyFont="1" applyFill="1"/>
    <xf numFmtId="171" fontId="70" fillId="4" borderId="0" xfId="21" applyNumberFormat="1" applyFont="1" applyFill="1"/>
    <xf numFmtId="0" fontId="81" fillId="0" borderId="0" xfId="0" applyFont="1" applyAlignment="1">
      <alignment horizontal="center" wrapText="1"/>
    </xf>
    <xf numFmtId="171" fontId="81" fillId="0" borderId="0" xfId="1" applyNumberFormat="1" applyFont="1" applyAlignment="1">
      <alignment horizontal="center" wrapText="1"/>
    </xf>
    <xf numFmtId="185" fontId="0" fillId="0" borderId="0" xfId="0" applyNumberFormat="1"/>
    <xf numFmtId="4" fontId="0" fillId="0" borderId="0" xfId="0" applyNumberFormat="1"/>
    <xf numFmtId="2" fontId="70" fillId="0" borderId="0" xfId="17" applyNumberFormat="1" applyFont="1" applyAlignment="1">
      <alignment horizontal="left"/>
    </xf>
    <xf numFmtId="0" fontId="70" fillId="0" borderId="0" xfId="17" applyFont="1"/>
    <xf numFmtId="37" fontId="70" fillId="4" borderId="0" xfId="21" applyNumberFormat="1" applyFont="1" applyFill="1"/>
    <xf numFmtId="171" fontId="0" fillId="0" borderId="0" xfId="21" applyNumberFormat="1" applyFont="1"/>
    <xf numFmtId="0" fontId="81" fillId="0" borderId="17" xfId="0" applyFont="1" applyBorder="1" applyAlignment="1">
      <alignment horizontal="center" wrapText="1"/>
    </xf>
    <xf numFmtId="0" fontId="81" fillId="0" borderId="0" xfId="0" applyFont="1" applyAlignment="1">
      <alignment horizontal="center" vertical="center" wrapText="1"/>
    </xf>
    <xf numFmtId="0" fontId="0" fillId="0" borderId="6" xfId="0" applyBorder="1" applyAlignment="1">
      <alignment horizontal="center"/>
    </xf>
    <xf numFmtId="0" fontId="70" fillId="0" borderId="0" xfId="0" applyFont="1" applyAlignment="1">
      <alignment horizontal="right"/>
    </xf>
    <xf numFmtId="0" fontId="81" fillId="0" borderId="6" xfId="0" applyFont="1" applyBorder="1" applyAlignment="1">
      <alignment horizontal="center" wrapText="1"/>
    </xf>
    <xf numFmtId="0" fontId="70" fillId="4" borderId="0" xfId="0" applyFont="1" applyFill="1" applyAlignment="1">
      <alignment horizontal="center"/>
    </xf>
    <xf numFmtId="171" fontId="70" fillId="4" borderId="0" xfId="21" applyNumberFormat="1" applyFont="1" applyFill="1" applyAlignment="1">
      <alignment horizontal="center"/>
    </xf>
    <xf numFmtId="0" fontId="109" fillId="4" borderId="0" xfId="0" applyFont="1" applyFill="1" applyAlignment="1">
      <alignment horizontal="center"/>
    </xf>
    <xf numFmtId="171" fontId="109"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10"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70" fillId="4" borderId="0" xfId="21" applyNumberFormat="1" applyFont="1" applyFill="1"/>
    <xf numFmtId="40" fontId="70" fillId="4" borderId="0" xfId="21" applyNumberFormat="1" applyFont="1" applyFill="1"/>
    <xf numFmtId="40" fontId="0" fillId="4" borderId="0" xfId="0" applyNumberFormat="1" applyFill="1"/>
    <xf numFmtId="40" fontId="0" fillId="4" borderId="0" xfId="21" applyNumberFormat="1" applyFont="1" applyFill="1"/>
    <xf numFmtId="171" fontId="81" fillId="0" borderId="98" xfId="1" applyNumberFormat="1" applyFont="1" applyBorder="1"/>
    <xf numFmtId="164" fontId="0" fillId="5" borderId="8" xfId="0" applyNumberFormat="1" applyFill="1" applyBorder="1"/>
    <xf numFmtId="38" fontId="0" fillId="4" borderId="0" xfId="0" applyNumberFormat="1" applyFill="1"/>
    <xf numFmtId="0" fontId="81"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70" fillId="4" borderId="12" xfId="21" applyNumberFormat="1" applyFont="1" applyFill="1" applyBorder="1"/>
    <xf numFmtId="171" fontId="70" fillId="0" borderId="0" xfId="21" applyNumberFormat="1" applyFont="1"/>
    <xf numFmtId="10" fontId="0" fillId="0" borderId="0" xfId="77" applyNumberFormat="1" applyFont="1"/>
    <xf numFmtId="171" fontId="70" fillId="0" borderId="98" xfId="21" applyNumberFormat="1" applyFont="1" applyBorder="1"/>
    <xf numFmtId="39" fontId="17" fillId="0" borderId="0" xfId="103" applyNumberFormat="1" applyFont="1"/>
    <xf numFmtId="0" fontId="58" fillId="0" borderId="0" xfId="0" applyFont="1" applyAlignment="1">
      <alignment horizontal="right"/>
    </xf>
    <xf numFmtId="39" fontId="17" fillId="0" borderId="0" xfId="103" applyNumberFormat="1" applyFont="1" applyAlignment="1"/>
    <xf numFmtId="37" fontId="17" fillId="0" borderId="0" xfId="103" applyNumberFormat="1" applyFont="1"/>
    <xf numFmtId="0" fontId="110" fillId="0" borderId="0" xfId="0" applyFont="1" applyAlignment="1">
      <alignment horizontal="right"/>
    </xf>
    <xf numFmtId="0" fontId="111" fillId="0" borderId="0" xfId="0" applyFont="1" applyAlignment="1">
      <alignment horizontal="center"/>
    </xf>
    <xf numFmtId="37" fontId="112" fillId="0" borderId="41" xfId="103" applyNumberFormat="1" applyFont="1" applyBorder="1" applyAlignment="1"/>
    <xf numFmtId="37" fontId="112" fillId="0" borderId="0" xfId="103" applyNumberFormat="1" applyFont="1" applyBorder="1" applyAlignment="1"/>
    <xf numFmtId="37" fontId="112" fillId="0" borderId="41" xfId="103" applyNumberFormat="1" applyFont="1" applyBorder="1" applyAlignment="1">
      <alignment horizontal="right"/>
    </xf>
    <xf numFmtId="39" fontId="112" fillId="0" borderId="0" xfId="103" applyNumberFormat="1" applyFont="1" applyBorder="1" applyAlignment="1"/>
    <xf numFmtId="0" fontId="18" fillId="0" borderId="0" xfId="0" applyFont="1" applyAlignment="1">
      <alignment horizontal="right"/>
    </xf>
    <xf numFmtId="37" fontId="17" fillId="0" borderId="0" xfId="103" applyNumberFormat="1" applyFont="1" applyAlignment="1">
      <alignment horizontal="right"/>
    </xf>
    <xf numFmtId="39" fontId="18" fillId="0" borderId="0" xfId="103" applyNumberFormat="1" applyFont="1"/>
    <xf numFmtId="37" fontId="18" fillId="0" borderId="0" xfId="103" applyNumberFormat="1" applyFont="1" applyBorder="1"/>
    <xf numFmtId="37" fontId="17" fillId="0" borderId="51" xfId="103" applyNumberFormat="1" applyFont="1" applyBorder="1" applyAlignment="1">
      <alignment horizontal="right"/>
    </xf>
    <xf numFmtId="37" fontId="17" fillId="0" borderId="10" xfId="103" applyNumberFormat="1" applyFont="1" applyBorder="1"/>
    <xf numFmtId="171" fontId="23" fillId="0" borderId="0" xfId="0" applyNumberFormat="1" applyFont="1"/>
    <xf numFmtId="39" fontId="18" fillId="0" borderId="0" xfId="103" applyNumberFormat="1" applyFont="1" applyBorder="1"/>
    <xf numFmtId="37" fontId="113" fillId="0" borderId="0" xfId="103" applyNumberFormat="1" applyFont="1"/>
    <xf numFmtId="0" fontId="111" fillId="0" borderId="0" xfId="0" applyFont="1"/>
    <xf numFmtId="37" fontId="17" fillId="0" borderId="3" xfId="103" applyNumberFormat="1" applyFont="1" applyBorder="1" applyAlignment="1">
      <alignment horizontal="right"/>
    </xf>
    <xf numFmtId="39" fontId="17" fillId="0" borderId="15" xfId="103" applyNumberFormat="1" applyFont="1" applyBorder="1"/>
    <xf numFmtId="37" fontId="17" fillId="0" borderId="3" xfId="103" applyNumberFormat="1" applyFont="1" applyBorder="1"/>
    <xf numFmtId="39" fontId="114" fillId="0" borderId="0" xfId="103" applyNumberFormat="1" applyFont="1" applyFill="1"/>
    <xf numFmtId="37" fontId="114" fillId="0" borderId="0" xfId="103" applyNumberFormat="1" applyFont="1" applyFill="1"/>
    <xf numFmtId="39" fontId="17" fillId="0" borderId="0" xfId="103" applyNumberFormat="1" applyFont="1" applyFill="1"/>
    <xf numFmtId="37" fontId="17" fillId="0" borderId="0" xfId="103" applyNumberFormat="1" applyFont="1" applyFill="1"/>
    <xf numFmtId="0" fontId="18" fillId="0" borderId="0" xfId="0" applyFont="1" applyAlignment="1">
      <alignment horizontal="left"/>
    </xf>
    <xf numFmtId="37" fontId="17" fillId="0" borderId="24" xfId="103" applyNumberFormat="1" applyFont="1" applyBorder="1" applyAlignment="1">
      <alignment horizontal="right"/>
    </xf>
    <xf numFmtId="37" fontId="17" fillId="0" borderId="0" xfId="103" applyNumberFormat="1" applyFont="1" applyBorder="1"/>
    <xf numFmtId="37" fontId="17" fillId="0" borderId="15" xfId="103" applyNumberFormat="1" applyFont="1" applyBorder="1" applyAlignment="1">
      <alignment horizontal="right"/>
    </xf>
    <xf numFmtId="37" fontId="17" fillId="0" borderId="15" xfId="103" applyNumberFormat="1" applyFont="1" applyBorder="1"/>
    <xf numFmtId="37" fontId="17" fillId="0" borderId="10" xfId="103" applyNumberFormat="1" applyFont="1" applyBorder="1" applyAlignment="1"/>
    <xf numFmtId="39" fontId="18" fillId="0" borderId="10" xfId="103" applyNumberFormat="1" applyFont="1" applyBorder="1" applyAlignment="1">
      <alignment horizontal="center"/>
    </xf>
    <xf numFmtId="0" fontId="115" fillId="0" borderId="0" xfId="0" applyFont="1"/>
    <xf numFmtId="0" fontId="12" fillId="0" borderId="0" xfId="0" applyFont="1" applyAlignment="1">
      <alignment horizontal="left"/>
    </xf>
    <xf numFmtId="4" fontId="12" fillId="0" borderId="0" xfId="0" applyNumberFormat="1" applyFont="1"/>
    <xf numFmtId="0" fontId="14" fillId="0" borderId="0" xfId="0" applyFont="1" applyAlignment="1">
      <alignment horizontal="center"/>
    </xf>
    <xf numFmtId="4" fontId="15" fillId="0" borderId="0" xfId="0" applyNumberFormat="1" applyFont="1"/>
    <xf numFmtId="0" fontId="116" fillId="0" borderId="0" xfId="0" applyFont="1" applyAlignment="1">
      <alignment horizontal="center"/>
    </xf>
    <xf numFmtId="0" fontId="15" fillId="0" borderId="0" xfId="0" applyFont="1" applyAlignment="1">
      <alignment horizontal="center"/>
    </xf>
    <xf numFmtId="0" fontId="116" fillId="0" borderId="0" xfId="0" applyFont="1"/>
    <xf numFmtId="0" fontId="15" fillId="0" borderId="0" xfId="0" applyFont="1"/>
    <xf numFmtId="0" fontId="115" fillId="0" borderId="0" xfId="0" applyFont="1" applyAlignment="1">
      <alignment horizontal="center"/>
    </xf>
    <xf numFmtId="37" fontId="12" fillId="0" borderId="0" xfId="103" applyNumberFormat="1" applyFont="1" applyAlignment="1">
      <alignment horizontal="right"/>
    </xf>
    <xf numFmtId="37" fontId="115" fillId="0" borderId="0" xfId="103" applyNumberFormat="1" applyFont="1" applyAlignment="1">
      <alignment horizontal="right"/>
    </xf>
    <xf numFmtId="37" fontId="12" fillId="0" borderId="0" xfId="103" applyNumberFormat="1" applyFont="1" applyBorder="1" applyAlignment="1">
      <alignment horizontal="right"/>
    </xf>
    <xf numFmtId="37" fontId="115" fillId="0" borderId="0" xfId="103" applyNumberFormat="1" applyFont="1" applyBorder="1" applyAlignment="1">
      <alignment horizontal="right"/>
    </xf>
    <xf numFmtId="37" fontId="18" fillId="0" borderId="41" xfId="45" applyNumberFormat="1" applyFont="1" applyBorder="1" applyAlignment="1"/>
    <xf numFmtId="37" fontId="12" fillId="0" borderId="15" xfId="103" applyNumberFormat="1" applyFont="1" applyBorder="1" applyAlignment="1">
      <alignment horizontal="right"/>
    </xf>
    <xf numFmtId="37" fontId="115" fillId="0" borderId="15" xfId="103" applyNumberFormat="1" applyFont="1" applyBorder="1" applyAlignment="1">
      <alignment horizontal="right"/>
    </xf>
    <xf numFmtId="37" fontId="117" fillId="0" borderId="0" xfId="103" applyNumberFormat="1" applyFont="1" applyFill="1" applyAlignment="1">
      <alignment horizontal="right"/>
    </xf>
    <xf numFmtId="37" fontId="115" fillId="0" borderId="0" xfId="103" applyNumberFormat="1" applyFont="1" applyFill="1" applyAlignment="1">
      <alignment horizontal="right"/>
    </xf>
    <xf numFmtId="37" fontId="12" fillId="0" borderId="0" xfId="103" applyNumberFormat="1" applyFont="1" applyFill="1" applyAlignment="1">
      <alignment horizontal="right"/>
    </xf>
    <xf numFmtId="37" fontId="12" fillId="0" borderId="3" xfId="103" applyNumberFormat="1" applyFont="1" applyFill="1" applyBorder="1" applyAlignment="1">
      <alignment horizontal="right"/>
    </xf>
    <xf numFmtId="37" fontId="115" fillId="0" borderId="3" xfId="103" applyNumberFormat="1" applyFont="1" applyFill="1" applyBorder="1" applyAlignment="1">
      <alignment horizontal="right"/>
    </xf>
    <xf numFmtId="37" fontId="118" fillId="0" borderId="0" xfId="103" applyNumberFormat="1" applyFont="1" applyFill="1" applyAlignment="1">
      <alignment horizontal="right"/>
    </xf>
    <xf numFmtId="37" fontId="115" fillId="0" borderId="0" xfId="0" applyNumberFormat="1" applyFont="1" applyAlignment="1">
      <alignment horizontal="center"/>
    </xf>
    <xf numFmtId="0" fontId="14" fillId="0" borderId="10" xfId="0" applyFont="1" applyBorder="1" applyAlignment="1">
      <alignment horizontal="center"/>
    </xf>
    <xf numFmtId="37" fontId="12" fillId="0" borderId="0" xfId="103" applyNumberFormat="1" applyFont="1"/>
    <xf numFmtId="0" fontId="15" fillId="0" borderId="0" xfId="0" quotePrefix="1" applyFont="1" applyAlignment="1">
      <alignment horizontal="center"/>
    </xf>
    <xf numFmtId="3" fontId="12" fillId="0" borderId="39" xfId="0" applyNumberFormat="1" applyFont="1" applyBorder="1" applyAlignment="1">
      <alignment horizontal="center"/>
    </xf>
    <xf numFmtId="0" fontId="12" fillId="0" borderId="13" xfId="0" applyFont="1" applyBorder="1" applyAlignment="1">
      <alignment horizontal="center"/>
    </xf>
    <xf numFmtId="0" fontId="115" fillId="0" borderId="13" xfId="0" applyFont="1" applyBorder="1" applyAlignment="1">
      <alignment horizontal="center"/>
    </xf>
    <xf numFmtId="0" fontId="12" fillId="0" borderId="39" xfId="0" applyFont="1" applyBorder="1" applyAlignment="1">
      <alignment horizontal="center"/>
    </xf>
    <xf numFmtId="0" fontId="115" fillId="0" borderId="39" xfId="0" applyFont="1" applyBorder="1" applyAlignment="1">
      <alignment horizontal="center"/>
    </xf>
    <xf numFmtId="4" fontId="10" fillId="0" borderId="25" xfId="103" applyFont="1" applyBorder="1"/>
    <xf numFmtId="0" fontId="10" fillId="0" borderId="23" xfId="17" applyBorder="1"/>
    <xf numFmtId="4" fontId="10" fillId="0" borderId="22" xfId="103" applyFont="1" applyBorder="1"/>
    <xf numFmtId="0" fontId="10" fillId="0" borderId="21" xfId="17" applyBorder="1"/>
    <xf numFmtId="4" fontId="119" fillId="0" borderId="20" xfId="103" applyFont="1" applyBorder="1"/>
    <xf numFmtId="0" fontId="10" fillId="0" borderId="18" xfId="17" applyBorder="1"/>
    <xf numFmtId="4" fontId="70" fillId="0" borderId="16" xfId="21" applyNumberFormat="1" applyFont="1" applyBorder="1"/>
    <xf numFmtId="43" fontId="10" fillId="0" borderId="0" xfId="21" applyFont="1"/>
    <xf numFmtId="0" fontId="115" fillId="0" borderId="0" xfId="0" applyFont="1" applyAlignment="1">
      <alignment horizontal="left"/>
    </xf>
    <xf numFmtId="4" fontId="10" fillId="0" borderId="0" xfId="21" applyNumberFormat="1" applyFont="1" applyBorder="1"/>
    <xf numFmtId="43" fontId="120" fillId="0" borderId="0" xfId="21" applyFont="1" applyFill="1"/>
    <xf numFmtId="4" fontId="70" fillId="0" borderId="0" xfId="21" applyNumberFormat="1" applyFont="1" applyBorder="1"/>
    <xf numFmtId="0" fontId="70" fillId="0" borderId="0" xfId="17" applyFont="1" applyAlignment="1">
      <alignment horizontal="center"/>
    </xf>
    <xf numFmtId="4" fontId="120" fillId="0" borderId="0" xfId="103" applyFont="1" applyFill="1"/>
    <xf numFmtId="39" fontId="70" fillId="0" borderId="0" xfId="17" applyNumberFormat="1" applyFont="1"/>
    <xf numFmtId="39" fontId="70" fillId="0" borderId="16" xfId="21" applyNumberFormat="1" applyFont="1" applyBorder="1"/>
    <xf numFmtId="0" fontId="121" fillId="0" borderId="0" xfId="17" applyFont="1"/>
    <xf numFmtId="4" fontId="10" fillId="0" borderId="0" xfId="103" applyFont="1" applyAlignment="1">
      <alignment horizontal="right"/>
    </xf>
    <xf numFmtId="4" fontId="10" fillId="0" borderId="0" xfId="103" applyFont="1" applyAlignment="1">
      <alignment horizontal="left"/>
    </xf>
    <xf numFmtId="4" fontId="10" fillId="0" borderId="51" xfId="103" applyFont="1" applyBorder="1" applyAlignment="1">
      <alignment horizontal="right"/>
    </xf>
    <xf numFmtId="49" fontId="10" fillId="0" borderId="0" xfId="103" applyNumberFormat="1" applyFont="1" applyAlignment="1">
      <alignment horizontal="left"/>
    </xf>
    <xf numFmtId="4" fontId="70" fillId="0" borderId="0" xfId="103" applyFont="1" applyAlignment="1">
      <alignment horizontal="center"/>
    </xf>
    <xf numFmtId="4" fontId="10" fillId="0" borderId="0" xfId="103" applyFont="1" applyBorder="1" applyAlignment="1">
      <alignment horizontal="right"/>
    </xf>
    <xf numFmtId="3" fontId="70" fillId="0" borderId="16" xfId="103" applyNumberFormat="1" applyFont="1" applyBorder="1" applyAlignment="1">
      <alignment horizontal="right"/>
    </xf>
    <xf numFmtId="4" fontId="70" fillId="0" borderId="16" xfId="103" applyFont="1" applyBorder="1" applyAlignment="1">
      <alignment horizontal="left"/>
    </xf>
    <xf numFmtId="3" fontId="10" fillId="0" borderId="0" xfId="103" applyNumberFormat="1" applyFont="1" applyBorder="1" applyAlignment="1">
      <alignment horizontal="right"/>
    </xf>
    <xf numFmtId="4" fontId="10" fillId="0" borderId="0" xfId="103" applyFont="1" applyBorder="1" applyAlignment="1">
      <alignment horizontal="left"/>
    </xf>
    <xf numFmtId="3" fontId="10" fillId="0" borderId="15" xfId="103" applyNumberFormat="1" applyFont="1" applyBorder="1" applyAlignment="1">
      <alignment horizontal="right"/>
    </xf>
    <xf numFmtId="4" fontId="10" fillId="0" borderId="15" xfId="103" applyFont="1" applyBorder="1" applyAlignment="1">
      <alignment horizontal="left"/>
    </xf>
    <xf numFmtId="3" fontId="10" fillId="0" borderId="0" xfId="103" applyNumberFormat="1" applyFont="1"/>
    <xf numFmtId="4" fontId="122" fillId="0" borderId="0" xfId="103" applyFont="1"/>
    <xf numFmtId="3" fontId="10" fillId="0" borderId="0" xfId="103" applyNumberFormat="1" applyFont="1" applyAlignment="1">
      <alignment horizontal="right"/>
    </xf>
    <xf numFmtId="0" fontId="58" fillId="0" borderId="0" xfId="0" applyFont="1" applyAlignment="1">
      <alignment horizontal="left"/>
    </xf>
    <xf numFmtId="4" fontId="70" fillId="0" borderId="0" xfId="103" applyFont="1" applyAlignment="1">
      <alignment horizontal="right"/>
    </xf>
    <xf numFmtId="4" fontId="70" fillId="0" borderId="0" xfId="103" applyFont="1" applyAlignment="1">
      <alignment horizontal="left"/>
    </xf>
    <xf numFmtId="0" fontId="81" fillId="0" borderId="0" xfId="16" applyFont="1" applyAlignment="1">
      <alignment horizontal="center"/>
    </xf>
    <xf numFmtId="0" fontId="109" fillId="0" borderId="0" xfId="16" applyFont="1" applyAlignment="1">
      <alignment horizontal="center" wrapText="1"/>
    </xf>
    <xf numFmtId="0" fontId="81"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9" fillId="6" borderId="18" xfId="16" applyFont="1" applyFill="1" applyBorder="1" applyAlignment="1">
      <alignment horizontal="center" wrapText="1"/>
    </xf>
    <xf numFmtId="0" fontId="109" fillId="0" borderId="18" xfId="16" applyFont="1" applyBorder="1" applyAlignment="1">
      <alignment horizontal="left"/>
    </xf>
    <xf numFmtId="171" fontId="10"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4" fillId="0" borderId="0" xfId="16" applyFont="1" applyAlignment="1">
      <alignment horizontal="left"/>
    </xf>
    <xf numFmtId="0" fontId="4" fillId="0" borderId="0" xfId="16" applyFont="1"/>
    <xf numFmtId="0" fontId="4" fillId="0" borderId="25" xfId="16" applyFont="1" applyBorder="1"/>
    <xf numFmtId="0" fontId="4" fillId="0" borderId="24" xfId="16" applyFont="1" applyBorder="1"/>
    <xf numFmtId="0" fontId="4" fillId="0" borderId="23" xfId="16" applyFont="1" applyBorder="1" applyAlignment="1">
      <alignment horizontal="left"/>
    </xf>
    <xf numFmtId="171" fontId="107" fillId="0" borderId="25" xfId="21" applyNumberFormat="1" applyFont="1" applyBorder="1"/>
    <xf numFmtId="171" fontId="107" fillId="0" borderId="24" xfId="21" applyNumberFormat="1" applyFont="1" applyBorder="1"/>
    <xf numFmtId="171" fontId="107" fillId="0" borderId="0" xfId="21" applyNumberFormat="1" applyFont="1" applyBorder="1"/>
    <xf numFmtId="0" fontId="4" fillId="0" borderId="21" xfId="16" applyFont="1" applyBorder="1" applyAlignment="1">
      <alignment horizontal="left"/>
    </xf>
    <xf numFmtId="0" fontId="4" fillId="0" borderId="22" xfId="16" applyFont="1" applyBorder="1"/>
    <xf numFmtId="171" fontId="4" fillId="0" borderId="29" xfId="16" applyNumberFormat="1" applyFont="1" applyBorder="1"/>
    <xf numFmtId="171" fontId="4" fillId="0" borderId="10" xfId="16" applyNumberFormat="1" applyFont="1" applyBorder="1"/>
    <xf numFmtId="171" fontId="107" fillId="0" borderId="10" xfId="21" applyNumberFormat="1" applyFont="1" applyBorder="1"/>
    <xf numFmtId="171" fontId="4" fillId="0" borderId="22" xfId="16" applyNumberFormat="1" applyFont="1" applyBorder="1"/>
    <xf numFmtId="0" fontId="4" fillId="0" borderId="20" xfId="16" applyFont="1" applyBorder="1"/>
    <xf numFmtId="0" fontId="4" fillId="0" borderId="19" xfId="16" applyFont="1" applyBorder="1"/>
    <xf numFmtId="0" fontId="4" fillId="6" borderId="25" xfId="16" applyFont="1" applyFill="1" applyBorder="1"/>
    <xf numFmtId="0" fontId="4" fillId="6" borderId="24" xfId="16" applyFont="1" applyFill="1" applyBorder="1"/>
    <xf numFmtId="0" fontId="4" fillId="6" borderId="23" xfId="16" applyFont="1" applyFill="1" applyBorder="1" applyAlignment="1">
      <alignment horizontal="left"/>
    </xf>
    <xf numFmtId="171" fontId="107" fillId="6" borderId="25" xfId="21" applyNumberFormat="1" applyFont="1" applyFill="1" applyBorder="1"/>
    <xf numFmtId="171" fontId="107" fillId="6" borderId="24" xfId="21" applyNumberFormat="1" applyFont="1" applyFill="1" applyBorder="1"/>
    <xf numFmtId="171" fontId="107" fillId="6" borderId="0" xfId="21" applyNumberFormat="1" applyFont="1" applyFill="1" applyBorder="1"/>
    <xf numFmtId="0" fontId="4" fillId="6" borderId="22" xfId="16" applyFont="1" applyFill="1" applyBorder="1"/>
    <xf numFmtId="0" fontId="4" fillId="6" borderId="0" xfId="16" applyFont="1" applyFill="1"/>
    <xf numFmtId="0" fontId="4" fillId="6" borderId="21" xfId="16" applyFont="1" applyFill="1" applyBorder="1" applyAlignment="1">
      <alignment horizontal="left"/>
    </xf>
    <xf numFmtId="171" fontId="4" fillId="6" borderId="29" xfId="16" applyNumberFormat="1" applyFont="1" applyFill="1" applyBorder="1"/>
    <xf numFmtId="171" fontId="4" fillId="6" borderId="10" xfId="16" applyNumberFormat="1" applyFont="1" applyFill="1" applyBorder="1"/>
    <xf numFmtId="171" fontId="107" fillId="6" borderId="10" xfId="21" applyNumberFormat="1" applyFont="1" applyFill="1" applyBorder="1"/>
    <xf numFmtId="171" fontId="4" fillId="6" borderId="22" xfId="16" applyNumberFormat="1" applyFont="1" applyFill="1" applyBorder="1"/>
    <xf numFmtId="171" fontId="4" fillId="6" borderId="0" xfId="16" applyNumberFormat="1" applyFont="1" applyFill="1"/>
    <xf numFmtId="0" fontId="4" fillId="6" borderId="20" xfId="16" applyFont="1" applyFill="1" applyBorder="1"/>
    <xf numFmtId="0" fontId="4" fillId="6" borderId="19" xfId="16" applyFont="1" applyFill="1" applyBorder="1"/>
    <xf numFmtId="171" fontId="107" fillId="6" borderId="27" xfId="21" applyNumberFormat="1" applyFont="1" applyFill="1" applyBorder="1"/>
    <xf numFmtId="0" fontId="4" fillId="0" borderId="3" xfId="16" applyFont="1" applyBorder="1"/>
    <xf numFmtId="10" fontId="107" fillId="0" borderId="0" xfId="19" applyNumberFormat="1" applyFont="1" applyAlignment="1">
      <alignment horizontal="center"/>
    </xf>
    <xf numFmtId="10" fontId="107" fillId="0" borderId="0" xfId="19" applyNumberFormat="1" applyFont="1" applyFill="1" applyAlignment="1">
      <alignment horizontal="center"/>
    </xf>
    <xf numFmtId="0" fontId="4" fillId="0" borderId="0" xfId="18" applyFont="1"/>
    <xf numFmtId="0" fontId="4" fillId="0" borderId="0" xfId="16" quotePrefix="1" applyFont="1"/>
    <xf numFmtId="171" fontId="107" fillId="0" borderId="0" xfId="21" applyNumberFormat="1" applyFont="1"/>
    <xf numFmtId="171" fontId="4" fillId="0" borderId="0" xfId="16" applyNumberFormat="1" applyFont="1"/>
    <xf numFmtId="186" fontId="18" fillId="0" borderId="0" xfId="223" applyNumberFormat="1" applyFont="1"/>
    <xf numFmtId="186" fontId="17" fillId="0" borderId="0" xfId="223" applyNumberFormat="1" applyFont="1"/>
    <xf numFmtId="0" fontId="123" fillId="0" borderId="0" xfId="17" applyFont="1"/>
    <xf numFmtId="0" fontId="81" fillId="13" borderId="15" xfId="0" applyFont="1" applyFill="1" applyBorder="1" applyAlignment="1">
      <alignment horizontal="center"/>
    </xf>
    <xf numFmtId="0" fontId="81" fillId="13" borderId="0" xfId="0" applyFont="1" applyFill="1" applyAlignment="1">
      <alignment horizontal="center" wrapText="1"/>
    </xf>
    <xf numFmtId="0" fontId="81" fillId="13" borderId="21" xfId="0" applyFont="1" applyFill="1" applyBorder="1" applyAlignment="1">
      <alignment horizontal="center" wrapText="1"/>
    </xf>
    <xf numFmtId="0" fontId="81" fillId="13" borderId="22" xfId="0" applyFont="1" applyFill="1" applyBorder="1" applyAlignment="1">
      <alignment horizontal="center" wrapText="1"/>
    </xf>
    <xf numFmtId="0" fontId="123"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70" fillId="0" borderId="0" xfId="0" applyNumberFormat="1" applyFont="1" applyAlignment="1">
      <alignment horizontal="center"/>
    </xf>
    <xf numFmtId="0" fontId="124" fillId="0" borderId="0" xfId="0" applyFont="1"/>
    <xf numFmtId="171" fontId="124" fillId="0" borderId="0" xfId="1" applyNumberFormat="1" applyFont="1" applyFill="1" applyBorder="1"/>
    <xf numFmtId="0" fontId="125" fillId="0" borderId="0" xfId="0" applyFont="1" applyAlignment="1">
      <alignment horizontal="center"/>
    </xf>
    <xf numFmtId="0" fontId="126" fillId="0" borderId="0" xfId="0" quotePrefix="1" applyFont="1"/>
    <xf numFmtId="0" fontId="124" fillId="14" borderId="0" xfId="0" applyFont="1" applyFill="1"/>
    <xf numFmtId="186" fontId="19" fillId="0" borderId="0" xfId="223" applyNumberFormat="1" applyFont="1" applyAlignment="1">
      <alignment horizontal="center"/>
    </xf>
    <xf numFmtId="171" fontId="124" fillId="14" borderId="0" xfId="0" applyNumberFormat="1" applyFont="1" applyFill="1"/>
    <xf numFmtId="0" fontId="124" fillId="14" borderId="99" xfId="0" applyFont="1" applyFill="1" applyBorder="1"/>
    <xf numFmtId="171" fontId="124" fillId="14" borderId="99" xfId="0" applyNumberFormat="1" applyFont="1" applyFill="1" applyBorder="1"/>
    <xf numFmtId="37" fontId="17" fillId="0" borderId="0" xfId="223" applyNumberFormat="1" applyFont="1"/>
    <xf numFmtId="49" fontId="0" fillId="0" borderId="0" xfId="0" applyNumberFormat="1" applyAlignment="1">
      <alignment horizontal="right"/>
    </xf>
    <xf numFmtId="49" fontId="10" fillId="0" borderId="0" xfId="0" applyNumberFormat="1" applyFont="1" applyAlignment="1">
      <alignment horizontal="right"/>
    </xf>
    <xf numFmtId="0" fontId="124" fillId="0" borderId="99" xfId="0" applyFont="1" applyBorder="1" applyAlignment="1">
      <alignment horizontal="left"/>
    </xf>
    <xf numFmtId="171" fontId="124" fillId="0" borderId="99" xfId="0" applyNumberFormat="1" applyFont="1" applyBorder="1"/>
    <xf numFmtId="0" fontId="0" fillId="0" borderId="0" xfId="0" applyAlignment="1">
      <alignment horizontal="left" indent="1"/>
    </xf>
    <xf numFmtId="171" fontId="127" fillId="0" borderId="0" xfId="1" applyNumberFormat="1" applyFont="1" applyFill="1" applyBorder="1"/>
    <xf numFmtId="17" fontId="81" fillId="0" borderId="0" xfId="0" applyNumberFormat="1" applyFont="1"/>
    <xf numFmtId="43" fontId="81" fillId="0" borderId="100" xfId="1" applyFont="1" applyBorder="1"/>
    <xf numFmtId="43" fontId="81" fillId="0" borderId="16" xfId="1" applyFont="1" applyBorder="1"/>
    <xf numFmtId="43" fontId="81" fillId="0" borderId="30" xfId="1" applyFont="1" applyBorder="1"/>
    <xf numFmtId="0" fontId="58" fillId="0" borderId="0" xfId="223" applyFont="1" applyAlignment="1">
      <alignment horizontal="left"/>
    </xf>
    <xf numFmtId="37" fontId="57"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7"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7" fillId="0" borderId="3" xfId="223" applyNumberFormat="1" applyFont="1" applyBorder="1"/>
    <xf numFmtId="0" fontId="0" fillId="15" borderId="0" xfId="0" applyFill="1"/>
    <xf numFmtId="0" fontId="0" fillId="11" borderId="0" xfId="0" applyFill="1"/>
    <xf numFmtId="37" fontId="17" fillId="0" borderId="12" xfId="223" applyNumberFormat="1" applyFont="1" applyBorder="1"/>
    <xf numFmtId="37" fontId="17" fillId="7" borderId="12" xfId="223" applyNumberFormat="1" applyFont="1" applyFill="1" applyBorder="1"/>
    <xf numFmtId="170" fontId="35" fillId="0" borderId="0" xfId="7" applyNumberFormat="1" applyFont="1" applyFill="1" applyBorder="1"/>
    <xf numFmtId="170" fontId="35" fillId="0" borderId="0" xfId="7" applyNumberFormat="1" applyFont="1" applyBorder="1"/>
    <xf numFmtId="170" fontId="35"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8"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7" fillId="0" borderId="0" xfId="0" applyFont="1"/>
    <xf numFmtId="187" fontId="128" fillId="0" borderId="0" xfId="0" applyNumberFormat="1" applyFont="1" applyAlignment="1">
      <alignment horizontal="right" vertical="top"/>
    </xf>
    <xf numFmtId="0" fontId="58" fillId="0" borderId="0" xfId="0" applyFont="1"/>
    <xf numFmtId="43" fontId="81" fillId="0" borderId="21" xfId="1" applyFont="1" applyBorder="1"/>
    <xf numFmtId="43" fontId="81" fillId="0" borderId="0" xfId="1" applyFont="1" applyBorder="1"/>
    <xf numFmtId="43" fontId="81"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10" fillId="6" borderId="10" xfId="0" applyFont="1" applyFill="1" applyBorder="1" applyAlignment="1">
      <alignment horizontal="right"/>
    </xf>
    <xf numFmtId="0" fontId="10" fillId="6" borderId="0" xfId="0" applyFont="1" applyFill="1" applyAlignment="1">
      <alignment horizontal="center"/>
    </xf>
    <xf numFmtId="0" fontId="10" fillId="6" borderId="0" xfId="0" applyFont="1" applyFill="1" applyAlignment="1">
      <alignment horizontal="right"/>
    </xf>
    <xf numFmtId="0" fontId="10" fillId="6" borderId="6" xfId="0" applyFont="1" applyFill="1" applyBorder="1" applyAlignment="1">
      <alignment horizontal="center"/>
    </xf>
    <xf numFmtId="171" fontId="10" fillId="0" borderId="0" xfId="1" applyNumberFormat="1" applyFont="1"/>
    <xf numFmtId="171" fontId="10" fillId="0" borderId="6" xfId="1" applyNumberFormat="1" applyFont="1" applyBorder="1"/>
    <xf numFmtId="171" fontId="10" fillId="0" borderId="0" xfId="1" applyNumberFormat="1" applyFont="1" applyBorder="1"/>
    <xf numFmtId="171" fontId="10" fillId="0" borderId="0" xfId="1" applyNumberFormat="1" applyFont="1" applyFill="1" applyBorder="1"/>
    <xf numFmtId="0" fontId="17" fillId="0" borderId="0" xfId="223" applyFont="1"/>
    <xf numFmtId="186" fontId="17" fillId="0" borderId="1" xfId="223" applyNumberFormat="1" applyFont="1" applyBorder="1" applyAlignment="1">
      <alignment horizontal="center"/>
    </xf>
    <xf numFmtId="186" fontId="17" fillId="0" borderId="8" xfId="223" applyNumberFormat="1" applyFont="1" applyBorder="1" applyAlignment="1">
      <alignment horizontal="center"/>
    </xf>
    <xf numFmtId="186" fontId="17" fillId="0" borderId="39" xfId="223" applyNumberFormat="1" applyFont="1" applyBorder="1" applyAlignment="1">
      <alignment horizontal="center"/>
    </xf>
    <xf numFmtId="170" fontId="17" fillId="0" borderId="0" xfId="223" applyNumberFormat="1" applyFont="1" applyAlignment="1">
      <alignment horizontal="center"/>
    </xf>
    <xf numFmtId="0" fontId="58" fillId="0" borderId="0" xfId="223" applyFont="1" applyAlignment="1">
      <alignment horizontal="right"/>
    </xf>
    <xf numFmtId="170" fontId="12" fillId="0" borderId="0" xfId="223" applyNumberFormat="1" applyFont="1" applyAlignment="1">
      <alignment horizontal="center"/>
    </xf>
    <xf numFmtId="37" fontId="17" fillId="0" borderId="10" xfId="223" applyNumberFormat="1" applyFont="1" applyBorder="1"/>
    <xf numFmtId="170" fontId="12" fillId="0" borderId="10" xfId="223" applyNumberFormat="1" applyFont="1" applyBorder="1" applyAlignment="1">
      <alignment horizontal="center"/>
    </xf>
    <xf numFmtId="37" fontId="17" fillId="0" borderId="39" xfId="223" applyNumberFormat="1" applyFont="1" applyBorder="1"/>
    <xf numFmtId="0" fontId="124" fillId="14" borderId="101" xfId="0" applyFont="1" applyFill="1" applyBorder="1" applyAlignment="1">
      <alignment horizontal="left"/>
    </xf>
    <xf numFmtId="171" fontId="124" fillId="14" borderId="101" xfId="0" applyNumberFormat="1" applyFont="1" applyFill="1" applyBorder="1"/>
    <xf numFmtId="43" fontId="81" fillId="18" borderId="102" xfId="1" applyFont="1" applyFill="1" applyBorder="1"/>
    <xf numFmtId="43" fontId="81" fillId="0" borderId="51" xfId="1" applyFont="1" applyBorder="1"/>
    <xf numFmtId="43" fontId="81" fillId="18" borderId="51" xfId="1" applyFont="1" applyFill="1" applyBorder="1"/>
    <xf numFmtId="43" fontId="81" fillId="0" borderId="103" xfId="1" applyFont="1" applyBorder="1"/>
    <xf numFmtId="0" fontId="81" fillId="11" borderId="0" xfId="0" applyFont="1" applyFill="1"/>
    <xf numFmtId="43" fontId="81" fillId="11" borderId="16" xfId="0" applyNumberFormat="1" applyFont="1" applyFill="1" applyBorder="1"/>
    <xf numFmtId="0" fontId="81" fillId="15" borderId="0" xfId="0" applyFont="1" applyFill="1"/>
    <xf numFmtId="43" fontId="81" fillId="15" borderId="16" xfId="0" applyNumberFormat="1" applyFont="1" applyFill="1" applyBorder="1"/>
    <xf numFmtId="37" fontId="17" fillId="0" borderId="16" xfId="223" applyNumberFormat="1" applyFont="1" applyBorder="1"/>
    <xf numFmtId="0" fontId="10" fillId="0" borderId="0" xfId="0" applyFont="1" applyAlignment="1">
      <alignment horizontal="right"/>
    </xf>
    <xf numFmtId="186" fontId="19" fillId="0" borderId="0" xfId="223" applyNumberFormat="1" applyFont="1" applyAlignment="1">
      <alignment horizontal="right"/>
    </xf>
    <xf numFmtId="186" fontId="19" fillId="0" borderId="0" xfId="223" applyNumberFormat="1" applyFont="1"/>
    <xf numFmtId="166" fontId="17" fillId="0" borderId="0" xfId="223" applyNumberFormat="1" applyFont="1" applyAlignment="1">
      <alignment horizontal="center"/>
    </xf>
    <xf numFmtId="166" fontId="17" fillId="0" borderId="0" xfId="1" applyNumberFormat="1" applyFont="1" applyFill="1"/>
    <xf numFmtId="0" fontId="129" fillId="0" borderId="0" xfId="0" applyFont="1"/>
    <xf numFmtId="166" fontId="17" fillId="0" borderId="3" xfId="223" applyNumberFormat="1" applyFont="1" applyBorder="1"/>
    <xf numFmtId="166" fontId="17" fillId="0" borderId="0" xfId="223" applyNumberFormat="1" applyFont="1"/>
    <xf numFmtId="43" fontId="44" fillId="0" borderId="0" xfId="1" applyFont="1"/>
    <xf numFmtId="186" fontId="44" fillId="0" borderId="0" xfId="223" applyNumberFormat="1" applyFont="1"/>
    <xf numFmtId="0" fontId="130" fillId="0" borderId="0" xfId="0" applyFont="1"/>
    <xf numFmtId="43" fontId="124" fillId="14" borderId="101" xfId="1" applyFont="1" applyFill="1" applyBorder="1"/>
    <xf numFmtId="0" fontId="124" fillId="14" borderId="0" xfId="0" applyFont="1" applyFill="1" applyAlignment="1">
      <alignment horizontal="left"/>
    </xf>
    <xf numFmtId="43" fontId="124" fillId="14" borderId="0" xfId="1" applyFont="1" applyFill="1" applyBorder="1"/>
    <xf numFmtId="43" fontId="0" fillId="0" borderId="0" xfId="1" applyFont="1"/>
    <xf numFmtId="186" fontId="131" fillId="0" borderId="0" xfId="101" applyNumberFormat="1" applyFont="1"/>
    <xf numFmtId="166" fontId="131" fillId="0" borderId="16" xfId="101" applyNumberFormat="1" applyFont="1" applyBorder="1"/>
    <xf numFmtId="166" fontId="131" fillId="2" borderId="16" xfId="101" applyNumberFormat="1" applyFont="1" applyFill="1" applyBorder="1"/>
    <xf numFmtId="166" fontId="131" fillId="0" borderId="0" xfId="101" applyNumberFormat="1" applyFont="1"/>
    <xf numFmtId="166" fontId="131" fillId="0" borderId="15" xfId="101" applyNumberFormat="1" applyFont="1" applyBorder="1"/>
    <xf numFmtId="186" fontId="131" fillId="0" borderId="0" xfId="101" applyNumberFormat="1" applyFont="1" applyAlignment="1">
      <alignment horizontal="right"/>
    </xf>
    <xf numFmtId="186" fontId="132" fillId="0" borderId="10" xfId="101" applyNumberFormat="1" applyFont="1" applyBorder="1" applyAlignment="1">
      <alignment horizontal="center"/>
    </xf>
    <xf numFmtId="186" fontId="131" fillId="0" borderId="0" xfId="101" applyNumberFormat="1" applyFont="1" applyAlignment="1">
      <alignment horizontal="center"/>
    </xf>
    <xf numFmtId="186" fontId="131" fillId="0" borderId="0" xfId="101" applyNumberFormat="1" applyFont="1" applyAlignment="1">
      <alignment horizontal="centerContinuous"/>
    </xf>
    <xf numFmtId="186" fontId="132" fillId="0" borderId="0" xfId="101" applyNumberFormat="1" applyFont="1" applyAlignment="1">
      <alignment horizontal="centerContinuous"/>
    </xf>
    <xf numFmtId="0" fontId="131" fillId="0" borderId="0" xfId="101" applyFont="1"/>
    <xf numFmtId="0" fontId="133" fillId="0" borderId="0" xfId="101" applyFont="1" applyAlignment="1">
      <alignment vertical="top" wrapText="1"/>
    </xf>
    <xf numFmtId="0" fontId="131" fillId="0" borderId="0" xfId="101" applyFont="1" applyAlignment="1">
      <alignment vertical="top"/>
    </xf>
    <xf numFmtId="188" fontId="131" fillId="0" borderId="0" xfId="101" applyNumberFormat="1" applyFont="1"/>
    <xf numFmtId="0" fontId="131" fillId="0" borderId="0" xfId="101" applyFont="1" applyAlignment="1">
      <alignment horizontal="right"/>
    </xf>
    <xf numFmtId="166" fontId="134" fillId="0" borderId="0" xfId="101" applyNumberFormat="1" applyFont="1"/>
    <xf numFmtId="0" fontId="134" fillId="0" borderId="0" xfId="101" applyFont="1" applyAlignment="1">
      <alignment horizontal="right"/>
    </xf>
    <xf numFmtId="166" fontId="132" fillId="0" borderId="12" xfId="101" applyNumberFormat="1" applyFont="1" applyBorder="1"/>
    <xf numFmtId="3" fontId="132" fillId="2" borderId="12" xfId="101" applyNumberFormat="1" applyFont="1" applyFill="1" applyBorder="1"/>
    <xf numFmtId="3" fontId="132" fillId="0" borderId="12" xfId="101" applyNumberFormat="1" applyFont="1" applyBorder="1"/>
    <xf numFmtId="0" fontId="132" fillId="0" borderId="0" xfId="101" applyFont="1"/>
    <xf numFmtId="178" fontId="131" fillId="0" borderId="0" xfId="101" applyNumberFormat="1" applyFont="1"/>
    <xf numFmtId="169" fontId="135" fillId="0" borderId="0" xfId="101" applyNumberFormat="1" applyFont="1"/>
    <xf numFmtId="3" fontId="131" fillId="0" borderId="0" xfId="101" applyNumberFormat="1" applyFont="1"/>
    <xf numFmtId="166" fontId="131" fillId="0" borderId="10" xfId="101" applyNumberFormat="1" applyFont="1" applyBorder="1"/>
    <xf numFmtId="166" fontId="131" fillId="0" borderId="3" xfId="101" applyNumberFormat="1" applyFont="1" applyBorder="1"/>
    <xf numFmtId="189" fontId="131" fillId="0" borderId="0" xfId="101" applyNumberFormat="1" applyFont="1" applyAlignment="1">
      <alignment horizontal="left"/>
    </xf>
    <xf numFmtId="0" fontId="132" fillId="0" borderId="10" xfId="101" applyFont="1" applyBorder="1" applyAlignment="1">
      <alignment horizontal="center"/>
    </xf>
    <xf numFmtId="0" fontId="132" fillId="0" borderId="0" xfId="101" applyFont="1" applyAlignment="1">
      <alignment horizontal="center"/>
    </xf>
    <xf numFmtId="0" fontId="132" fillId="0" borderId="0" xfId="101" applyFont="1" applyAlignment="1">
      <alignment horizontal="centerContinuous"/>
    </xf>
    <xf numFmtId="0" fontId="136" fillId="0" borderId="0" xfId="101" applyFont="1" applyAlignment="1">
      <alignment horizontal="centerContinuous"/>
    </xf>
    <xf numFmtId="0" fontId="137" fillId="0" borderId="0" xfId="101" applyFont="1" applyAlignment="1">
      <alignment horizontal="centerContinuous"/>
    </xf>
    <xf numFmtId="0" fontId="138" fillId="0" borderId="104" xfId="0" applyFont="1" applyBorder="1" applyAlignment="1">
      <alignment horizontal="left" vertical="top"/>
    </xf>
    <xf numFmtId="0" fontId="139" fillId="0" borderId="104" xfId="0" applyFont="1" applyBorder="1" applyAlignment="1">
      <alignment horizontal="left" vertical="top"/>
    </xf>
    <xf numFmtId="0" fontId="140" fillId="0" borderId="71" xfId="0" applyFont="1" applyBorder="1" applyAlignment="1">
      <alignment horizontal="right" vertical="top"/>
    </xf>
    <xf numFmtId="0" fontId="141" fillId="0" borderId="69" xfId="0" applyFont="1" applyBorder="1" applyAlignment="1">
      <alignment horizontal="right" vertical="top"/>
    </xf>
    <xf numFmtId="0" fontId="141" fillId="0" borderId="105" xfId="0" applyFont="1" applyBorder="1" applyAlignment="1">
      <alignment horizontal="right" vertical="top"/>
    </xf>
    <xf numFmtId="0" fontId="139" fillId="0" borderId="97" xfId="0" applyFont="1" applyBorder="1" applyAlignment="1">
      <alignment horizontal="left" vertical="top" wrapText="1"/>
    </xf>
    <xf numFmtId="0" fontId="139" fillId="0" borderId="46" xfId="0" applyFont="1" applyBorder="1" applyAlignment="1">
      <alignment horizontal="left" vertical="top" wrapText="1"/>
    </xf>
    <xf numFmtId="0" fontId="139" fillId="0" borderId="106" xfId="0" applyFont="1" applyBorder="1" applyAlignment="1">
      <alignment horizontal="left" vertical="top" wrapText="1"/>
    </xf>
    <xf numFmtId="0" fontId="140" fillId="0" borderId="105" xfId="0" applyFont="1" applyBorder="1" applyAlignment="1">
      <alignment horizontal="right" vertical="top"/>
    </xf>
    <xf numFmtId="0" fontId="140" fillId="0" borderId="83" xfId="0" applyFont="1" applyBorder="1" applyAlignment="1">
      <alignment horizontal="right" vertical="top"/>
    </xf>
    <xf numFmtId="0" fontId="141" fillId="0" borderId="66" xfId="0" applyFont="1" applyBorder="1" applyAlignment="1">
      <alignment horizontal="right" vertical="top"/>
    </xf>
    <xf numFmtId="0" fontId="141" fillId="0" borderId="107" xfId="0" applyFont="1" applyBorder="1" applyAlignment="1">
      <alignment horizontal="right" vertical="top"/>
    </xf>
    <xf numFmtId="0" fontId="139" fillId="0" borderId="108" xfId="0" applyFont="1" applyBorder="1" applyAlignment="1">
      <alignment horizontal="left" vertical="top"/>
    </xf>
    <xf numFmtId="0" fontId="139" fillId="0" borderId="108" xfId="0" applyFont="1" applyBorder="1" applyAlignment="1">
      <alignment horizontal="left" vertical="top" wrapText="1"/>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9"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8" fillId="0" borderId="39" xfId="21" applyNumberFormat="1" applyFont="1" applyFill="1" applyBorder="1" applyAlignment="1">
      <alignment horizontal="right" vertical="top"/>
    </xf>
    <xf numFmtId="0" fontId="138" fillId="0" borderId="109" xfId="0" applyFont="1" applyBorder="1" applyAlignment="1">
      <alignment horizontal="left" vertical="top"/>
    </xf>
    <xf numFmtId="0" fontId="138" fillId="0" borderId="110" xfId="0" applyFont="1" applyBorder="1" applyAlignment="1">
      <alignment horizontal="left" vertical="top"/>
    </xf>
    <xf numFmtId="171" fontId="10"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2" fillId="14" borderId="0" xfId="0" applyFont="1" applyFill="1"/>
    <xf numFmtId="3" fontId="0" fillId="0" borderId="17" xfId="0" applyNumberFormat="1" applyBorder="1"/>
    <xf numFmtId="172" fontId="0" fillId="0" borderId="0" xfId="145" applyNumberFormat="1" applyFont="1"/>
    <xf numFmtId="190" fontId="70"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3" fillId="0" borderId="0" xfId="0" applyFont="1" applyAlignment="1">
      <alignment vertical="center"/>
    </xf>
    <xf numFmtId="0" fontId="143" fillId="7" borderId="17" xfId="0" applyFont="1" applyFill="1" applyBorder="1" applyAlignment="1">
      <alignment vertical="center"/>
    </xf>
    <xf numFmtId="0" fontId="138" fillId="0" borderId="104" xfId="0" applyFont="1" applyFill="1" applyBorder="1" applyAlignment="1">
      <alignment horizontal="left" vertical="top"/>
    </xf>
    <xf numFmtId="0" fontId="139" fillId="0" borderId="0" xfId="0" applyFont="1" applyFill="1"/>
    <xf numFmtId="0" fontId="140" fillId="0" borderId="71" xfId="0" applyFont="1" applyFill="1" applyBorder="1" applyAlignment="1">
      <alignment horizontal="right" vertical="top"/>
    </xf>
    <xf numFmtId="0" fontId="140" fillId="0" borderId="105" xfId="0" applyFont="1" applyFill="1" applyBorder="1" applyAlignment="1">
      <alignment horizontal="right" vertical="top"/>
    </xf>
    <xf numFmtId="0" fontId="138" fillId="0" borderId="97" xfId="0" applyFont="1" applyFill="1" applyBorder="1" applyAlignment="1">
      <alignment horizontal="left" vertical="top" wrapText="1"/>
    </xf>
    <xf numFmtId="0" fontId="138" fillId="0" borderId="46" xfId="0" applyFont="1" applyFill="1" applyBorder="1" applyAlignment="1">
      <alignment horizontal="left" vertical="top" wrapText="1"/>
    </xf>
    <xf numFmtId="0" fontId="138" fillId="0" borderId="106" xfId="0" applyFont="1" applyFill="1" applyBorder="1" applyAlignment="1">
      <alignment horizontal="left" vertical="top" wrapText="1"/>
    </xf>
    <xf numFmtId="0" fontId="140" fillId="0" borderId="83" xfId="0" applyFont="1" applyFill="1" applyBorder="1" applyAlignment="1">
      <alignment horizontal="right" vertical="top"/>
    </xf>
    <xf numFmtId="0" fontId="140" fillId="0" borderId="107" xfId="0" applyFont="1" applyFill="1" applyBorder="1" applyAlignment="1">
      <alignment horizontal="right" vertical="top"/>
    </xf>
    <xf numFmtId="0" fontId="138" fillId="0" borderId="108" xfId="0" applyFont="1" applyFill="1" applyBorder="1" applyAlignment="1">
      <alignment horizontal="left" vertical="top"/>
    </xf>
    <xf numFmtId="0" fontId="138" fillId="0" borderId="108" xfId="0" applyFont="1" applyFill="1" applyBorder="1" applyAlignment="1">
      <alignment horizontal="left" vertical="top" wrapText="1"/>
    </xf>
    <xf numFmtId="0" fontId="138" fillId="0" borderId="97" xfId="0" applyFont="1" applyFill="1" applyBorder="1" applyAlignment="1">
      <alignment horizontal="left" vertical="top"/>
    </xf>
    <xf numFmtId="0" fontId="138" fillId="0" borderId="109" xfId="0" applyFont="1" applyFill="1" applyBorder="1" applyAlignment="1">
      <alignment horizontal="left" vertical="top"/>
    </xf>
    <xf numFmtId="0" fontId="138" fillId="0" borderId="110" xfId="0" applyFont="1" applyFill="1" applyBorder="1" applyAlignment="1">
      <alignment horizontal="left" vertical="top"/>
    </xf>
    <xf numFmtId="191" fontId="0" fillId="0" borderId="0" xfId="0" applyNumberFormat="1" applyFill="1"/>
    <xf numFmtId="0" fontId="145" fillId="0" borderId="0" xfId="102" applyFont="1" applyAlignment="1">
      <alignment horizontal="left"/>
    </xf>
    <xf numFmtId="0" fontId="146" fillId="0" borderId="0" xfId="102" applyFont="1"/>
    <xf numFmtId="43" fontId="0" fillId="0" borderId="0" xfId="21" applyFont="1" applyBorder="1"/>
    <xf numFmtId="0" fontId="147" fillId="0" borderId="0" xfId="102" applyFont="1" applyAlignment="1">
      <alignment horizontal="center" vertical="top" wrapText="1"/>
    </xf>
    <xf numFmtId="43" fontId="0" fillId="0" borderId="10" xfId="21" applyFont="1" applyBorder="1"/>
    <xf numFmtId="0" fontId="145" fillId="0" borderId="0" xfId="102" applyFont="1" applyAlignment="1">
      <alignment horizontal="center"/>
    </xf>
    <xf numFmtId="0" fontId="101"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11" fillId="0" borderId="0" xfId="102"/>
    <xf numFmtId="0" fontId="146" fillId="0" borderId="2" xfId="102" applyFont="1" applyBorder="1" applyAlignment="1">
      <alignment horizontal="centerContinuous"/>
    </xf>
    <xf numFmtId="0" fontId="146" fillId="0" borderId="3" xfId="102" applyFont="1" applyBorder="1" applyAlignment="1">
      <alignment horizontal="centerContinuous"/>
    </xf>
    <xf numFmtId="0" fontId="146" fillId="0" borderId="4" xfId="102" applyFont="1" applyBorder="1" applyAlignment="1">
      <alignment horizontal="centerContinuous"/>
    </xf>
    <xf numFmtId="0" fontId="146" fillId="0" borderId="0" xfId="102" applyFont="1" applyAlignment="1">
      <alignment horizontal="center"/>
    </xf>
    <xf numFmtId="0" fontId="146" fillId="0" borderId="13" xfId="102" applyFont="1" applyBorder="1" applyAlignment="1">
      <alignment horizontal="center"/>
    </xf>
    <xf numFmtId="0" fontId="146" fillId="0" borderId="15" xfId="102" applyFont="1" applyBorder="1" applyAlignment="1">
      <alignment horizontal="center"/>
    </xf>
    <xf numFmtId="0" fontId="146" fillId="0" borderId="14" xfId="102" applyFont="1" applyBorder="1" applyAlignment="1">
      <alignment horizontal="center"/>
    </xf>
    <xf numFmtId="0" fontId="146" fillId="0" borderId="0" xfId="102" applyFont="1" applyAlignment="1">
      <alignment horizontal="left"/>
    </xf>
    <xf numFmtId="3" fontId="146" fillId="0" borderId="0" xfId="102" applyNumberFormat="1" applyFont="1"/>
    <xf numFmtId="49" fontId="70" fillId="0" borderId="0" xfId="0" applyNumberFormat="1" applyFont="1"/>
    <xf numFmtId="171" fontId="70" fillId="0" borderId="15" xfId="21" applyNumberFormat="1" applyFont="1" applyBorder="1" applyAlignment="1">
      <alignment horizontal="right"/>
    </xf>
    <xf numFmtId="171" fontId="70" fillId="0" borderId="0" xfId="0" applyNumberFormat="1" applyFont="1"/>
    <xf numFmtId="49" fontId="70" fillId="0" borderId="15" xfId="0" applyNumberFormat="1" applyFont="1" applyBorder="1" applyAlignment="1">
      <alignment horizontal="left"/>
    </xf>
    <xf numFmtId="0" fontId="70" fillId="0" borderId="15" xfId="0" applyFont="1" applyBorder="1"/>
    <xf numFmtId="172" fontId="70" fillId="0" borderId="15" xfId="21" applyNumberFormat="1" applyFont="1" applyBorder="1"/>
    <xf numFmtId="171" fontId="10"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5" fillId="0" borderId="39" xfId="102" applyNumberFormat="1" applyFont="1" applyBorder="1"/>
    <xf numFmtId="171" fontId="70" fillId="0" borderId="51" xfId="21" applyNumberFormat="1" applyFont="1" applyBorder="1"/>
    <xf numFmtId="171" fontId="70" fillId="0" borderId="0" xfId="21" applyNumberFormat="1" applyFont="1" applyBorder="1"/>
    <xf numFmtId="49" fontId="70" fillId="0" borderId="0" xfId="0" applyNumberFormat="1" applyFont="1" applyAlignment="1">
      <alignment horizontal="left"/>
    </xf>
    <xf numFmtId="172" fontId="70" fillId="0" borderId="0" xfId="21" applyNumberFormat="1" applyFont="1" applyBorder="1"/>
    <xf numFmtId="4" fontId="146" fillId="0" borderId="0" xfId="103" applyFont="1"/>
    <xf numFmtId="172" fontId="70" fillId="0" borderId="24" xfId="21" applyNumberFormat="1" applyFont="1" applyBorder="1"/>
    <xf numFmtId="181" fontId="70" fillId="0" borderId="0" xfId="0" applyNumberFormat="1" applyFont="1"/>
    <xf numFmtId="5" fontId="146" fillId="0" borderId="0" xfId="102" applyNumberFormat="1" applyFont="1"/>
    <xf numFmtId="4" fontId="10" fillId="0" borderId="0" xfId="103" applyFont="1" applyFill="1" applyBorder="1" applyAlignment="1">
      <alignment horizontal="centerContinuous"/>
    </xf>
    <xf numFmtId="4" fontId="10" fillId="0" borderId="0" xfId="103" applyFont="1" applyFill="1" applyAlignment="1">
      <alignment horizontal="centerContinuous"/>
    </xf>
    <xf numFmtId="4" fontId="10" fillId="0" borderId="0" xfId="103" applyFont="1" applyFill="1" applyAlignment="1">
      <alignment horizontal="center"/>
    </xf>
    <xf numFmtId="170" fontId="10" fillId="0" borderId="0" xfId="104" applyNumberFormat="1" applyFont="1" applyFill="1" applyAlignment="1">
      <alignment horizontal="centerContinuous"/>
    </xf>
    <xf numFmtId="0" fontId="11" fillId="0" borderId="0" xfId="29"/>
    <xf numFmtId="0" fontId="10" fillId="0" borderId="0" xfId="29" applyFont="1" applyAlignment="1">
      <alignment horizontal="center"/>
    </xf>
    <xf numFmtId="0" fontId="10" fillId="0" borderId="0" xfId="29" applyFont="1"/>
    <xf numFmtId="4" fontId="10" fillId="0" borderId="0" xfId="29" applyNumberFormat="1" applyFont="1" applyAlignment="1">
      <alignment horizontal="centerContinuous"/>
    </xf>
    <xf numFmtId="170" fontId="10" fillId="0" borderId="0" xfId="29" applyNumberFormat="1" applyFont="1"/>
    <xf numFmtId="0" fontId="10" fillId="0" borderId="0" xfId="29" applyFont="1" applyAlignment="1">
      <alignment horizontal="centerContinuous"/>
    </xf>
    <xf numFmtId="37" fontId="10" fillId="0" borderId="0" xfId="29" applyNumberFormat="1" applyFont="1"/>
    <xf numFmtId="37" fontId="70" fillId="0" borderId="41" xfId="29" applyNumberFormat="1" applyFont="1" applyBorder="1"/>
    <xf numFmtId="0" fontId="70" fillId="0" borderId="0" xfId="29" applyFont="1" applyAlignment="1">
      <alignment horizontal="centerContinuous"/>
    </xf>
    <xf numFmtId="37" fontId="70" fillId="0" borderId="0" xfId="29" applyNumberFormat="1" applyFont="1"/>
    <xf numFmtId="37" fontId="10" fillId="0" borderId="10" xfId="29" applyNumberFormat="1" applyFont="1" applyBorder="1"/>
    <xf numFmtId="37" fontId="10" fillId="0" borderId="3" xfId="29" applyNumberFormat="1" applyFont="1" applyBorder="1"/>
    <xf numFmtId="37" fontId="148" fillId="0" borderId="0" xfId="29" applyNumberFormat="1" applyFont="1"/>
    <xf numFmtId="0" fontId="84" fillId="0" borderId="0" xfId="29" applyFont="1" applyAlignment="1">
      <alignment horizontal="center"/>
    </xf>
    <xf numFmtId="0" fontId="84"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7" fillId="8" borderId="16" xfId="0" applyNumberFormat="1" applyFont="1" applyFill="1" applyBorder="1"/>
    <xf numFmtId="0" fontId="87" fillId="8" borderId="16" xfId="0" applyFont="1" applyFill="1" applyBorder="1"/>
    <xf numFmtId="192" fontId="87" fillId="8" borderId="111" xfId="0" applyNumberFormat="1" applyFont="1" applyFill="1" applyBorder="1" applyAlignment="1">
      <alignment horizontal="left"/>
    </xf>
    <xf numFmtId="166" fontId="87" fillId="8" borderId="14" xfId="0" applyNumberFormat="1" applyFont="1" applyFill="1" applyBorder="1"/>
    <xf numFmtId="166" fontId="87" fillId="8" borderId="41" xfId="0" applyNumberFormat="1" applyFont="1" applyFill="1" applyBorder="1"/>
    <xf numFmtId="166" fontId="87" fillId="8" borderId="15" xfId="0" applyNumberFormat="1" applyFont="1" applyFill="1" applyBorder="1"/>
    <xf numFmtId="0" fontId="87" fillId="8" borderId="15" xfId="0" applyFont="1" applyFill="1" applyBorder="1"/>
    <xf numFmtId="192" fontId="87" fillId="8" borderId="13" xfId="0" applyNumberFormat="1" applyFont="1" applyFill="1" applyBorder="1" applyAlignment="1">
      <alignment horizontal="left"/>
    </xf>
    <xf numFmtId="166" fontId="87" fillId="0" borderId="0" xfId="0" applyNumberFormat="1" applyFont="1"/>
    <xf numFmtId="192" fontId="87" fillId="0" borderId="0" xfId="0" applyNumberFormat="1" applyFont="1" applyAlignment="1">
      <alignment horizontal="left"/>
    </xf>
    <xf numFmtId="0" fontId="87" fillId="0" borderId="10" xfId="0" applyFont="1" applyBorder="1" applyAlignment="1">
      <alignment horizontal="center"/>
    </xf>
    <xf numFmtId="166" fontId="0" fillId="0" borderId="0" xfId="0" applyNumberFormat="1" applyAlignment="1">
      <alignment horizontal="right"/>
    </xf>
    <xf numFmtId="166" fontId="87" fillId="8" borderId="15" xfId="0" applyNumberFormat="1" applyFont="1" applyFill="1" applyBorder="1" applyAlignment="1">
      <alignment horizontal="center"/>
    </xf>
    <xf numFmtId="166" fontId="87"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11" fillId="0" borderId="0" xfId="0" applyNumberFormat="1" applyFont="1"/>
    <xf numFmtId="166" fontId="89"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9" fillId="0" borderId="0" xfId="30" applyNumberFormat="1" applyFont="1"/>
    <xf numFmtId="0" fontId="149" fillId="0" borderId="0" xfId="0" applyFont="1"/>
    <xf numFmtId="39" fontId="149" fillId="0" borderId="0" xfId="30" applyNumberFormat="1" applyFont="1" applyFill="1" applyBorder="1" applyAlignment="1">
      <alignment horizontal="right"/>
    </xf>
    <xf numFmtId="5" fontId="149" fillId="0" borderId="0" xfId="0" applyNumberFormat="1" applyFont="1"/>
    <xf numFmtId="39" fontId="149" fillId="0" borderId="0" xfId="30" applyNumberFormat="1" applyFont="1" applyBorder="1"/>
    <xf numFmtId="3" fontId="149" fillId="0" borderId="0" xfId="0" applyNumberFormat="1" applyFont="1"/>
    <xf numFmtId="193" fontId="0" fillId="0" borderId="14" xfId="0" applyNumberFormat="1" applyBorder="1" applyAlignment="1">
      <alignment horizontal="right"/>
    </xf>
    <xf numFmtId="5" fontId="11" fillId="0" borderId="15" xfId="0" applyNumberFormat="1" applyFont="1" applyBorder="1"/>
    <xf numFmtId="0" fontId="0" fillId="0" borderId="13" xfId="0" applyBorder="1"/>
    <xf numFmtId="39" fontId="149" fillId="0" borderId="0" xfId="30" applyNumberFormat="1" applyFont="1" applyBorder="1" applyAlignment="1">
      <alignment horizontal="right"/>
    </xf>
    <xf numFmtId="170" fontId="149" fillId="0" borderId="0" xfId="0" applyNumberFormat="1" applyFont="1"/>
    <xf numFmtId="5" fontId="0" fillId="0" borderId="0" xfId="0" applyNumberFormat="1"/>
    <xf numFmtId="0" fontId="150" fillId="0" borderId="0" xfId="0" applyFont="1"/>
    <xf numFmtId="0" fontId="150" fillId="0" borderId="0" xfId="0" applyFont="1" applyAlignment="1">
      <alignment wrapText="1"/>
    </xf>
    <xf numFmtId="5" fontId="89" fillId="0" borderId="0" xfId="0" applyNumberFormat="1" applyFont="1"/>
    <xf numFmtId="0" fontId="151" fillId="0" borderId="0" xfId="0" applyFont="1"/>
    <xf numFmtId="170" fontId="89" fillId="0" borderId="0" xfId="0" applyNumberFormat="1" applyFont="1"/>
    <xf numFmtId="14" fontId="0" fillId="0" borderId="0" xfId="0" applyNumberFormat="1" applyAlignment="1">
      <alignment horizontal="centerContinuous"/>
    </xf>
    <xf numFmtId="0" fontId="87" fillId="0" borderId="0" xfId="0" applyFont="1" applyAlignment="1">
      <alignment horizontal="center"/>
    </xf>
    <xf numFmtId="171" fontId="119" fillId="0" borderId="0" xfId="1" applyNumberFormat="1" applyFont="1" applyFill="1"/>
    <xf numFmtId="0" fontId="12" fillId="0" borderId="0" xfId="224" applyFont="1"/>
    <xf numFmtId="0" fontId="115" fillId="0" borderId="0" xfId="224" applyFont="1" applyAlignment="1">
      <alignment horizontal="right"/>
    </xf>
    <xf numFmtId="171" fontId="10" fillId="0" borderId="0" xfId="1" applyNumberFormat="1" applyFont="1" applyFill="1"/>
    <xf numFmtId="0" fontId="14" fillId="0" borderId="10" xfId="224" applyFont="1" applyBorder="1" applyAlignment="1">
      <alignment horizontal="center"/>
    </xf>
    <xf numFmtId="0" fontId="58" fillId="0" borderId="10" xfId="224" applyFont="1" applyBorder="1" applyAlignment="1">
      <alignment horizontal="right"/>
    </xf>
    <xf numFmtId="43" fontId="58" fillId="0" borderId="0" xfId="1" applyFont="1" applyFill="1" applyBorder="1" applyAlignment="1" applyProtection="1">
      <alignment horizontal="right"/>
    </xf>
    <xf numFmtId="171" fontId="18" fillId="0" borderId="10" xfId="1" applyNumberFormat="1" applyFont="1" applyFill="1" applyBorder="1"/>
    <xf numFmtId="0" fontId="78" fillId="0" borderId="0" xfId="0" applyFont="1"/>
    <xf numFmtId="0" fontId="58" fillId="0" borderId="0" xfId="224" applyFont="1" applyAlignment="1">
      <alignment horizontal="right"/>
    </xf>
    <xf numFmtId="172" fontId="117" fillId="0" borderId="0" xfId="2" applyNumberFormat="1" applyFont="1" applyFill="1"/>
    <xf numFmtId="172" fontId="115" fillId="0" borderId="0" xfId="2" applyNumberFormat="1" applyFont="1" applyFill="1" applyAlignment="1">
      <alignment horizontal="right"/>
    </xf>
    <xf numFmtId="5" fontId="12" fillId="0" borderId="0" xfId="224" applyNumberFormat="1" applyFont="1"/>
    <xf numFmtId="5" fontId="115" fillId="0" borderId="0" xfId="224" applyNumberFormat="1" applyFont="1" applyAlignment="1">
      <alignment horizontal="right"/>
    </xf>
    <xf numFmtId="43" fontId="17" fillId="0" borderId="0" xfId="1" applyFont="1" applyFill="1" applyBorder="1" applyAlignment="1" applyProtection="1"/>
    <xf numFmtId="171" fontId="18" fillId="0" borderId="0" xfId="1" applyNumberFormat="1" applyFont="1" applyFill="1" applyBorder="1" applyAlignment="1" applyProtection="1"/>
    <xf numFmtId="4" fontId="12" fillId="0" borderId="0" xfId="224" applyNumberFormat="1" applyFont="1"/>
    <xf numFmtId="4" fontId="115" fillId="0" borderId="0" xfId="224" applyNumberFormat="1" applyFont="1" applyAlignment="1">
      <alignment horizontal="right"/>
    </xf>
    <xf numFmtId="170" fontId="12" fillId="0" borderId="0" xfId="224" applyNumberFormat="1" applyFont="1"/>
    <xf numFmtId="170" fontId="115" fillId="0" borderId="0" xfId="224" applyNumberFormat="1" applyFont="1" applyAlignment="1">
      <alignment horizontal="right"/>
    </xf>
    <xf numFmtId="170" fontId="117" fillId="0" borderId="0" xfId="224" applyNumberFormat="1" applyFont="1"/>
    <xf numFmtId="43" fontId="17" fillId="0" borderId="0" xfId="0" applyNumberFormat="1" applyFont="1"/>
    <xf numFmtId="4" fontId="152" fillId="0" borderId="0" xfId="224" applyNumberFormat="1" applyFont="1"/>
    <xf numFmtId="0" fontId="152" fillId="0" borderId="0" xfId="224" applyFont="1"/>
    <xf numFmtId="37" fontId="114" fillId="0" borderId="0" xfId="0" applyNumberFormat="1" applyFont="1"/>
    <xf numFmtId="7" fontId="114" fillId="0" borderId="0" xfId="0" applyNumberFormat="1" applyFont="1"/>
    <xf numFmtId="7" fontId="17" fillId="0" borderId="0" xfId="0" applyNumberFormat="1" applyFont="1"/>
    <xf numFmtId="5" fontId="114" fillId="0" borderId="0" xfId="0" applyNumberFormat="1" applyFont="1"/>
    <xf numFmtId="5" fontId="12" fillId="0" borderId="12" xfId="224" applyNumberFormat="1" applyFont="1" applyBorder="1"/>
    <xf numFmtId="172" fontId="18" fillId="0" borderId="0" xfId="2" applyNumberFormat="1" applyFont="1" applyFill="1"/>
    <xf numFmtId="0" fontId="17" fillId="0" borderId="112" xfId="0" applyFont="1" applyBorder="1"/>
    <xf numFmtId="171" fontId="10" fillId="2" borderId="51" xfId="1" applyNumberFormat="1" applyFont="1" applyFill="1" applyBorder="1"/>
    <xf numFmtId="172" fontId="18" fillId="0" borderId="0" xfId="0" applyNumberFormat="1" applyFont="1"/>
    <xf numFmtId="172" fontId="153" fillId="0" borderId="0" xfId="0" applyNumberFormat="1" applyFont="1"/>
    <xf numFmtId="172" fontId="18" fillId="0" borderId="51" xfId="0" applyNumberFormat="1" applyFont="1" applyBorder="1"/>
    <xf numFmtId="194" fontId="154" fillId="0" borderId="0" xfId="0" applyNumberFormat="1" applyFont="1" applyAlignment="1">
      <alignment horizontal="left"/>
    </xf>
    <xf numFmtId="4" fontId="35" fillId="0" borderId="0" xfId="0" applyNumberFormat="1" applyFont="1"/>
    <xf numFmtId="7" fontId="35" fillId="0" borderId="0" xfId="0" applyNumberFormat="1" applyFont="1"/>
    <xf numFmtId="4" fontId="44" fillId="0" borderId="0" xfId="0" applyNumberFormat="1" applyFont="1"/>
    <xf numFmtId="3" fontId="44" fillId="0" borderId="0" xfId="0" applyNumberFormat="1" applyFont="1"/>
    <xf numFmtId="7" fontId="44" fillId="0" borderId="0" xfId="0" applyNumberFormat="1" applyFont="1"/>
    <xf numFmtId="194" fontId="35" fillId="0" borderId="0" xfId="0" applyNumberFormat="1" applyFont="1" applyAlignment="1">
      <alignment horizontal="left"/>
    </xf>
    <xf numFmtId="0" fontId="30" fillId="0" borderId="0" xfId="17" applyFont="1"/>
    <xf numFmtId="171" fontId="70" fillId="0" borderId="0" xfId="1" applyNumberFormat="1" applyFont="1"/>
    <xf numFmtId="43" fontId="0" fillId="0" borderId="0" xfId="66" applyFont="1"/>
    <xf numFmtId="195" fontId="155" fillId="0" borderId="0" xfId="0" applyNumberFormat="1" applyFont="1" applyAlignment="1">
      <alignment horizontal="left"/>
    </xf>
    <xf numFmtId="39" fontId="156" fillId="0" borderId="0" xfId="0" applyNumberFormat="1" applyFont="1" applyAlignment="1">
      <alignment horizontal="left"/>
    </xf>
    <xf numFmtId="178" fontId="157" fillId="0" borderId="0" xfId="0" applyNumberFormat="1" applyFont="1" applyAlignment="1">
      <alignment horizontal="left"/>
    </xf>
    <xf numFmtId="39" fontId="157" fillId="0" borderId="0" xfId="0" applyNumberFormat="1" applyFont="1"/>
    <xf numFmtId="1" fontId="158" fillId="0" borderId="0" xfId="0" applyNumberFormat="1" applyFont="1" applyAlignment="1">
      <alignment horizontal="left"/>
    </xf>
    <xf numFmtId="178" fontId="159" fillId="0" borderId="0" xfId="0" applyNumberFormat="1" applyFont="1" applyAlignment="1">
      <alignment horizontal="left"/>
    </xf>
    <xf numFmtId="196" fontId="159" fillId="0" borderId="0" xfId="0" applyNumberFormat="1" applyFont="1" applyAlignment="1">
      <alignment horizontal="right"/>
    </xf>
    <xf numFmtId="0" fontId="115" fillId="0" borderId="0" xfId="17" applyFont="1" applyAlignment="1">
      <alignment horizontal="right"/>
    </xf>
    <xf numFmtId="171" fontId="70" fillId="0" borderId="0" xfId="1" applyNumberFormat="1" applyFont="1" applyBorder="1"/>
    <xf numFmtId="1" fontId="159" fillId="0" borderId="0" xfId="0" applyNumberFormat="1" applyFont="1" applyAlignment="1">
      <alignment horizontal="left"/>
    </xf>
    <xf numFmtId="0" fontId="159" fillId="0" borderId="0" xfId="0" applyFont="1" applyAlignment="1">
      <alignment horizontal="left"/>
    </xf>
    <xf numFmtId="0" fontId="0" fillId="0" borderId="113" xfId="0" applyBorder="1"/>
    <xf numFmtId="171" fontId="107" fillId="0" borderId="113" xfId="1" applyNumberFormat="1" applyFont="1" applyBorder="1"/>
    <xf numFmtId="0" fontId="10" fillId="0" borderId="0" xfId="47"/>
    <xf numFmtId="171" fontId="160" fillId="0" borderId="0" xfId="1" applyNumberFormat="1" applyFont="1" applyBorder="1"/>
    <xf numFmtId="1" fontId="161" fillId="0" borderId="0" xfId="0" applyNumberFormat="1" applyFont="1" applyAlignment="1">
      <alignment horizontal="left"/>
    </xf>
    <xf numFmtId="171" fontId="107" fillId="0" borderId="15" xfId="1" applyNumberFormat="1" applyFont="1" applyBorder="1"/>
    <xf numFmtId="171" fontId="0" fillId="0" borderId="15" xfId="1" applyNumberFormat="1" applyFont="1" applyBorder="1"/>
    <xf numFmtId="39" fontId="157" fillId="0" borderId="0" xfId="0" applyNumberFormat="1" applyFont="1" applyAlignment="1">
      <alignment horizontal="left"/>
    </xf>
    <xf numFmtId="37" fontId="157" fillId="0" borderId="0" xfId="0" applyNumberFormat="1" applyFont="1"/>
    <xf numFmtId="39" fontId="157" fillId="0" borderId="0" xfId="0" applyNumberFormat="1" applyFont="1" applyAlignment="1">
      <alignment horizontal="right"/>
    </xf>
    <xf numFmtId="4" fontId="17" fillId="0" borderId="0" xfId="17" applyNumberFormat="1" applyFont="1"/>
    <xf numFmtId="171" fontId="107" fillId="0" borderId="0" xfId="1" applyNumberFormat="1" applyFont="1"/>
    <xf numFmtId="196" fontId="162" fillId="0" borderId="0" xfId="17" applyNumberFormat="1" applyFont="1" applyAlignment="1">
      <alignment horizontal="center"/>
    </xf>
    <xf numFmtId="17" fontId="115" fillId="0" borderId="0" xfId="17" applyNumberFormat="1" applyFont="1" applyAlignment="1">
      <alignment horizontal="right"/>
    </xf>
    <xf numFmtId="166" fontId="23" fillId="0" borderId="0" xfId="17" applyNumberFormat="1" applyFont="1"/>
    <xf numFmtId="171" fontId="107" fillId="0" borderId="113" xfId="1" applyNumberFormat="1" applyFont="1" applyFill="1" applyBorder="1"/>
    <xf numFmtId="37" fontId="157" fillId="0" borderId="10" xfId="0" applyNumberFormat="1" applyFont="1" applyBorder="1" applyAlignment="1">
      <alignment horizontal="right"/>
    </xf>
    <xf numFmtId="186" fontId="17" fillId="0" borderId="0" xfId="17" applyNumberFormat="1" applyFont="1"/>
    <xf numFmtId="178" fontId="157" fillId="0" borderId="0" xfId="0" applyNumberFormat="1" applyFont="1"/>
    <xf numFmtId="39" fontId="157" fillId="0" borderId="3" xfId="0" applyNumberFormat="1" applyFont="1" applyBorder="1" applyAlignment="1">
      <alignment horizontal="left"/>
    </xf>
    <xf numFmtId="39" fontId="157" fillId="0" borderId="3" xfId="0" applyNumberFormat="1" applyFont="1" applyBorder="1" applyAlignment="1">
      <alignment horizontal="right"/>
    </xf>
    <xf numFmtId="39" fontId="163" fillId="0" borderId="3" xfId="0" applyNumberFormat="1" applyFont="1" applyBorder="1" applyAlignment="1">
      <alignment horizontal="right"/>
    </xf>
    <xf numFmtId="43" fontId="164" fillId="0" borderId="0" xfId="66" applyFont="1" applyFill="1" applyAlignment="1">
      <alignment horizontal="left"/>
    </xf>
    <xf numFmtId="171" fontId="107" fillId="2" borderId="113" xfId="1" applyNumberFormat="1" applyFont="1" applyFill="1" applyBorder="1"/>
    <xf numFmtId="0" fontId="164"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5" fillId="0" borderId="0" xfId="0" applyNumberFormat="1" applyFont="1" applyAlignment="1">
      <alignment horizontal="left"/>
    </xf>
    <xf numFmtId="169" fontId="165" fillId="0" borderId="0" xfId="0" applyNumberFormat="1" applyFont="1" applyAlignment="1">
      <alignment horizontal="left"/>
    </xf>
    <xf numFmtId="39" fontId="165" fillId="0" borderId="0" xfId="0" applyNumberFormat="1" applyFont="1"/>
    <xf numFmtId="43" fontId="164" fillId="0" borderId="0" xfId="66" applyFont="1" applyAlignment="1">
      <alignment horizontal="left"/>
    </xf>
    <xf numFmtId="43" fontId="0" fillId="0" borderId="3" xfId="66" applyFont="1" applyBorder="1"/>
    <xf numFmtId="178" fontId="166" fillId="0" borderId="0" xfId="225" applyNumberFormat="1" applyFont="1" applyAlignment="1">
      <alignment horizontal="right"/>
    </xf>
    <xf numFmtId="39" fontId="162" fillId="2" borderId="0" xfId="0" applyNumberFormat="1" applyFont="1" applyFill="1"/>
    <xf numFmtId="39" fontId="157" fillId="8" borderId="0" xfId="0" applyNumberFormat="1" applyFont="1" applyFill="1"/>
    <xf numFmtId="39" fontId="162" fillId="0" borderId="0" xfId="0" applyNumberFormat="1" applyFont="1"/>
    <xf numFmtId="171" fontId="160" fillId="0" borderId="0" xfId="1" applyNumberFormat="1" applyFont="1"/>
    <xf numFmtId="0" fontId="164" fillId="0" borderId="0" xfId="17" quotePrefix="1" applyFont="1" applyAlignment="1">
      <alignment horizontal="center"/>
    </xf>
    <xf numFmtId="43" fontId="164" fillId="2" borderId="0" xfId="66" applyFont="1" applyFill="1" applyAlignment="1">
      <alignment horizontal="center"/>
    </xf>
    <xf numFmtId="39" fontId="165" fillId="0" borderId="16" xfId="0" applyNumberFormat="1" applyFont="1" applyBorder="1" applyAlignment="1">
      <alignment horizontal="right"/>
    </xf>
    <xf numFmtId="171" fontId="70" fillId="0" borderId="15" xfId="1" applyNumberFormat="1" applyFont="1" applyBorder="1"/>
    <xf numFmtId="178" fontId="166" fillId="0" borderId="0" xfId="225" applyNumberFormat="1" applyFont="1" applyAlignment="1">
      <alignment horizontal="center"/>
    </xf>
    <xf numFmtId="39" fontId="163" fillId="0" borderId="0" xfId="0" applyNumberFormat="1" applyFont="1" applyAlignment="1">
      <alignment horizontal="right"/>
    </xf>
    <xf numFmtId="171" fontId="0" fillId="0" borderId="16" xfId="1" applyNumberFormat="1" applyFont="1" applyBorder="1"/>
    <xf numFmtId="166" fontId="17" fillId="0" borderId="3" xfId="17" applyNumberFormat="1" applyFont="1" applyBorder="1"/>
    <xf numFmtId="186" fontId="115" fillId="0" borderId="3" xfId="17" applyNumberFormat="1" applyFont="1" applyBorder="1" applyAlignment="1">
      <alignment horizontal="right"/>
    </xf>
    <xf numFmtId="39" fontId="157" fillId="0" borderId="10" xfId="0" applyNumberFormat="1" applyFont="1" applyBorder="1" applyAlignment="1">
      <alignment horizontal="right"/>
    </xf>
    <xf numFmtId="166" fontId="17" fillId="0" borderId="0" xfId="17" applyNumberFormat="1" applyFont="1"/>
    <xf numFmtId="7" fontId="115" fillId="0" borderId="0" xfId="17" applyNumberFormat="1" applyFont="1" applyAlignment="1">
      <alignment horizontal="right"/>
    </xf>
    <xf numFmtId="43" fontId="17" fillId="0" borderId="0" xfId="66" applyFont="1"/>
    <xf numFmtId="178" fontId="165" fillId="0" borderId="0" xfId="0" applyNumberFormat="1" applyFont="1" applyAlignment="1">
      <alignment horizontal="left"/>
    </xf>
    <xf numFmtId="166" fontId="17" fillId="0" borderId="51" xfId="17" applyNumberFormat="1" applyFont="1" applyBorder="1"/>
    <xf numFmtId="7" fontId="17" fillId="0" borderId="0" xfId="17" applyNumberFormat="1" applyFont="1"/>
    <xf numFmtId="39" fontId="157" fillId="8" borderId="10" xfId="0" applyNumberFormat="1" applyFont="1" applyFill="1" applyBorder="1" applyAlignment="1">
      <alignment horizontal="right"/>
    </xf>
    <xf numFmtId="39" fontId="163" fillId="8" borderId="0" xfId="0" applyNumberFormat="1" applyFont="1" applyFill="1" applyAlignment="1">
      <alignment horizontal="right"/>
    </xf>
    <xf numFmtId="39" fontId="157" fillId="8" borderId="0" xfId="0" applyNumberFormat="1" applyFont="1" applyFill="1" applyAlignment="1">
      <alignment horizontal="right"/>
    </xf>
    <xf numFmtId="43" fontId="17" fillId="0" borderId="0" xfId="17" applyNumberFormat="1" applyFont="1"/>
    <xf numFmtId="171" fontId="70" fillId="2" borderId="15" xfId="1" applyNumberFormat="1" applyFont="1" applyFill="1" applyBorder="1"/>
    <xf numFmtId="5" fontId="115" fillId="0" borderId="0" xfId="17" applyNumberFormat="1" applyFont="1" applyAlignment="1">
      <alignment horizontal="right"/>
    </xf>
    <xf numFmtId="37" fontId="23" fillId="0" borderId="0" xfId="17" applyNumberFormat="1" applyFont="1"/>
    <xf numFmtId="171" fontId="70" fillId="0" borderId="16" xfId="1" applyNumberFormat="1" applyFont="1" applyBorder="1"/>
    <xf numFmtId="0" fontId="140" fillId="0" borderId="0" xfId="0" applyFont="1" applyAlignment="1">
      <alignment horizontal="right" vertical="top"/>
    </xf>
    <xf numFmtId="0" fontId="101" fillId="0" borderId="0" xfId="0" applyFont="1" applyAlignment="1">
      <alignment horizontal="right" vertical="top"/>
    </xf>
    <xf numFmtId="5" fontId="23" fillId="0" borderId="51" xfId="17" applyNumberFormat="1" applyFont="1" applyBorder="1"/>
    <xf numFmtId="5" fontId="23" fillId="0" borderId="0" xfId="17" applyNumberFormat="1" applyFont="1"/>
    <xf numFmtId="0" fontId="93" fillId="0" borderId="0" xfId="0" applyFont="1" applyAlignment="1">
      <alignment horizontal="left" vertical="top" wrapText="1"/>
    </xf>
    <xf numFmtId="0" fontId="93" fillId="0" borderId="0" xfId="0" applyFont="1" applyAlignment="1">
      <alignment horizontal="left" vertical="top"/>
    </xf>
    <xf numFmtId="0" fontId="101" fillId="0" borderId="0" xfId="0" applyFont="1" applyAlignment="1">
      <alignment horizontal="left" vertical="top"/>
    </xf>
    <xf numFmtId="37" fontId="17" fillId="0" borderId="0" xfId="17" applyNumberFormat="1" applyFont="1"/>
    <xf numFmtId="37" fontId="115" fillId="0" borderId="0" xfId="17" applyNumberFormat="1" applyFont="1" applyAlignment="1">
      <alignment horizontal="right"/>
    </xf>
    <xf numFmtId="5" fontId="17" fillId="0" borderId="0" xfId="17" applyNumberFormat="1" applyFont="1"/>
    <xf numFmtId="171" fontId="101" fillId="0" borderId="0" xfId="1" applyNumberFormat="1" applyFont="1" applyFill="1" applyBorder="1" applyAlignment="1">
      <alignment horizontal="right" vertical="top"/>
    </xf>
    <xf numFmtId="171" fontId="18" fillId="2" borderId="41" xfId="1" applyNumberFormat="1" applyFont="1" applyFill="1" applyBorder="1" applyAlignment="1">
      <alignment horizontal="right"/>
    </xf>
    <xf numFmtId="171" fontId="58" fillId="0" borderId="0" xfId="1" applyNumberFormat="1" applyFont="1" applyFill="1" applyBorder="1" applyAlignment="1">
      <alignment horizontal="right"/>
    </xf>
    <xf numFmtId="0" fontId="101" fillId="2" borderId="0" xfId="0" applyFont="1" applyFill="1" applyAlignment="1">
      <alignment horizontal="left" vertical="top"/>
    </xf>
    <xf numFmtId="171" fontId="101" fillId="2" borderId="0" xfId="1" applyNumberFormat="1" applyFont="1" applyFill="1" applyBorder="1" applyAlignment="1">
      <alignment horizontal="right" vertical="top"/>
    </xf>
    <xf numFmtId="171" fontId="18" fillId="0" borderId="0" xfId="1" applyNumberFormat="1" applyFont="1" applyBorder="1" applyAlignment="1">
      <alignment horizontal="right"/>
    </xf>
    <xf numFmtId="171" fontId="115" fillId="0" borderId="0" xfId="1" applyNumberFormat="1" applyFont="1" applyFill="1" applyBorder="1" applyAlignment="1">
      <alignment horizontal="right"/>
    </xf>
    <xf numFmtId="5" fontId="17" fillId="0" borderId="0" xfId="66" applyNumberFormat="1" applyFont="1" applyFill="1"/>
    <xf numFmtId="43" fontId="115" fillId="0" borderId="0" xfId="66" applyFont="1" applyFill="1" applyAlignment="1">
      <alignment horizontal="right"/>
    </xf>
    <xf numFmtId="0" fontId="93" fillId="0" borderId="0" xfId="0" applyFont="1" applyAlignment="1">
      <alignment horizontal="center" vertical="center"/>
    </xf>
    <xf numFmtId="171" fontId="101" fillId="0" borderId="15" xfId="1" applyNumberFormat="1" applyFont="1" applyFill="1" applyBorder="1" applyAlignment="1">
      <alignment horizontal="right" vertical="center"/>
    </xf>
    <xf numFmtId="171" fontId="93" fillId="0" borderId="15" xfId="1" applyNumberFormat="1" applyFont="1" applyFill="1" applyBorder="1" applyAlignment="1">
      <alignment horizontal="right" vertical="center"/>
    </xf>
    <xf numFmtId="43" fontId="17" fillId="0" borderId="0" xfId="66" applyFont="1" applyFill="1"/>
    <xf numFmtId="171" fontId="101" fillId="0" borderId="0" xfId="1" applyNumberFormat="1" applyFont="1" applyFill="1" applyBorder="1" applyAlignment="1">
      <alignment horizontal="right" vertical="center"/>
    </xf>
    <xf numFmtId="171" fontId="93" fillId="0" borderId="0" xfId="1" applyNumberFormat="1" applyFont="1" applyFill="1" applyBorder="1" applyAlignment="1">
      <alignment horizontal="right" vertical="center"/>
    </xf>
    <xf numFmtId="7" fontId="17" fillId="0" borderId="0" xfId="66" applyNumberFormat="1" applyFont="1" applyFill="1"/>
    <xf numFmtId="0" fontId="17" fillId="0" borderId="0" xfId="17" quotePrefix="1" applyFont="1"/>
    <xf numFmtId="0" fontId="17" fillId="0" borderId="0" xfId="17" applyFont="1" applyAlignment="1">
      <alignment horizontal="right"/>
    </xf>
    <xf numFmtId="171" fontId="23" fillId="0" borderId="0" xfId="1" applyNumberFormat="1" applyFont="1" applyFill="1" applyBorder="1"/>
    <xf numFmtId="0" fontId="93" fillId="0" borderId="0" xfId="0" applyFont="1" applyAlignment="1">
      <alignment horizontal="center" vertical="top"/>
    </xf>
    <xf numFmtId="171" fontId="101" fillId="0" borderId="16" xfId="1" applyNumberFormat="1" applyFont="1" applyFill="1" applyBorder="1" applyAlignment="1">
      <alignment horizontal="right" vertical="top"/>
    </xf>
    <xf numFmtId="171" fontId="93" fillId="0" borderId="16" xfId="1" applyNumberFormat="1" applyFont="1" applyFill="1" applyBorder="1" applyAlignment="1">
      <alignment horizontal="right" vertical="top"/>
    </xf>
    <xf numFmtId="43" fontId="0" fillId="0" borderId="0" xfId="66" applyFont="1" applyBorder="1"/>
    <xf numFmtId="186" fontId="17" fillId="0" borderId="3" xfId="17" applyNumberFormat="1" applyFont="1" applyBorder="1"/>
    <xf numFmtId="37" fontId="10" fillId="0" borderId="0" xfId="17" applyNumberFormat="1"/>
    <xf numFmtId="0" fontId="10" fillId="0" borderId="0" xfId="17" applyAlignment="1">
      <alignment horizontal="center"/>
    </xf>
    <xf numFmtId="0" fontId="167" fillId="0" borderId="0" xfId="0" applyFont="1"/>
    <xf numFmtId="0" fontId="10" fillId="0" borderId="0" xfId="17" applyAlignment="1">
      <alignment horizontal="left"/>
    </xf>
    <xf numFmtId="49" fontId="131" fillId="0" borderId="0" xfId="17" applyNumberFormat="1" applyFont="1"/>
    <xf numFmtId="0" fontId="131" fillId="0" borderId="0" xfId="17" applyFont="1"/>
    <xf numFmtId="0" fontId="131" fillId="0" borderId="0" xfId="17" applyFont="1" applyAlignment="1">
      <alignment horizontal="left"/>
    </xf>
    <xf numFmtId="49" fontId="131" fillId="0" borderId="10" xfId="17" applyNumberFormat="1" applyFont="1" applyBorder="1"/>
    <xf numFmtId="0" fontId="131" fillId="0" borderId="10" xfId="17" applyFont="1" applyBorder="1"/>
    <xf numFmtId="0" fontId="132" fillId="0" borderId="10" xfId="17" applyFont="1" applyBorder="1" applyAlignment="1">
      <alignment horizontal="center"/>
    </xf>
    <xf numFmtId="0" fontId="168" fillId="0" borderId="0" xfId="0" applyFont="1"/>
    <xf numFmtId="0" fontId="70" fillId="0" borderId="0" xfId="17" applyFont="1" applyAlignment="1">
      <alignment horizontal="center"/>
    </xf>
    <xf numFmtId="0" fontId="84" fillId="0" borderId="0" xfId="17" applyFont="1" applyAlignment="1">
      <alignment horizontal="center"/>
    </xf>
    <xf numFmtId="0" fontId="169" fillId="0" borderId="0" xfId="17" applyFont="1" applyAlignment="1">
      <alignment horizontal="right"/>
    </xf>
    <xf numFmtId="0" fontId="131" fillId="0" borderId="0" xfId="17" applyFont="1" applyAlignment="1">
      <alignment horizontal="center"/>
    </xf>
    <xf numFmtId="0" fontId="131" fillId="0" borderId="0" xfId="17" applyFont="1" applyAlignment="1">
      <alignment horizontal="center" wrapText="1"/>
    </xf>
    <xf numFmtId="0" fontId="70" fillId="0" borderId="24" xfId="17" applyFont="1" applyBorder="1" applyAlignment="1">
      <alignment horizontal="center"/>
    </xf>
    <xf numFmtId="0" fontId="167" fillId="0" borderId="0" xfId="0" applyFont="1" applyAlignment="1">
      <alignment horizontal="center"/>
    </xf>
    <xf numFmtId="0" fontId="131" fillId="0" borderId="0" xfId="17" quotePrefix="1" applyFont="1" applyAlignment="1">
      <alignment horizontal="center"/>
    </xf>
    <xf numFmtId="37" fontId="148" fillId="0" borderId="0" xfId="17" applyNumberFormat="1" applyFont="1"/>
    <xf numFmtId="37" fontId="10" fillId="0" borderId="0" xfId="17" applyNumberFormat="1" applyAlignment="1">
      <alignment horizontal="center"/>
    </xf>
    <xf numFmtId="17" fontId="167" fillId="0" borderId="0" xfId="0" quotePrefix="1" applyNumberFormat="1" applyFont="1" applyAlignment="1">
      <alignment horizontal="center"/>
    </xf>
    <xf numFmtId="17" fontId="131" fillId="0" borderId="0" xfId="17" quotePrefix="1" applyNumberFormat="1" applyFont="1" applyAlignment="1">
      <alignment horizontal="center"/>
    </xf>
    <xf numFmtId="43" fontId="167" fillId="16" borderId="0" xfId="56" applyFont="1" applyFill="1"/>
    <xf numFmtId="43" fontId="167" fillId="0" borderId="0" xfId="0" applyNumberFormat="1" applyFont="1"/>
    <xf numFmtId="43" fontId="167" fillId="0" borderId="0" xfId="66" applyFont="1" applyFill="1" applyAlignment="1">
      <alignment horizontal="center"/>
    </xf>
    <xf numFmtId="171" fontId="167" fillId="0" borderId="0" xfId="66" applyNumberFormat="1" applyFont="1" applyFill="1" applyAlignment="1">
      <alignment horizontal="center"/>
    </xf>
    <xf numFmtId="17" fontId="167" fillId="0" borderId="0" xfId="0" applyNumberFormat="1" applyFont="1"/>
    <xf numFmtId="43" fontId="167" fillId="16" borderId="0" xfId="56" applyFont="1" applyFill="1" applyAlignment="1">
      <alignment horizontal="center"/>
    </xf>
    <xf numFmtId="43" fontId="131" fillId="16" borderId="0" xfId="56" applyFont="1" applyFill="1" applyAlignment="1">
      <alignment horizontal="center"/>
    </xf>
    <xf numFmtId="171" fontId="167" fillId="0" borderId="0" xfId="56" applyNumberFormat="1" applyFont="1" applyFill="1" applyAlignment="1">
      <alignment horizontal="center"/>
    </xf>
    <xf numFmtId="171" fontId="131" fillId="0" borderId="0" xfId="56" applyNumberFormat="1" applyFont="1" applyFill="1" applyAlignment="1">
      <alignment horizontal="center"/>
    </xf>
    <xf numFmtId="0" fontId="131" fillId="0" borderId="0" xfId="226" applyFont="1" applyAlignment="1">
      <alignment horizontal="center"/>
    </xf>
    <xf numFmtId="37" fontId="170" fillId="0" borderId="0" xfId="17" applyNumberFormat="1" applyFont="1"/>
    <xf numFmtId="14" fontId="167" fillId="0" borderId="0" xfId="0" applyNumberFormat="1" applyFont="1" applyAlignment="1">
      <alignment horizontal="center"/>
    </xf>
    <xf numFmtId="43" fontId="167" fillId="7" borderId="0" xfId="56" applyFont="1" applyFill="1"/>
    <xf numFmtId="43" fontId="167" fillId="19" borderId="0" xfId="0" applyNumberFormat="1" applyFont="1" applyFill="1"/>
    <xf numFmtId="171" fontId="167" fillId="0" borderId="0" xfId="0" applyNumberFormat="1" applyFont="1"/>
    <xf numFmtId="37" fontId="10" fillId="0" borderId="10" xfId="17" applyNumberFormat="1" applyBorder="1"/>
    <xf numFmtId="37" fontId="10" fillId="0" borderId="10" xfId="17" applyNumberFormat="1" applyBorder="1" applyAlignment="1">
      <alignment horizontal="center"/>
    </xf>
    <xf numFmtId="172" fontId="0" fillId="0" borderId="0" xfId="57" applyNumberFormat="1" applyFont="1" applyFill="1"/>
    <xf numFmtId="172" fontId="164"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70" fillId="0" borderId="0" xfId="17" applyNumberFormat="1" applyFont="1"/>
    <xf numFmtId="43" fontId="167" fillId="16" borderId="0" xfId="66" applyFont="1" applyFill="1" applyAlignment="1">
      <alignment horizontal="center"/>
    </xf>
    <xf numFmtId="0" fontId="84" fillId="0" borderId="0" xfId="17" applyFont="1"/>
    <xf numFmtId="5" fontId="10" fillId="0" borderId="0" xfId="17" applyNumberFormat="1"/>
    <xf numFmtId="170" fontId="10" fillId="0" borderId="0" xfId="17" applyNumberFormat="1"/>
    <xf numFmtId="170" fontId="160" fillId="0" borderId="0" xfId="17" applyNumberFormat="1" applyFont="1"/>
    <xf numFmtId="170" fontId="10" fillId="0" borderId="0" xfId="19" applyNumberFormat="1" applyFill="1"/>
    <xf numFmtId="171" fontId="171" fillId="0" borderId="0" xfId="56" applyNumberFormat="1" applyFont="1"/>
    <xf numFmtId="170" fontId="160" fillId="0" borderId="0" xfId="19" applyNumberFormat="1" applyFont="1" applyFill="1"/>
    <xf numFmtId="170" fontId="160" fillId="0" borderId="0" xfId="58" applyNumberFormat="1" applyFont="1" applyFill="1" applyAlignment="1"/>
    <xf numFmtId="0" fontId="160" fillId="0" borderId="0" xfId="17" applyFont="1"/>
    <xf numFmtId="43" fontId="167" fillId="0" borderId="0" xfId="66" applyFont="1"/>
    <xf numFmtId="43" fontId="172" fillId="0" borderId="0" xfId="0" applyNumberFormat="1" applyFont="1"/>
    <xf numFmtId="10" fontId="10" fillId="0" borderId="0" xfId="17" applyNumberFormat="1"/>
    <xf numFmtId="37" fontId="10" fillId="0" borderId="51" xfId="17" applyNumberFormat="1" applyBorder="1"/>
    <xf numFmtId="171" fontId="167" fillId="2" borderId="0" xfId="66" applyNumberFormat="1" applyFont="1" applyFill="1" applyAlignment="1">
      <alignment horizontal="center"/>
    </xf>
    <xf numFmtId="197" fontId="70" fillId="0" borderId="0" xfId="17" applyNumberFormat="1" applyFont="1" applyAlignment="1">
      <alignment horizontal="center"/>
    </xf>
    <xf numFmtId="37" fontId="70" fillId="0" borderId="0" xfId="17" applyNumberFormat="1" applyFont="1" applyAlignment="1">
      <alignment horizontal="center"/>
    </xf>
    <xf numFmtId="37" fontId="10" fillId="2" borderId="0" xfId="17" applyNumberFormat="1" applyFill="1"/>
    <xf numFmtId="37" fontId="10" fillId="0" borderId="0" xfId="17" applyNumberFormat="1" applyAlignment="1">
      <alignment horizontal="right"/>
    </xf>
    <xf numFmtId="171" fontId="167" fillId="7" borderId="0" xfId="56" applyNumberFormat="1" applyFont="1" applyFill="1"/>
    <xf numFmtId="0" fontId="10" fillId="0" borderId="0" xfId="110" applyAlignment="1">
      <alignment horizontal="center"/>
    </xf>
    <xf numFmtId="37" fontId="148" fillId="0" borderId="0" xfId="110" applyNumberFormat="1" applyFont="1"/>
    <xf numFmtId="37" fontId="10" fillId="0" borderId="0" xfId="110" applyNumberFormat="1"/>
    <xf numFmtId="37" fontId="170" fillId="0" borderId="0" xfId="110" applyNumberFormat="1" applyFont="1"/>
    <xf numFmtId="37" fontId="10" fillId="0" borderId="51" xfId="54" applyNumberFormat="1" applyBorder="1"/>
    <xf numFmtId="17" fontId="131" fillId="0" borderId="0" xfId="17" applyNumberFormat="1" applyFont="1" applyAlignment="1">
      <alignment horizontal="center"/>
    </xf>
    <xf numFmtId="37" fontId="10" fillId="0" borderId="0" xfId="54" applyNumberFormat="1"/>
    <xf numFmtId="0" fontId="135" fillId="0" borderId="0" xfId="0" applyFont="1"/>
    <xf numFmtId="0" fontId="10" fillId="4" borderId="0" xfId="0" applyFont="1" applyFill="1"/>
    <xf numFmtId="0" fontId="170" fillId="4" borderId="25" xfId="0" applyFont="1" applyFill="1" applyBorder="1"/>
    <xf numFmtId="0" fontId="170" fillId="4" borderId="24" xfId="0" applyFont="1" applyFill="1" applyBorder="1"/>
    <xf numFmtId="178" fontId="170" fillId="4" borderId="24" xfId="0" applyNumberFormat="1" applyFont="1" applyFill="1" applyBorder="1"/>
    <xf numFmtId="0" fontId="10" fillId="4" borderId="24" xfId="0" applyFont="1" applyFill="1" applyBorder="1" applyAlignment="1">
      <alignment horizontal="right"/>
    </xf>
    <xf numFmtId="0" fontId="10" fillId="4" borderId="24" xfId="0" applyFont="1" applyFill="1" applyBorder="1"/>
    <xf numFmtId="3" fontId="10" fillId="4" borderId="24" xfId="103" applyNumberFormat="1" applyFont="1" applyFill="1" applyBorder="1"/>
    <xf numFmtId="3" fontId="170" fillId="4" borderId="24" xfId="103" applyNumberFormat="1" applyFont="1" applyFill="1" applyBorder="1"/>
    <xf numFmtId="0" fontId="10" fillId="4" borderId="23" xfId="0" applyFont="1" applyFill="1" applyBorder="1"/>
    <xf numFmtId="0" fontId="170" fillId="4" borderId="22" xfId="0" applyFont="1" applyFill="1" applyBorder="1"/>
    <xf numFmtId="0" fontId="170" fillId="4" borderId="0" xfId="0" applyFont="1" applyFill="1"/>
    <xf numFmtId="178" fontId="170" fillId="4" borderId="0" xfId="0" applyNumberFormat="1" applyFont="1" applyFill="1"/>
    <xf numFmtId="0" fontId="10" fillId="4" borderId="0" xfId="0" applyFont="1" applyFill="1" applyAlignment="1">
      <alignment horizontal="right"/>
    </xf>
    <xf numFmtId="3" fontId="10" fillId="4" borderId="0" xfId="103" applyNumberFormat="1" applyFont="1" applyFill="1" applyBorder="1"/>
    <xf numFmtId="3" fontId="170" fillId="4" borderId="0" xfId="103" applyNumberFormat="1" applyFont="1" applyFill="1" applyBorder="1"/>
    <xf numFmtId="0" fontId="10" fillId="4" borderId="21" xfId="0" applyFont="1" applyFill="1" applyBorder="1"/>
    <xf numFmtId="198" fontId="70" fillId="4" borderId="22" xfId="103" applyNumberFormat="1" applyFont="1" applyFill="1" applyBorder="1"/>
    <xf numFmtId="198" fontId="70" fillId="4" borderId="0" xfId="103" applyNumberFormat="1" applyFont="1" applyFill="1" applyBorder="1"/>
    <xf numFmtId="199" fontId="173" fillId="4" borderId="0" xfId="0" applyNumberFormat="1" applyFont="1" applyFill="1"/>
    <xf numFmtId="10" fontId="10" fillId="4" borderId="0" xfId="148" applyNumberFormat="1" applyFont="1" applyFill="1" applyBorder="1"/>
    <xf numFmtId="3" fontId="10" fillId="4" borderId="3" xfId="0" applyNumberFormat="1" applyFont="1" applyFill="1" applyBorder="1"/>
    <xf numFmtId="3" fontId="10" fillId="4" borderId="3" xfId="103" applyNumberFormat="1" applyFont="1" applyFill="1" applyBorder="1"/>
    <xf numFmtId="0" fontId="174" fillId="4" borderId="22" xfId="0" applyFont="1" applyFill="1" applyBorder="1"/>
    <xf numFmtId="0" fontId="174" fillId="4" borderId="0" xfId="0" applyFont="1" applyFill="1"/>
    <xf numFmtId="3" fontId="10" fillId="4" borderId="0" xfId="0" applyNumberFormat="1" applyFont="1" applyFill="1"/>
    <xf numFmtId="178" fontId="174" fillId="4" borderId="22" xfId="0" applyNumberFormat="1" applyFont="1" applyFill="1" applyBorder="1"/>
    <xf numFmtId="178" fontId="174" fillId="4" borderId="0" xfId="0" applyNumberFormat="1" applyFont="1" applyFill="1"/>
    <xf numFmtId="14" fontId="10" fillId="4" borderId="22" xfId="0" applyNumberFormat="1" applyFont="1" applyFill="1" applyBorder="1" applyAlignment="1">
      <alignment horizontal="right"/>
    </xf>
    <xf numFmtId="14" fontId="10" fillId="4" borderId="0" xfId="0" applyNumberFormat="1" applyFont="1" applyFill="1" applyAlignment="1">
      <alignment horizontal="right"/>
    </xf>
    <xf numFmtId="0" fontId="10" fillId="4" borderId="0" xfId="0" applyFont="1" applyFill="1" applyAlignment="1">
      <alignment horizontal="center" wrapText="1"/>
    </xf>
    <xf numFmtId="0" fontId="123" fillId="4" borderId="0" xfId="0" applyFont="1" applyFill="1"/>
    <xf numFmtId="178" fontId="170" fillId="4" borderId="22" xfId="0" applyNumberFormat="1" applyFont="1" applyFill="1" applyBorder="1"/>
    <xf numFmtId="14" fontId="70" fillId="4" borderId="22" xfId="0" applyNumberFormat="1" applyFont="1" applyFill="1" applyBorder="1"/>
    <xf numFmtId="14" fontId="70" fillId="4" borderId="0" xfId="0" applyNumberFormat="1" applyFont="1" applyFill="1"/>
    <xf numFmtId="0" fontId="10" fillId="4" borderId="0" xfId="0" applyFont="1" applyFill="1" applyAlignment="1">
      <alignment horizontal="center"/>
    </xf>
    <xf numFmtId="178" fontId="10" fillId="4" borderId="0" xfId="0" applyNumberFormat="1" applyFont="1" applyFill="1"/>
    <xf numFmtId="0" fontId="10" fillId="4" borderId="22" xfId="0" applyFont="1" applyFill="1" applyBorder="1"/>
    <xf numFmtId="178" fontId="148" fillId="4" borderId="0" xfId="0" applyNumberFormat="1" applyFont="1" applyFill="1"/>
    <xf numFmtId="0" fontId="10" fillId="4" borderId="20" xfId="0" applyFont="1" applyFill="1" applyBorder="1"/>
    <xf numFmtId="0" fontId="10" fillId="4" borderId="19" xfId="0" applyFont="1" applyFill="1" applyBorder="1"/>
    <xf numFmtId="0" fontId="10" fillId="4" borderId="18" xfId="0" applyFont="1" applyFill="1" applyBorder="1"/>
    <xf numFmtId="5" fontId="10" fillId="4" borderId="22" xfId="0" applyNumberFormat="1" applyFont="1" applyFill="1" applyBorder="1"/>
    <xf numFmtId="5" fontId="10" fillId="4" borderId="0" xfId="0" applyNumberFormat="1" applyFont="1" applyFill="1"/>
    <xf numFmtId="5" fontId="70" fillId="4" borderId="0" xfId="0" applyNumberFormat="1" applyFont="1" applyFill="1"/>
    <xf numFmtId="5" fontId="70" fillId="2" borderId="41" xfId="103" applyNumberFormat="1" applyFont="1" applyFill="1" applyBorder="1"/>
    <xf numFmtId="5" fontId="10" fillId="4" borderId="55" xfId="0" applyNumberFormat="1" applyFont="1" applyFill="1" applyBorder="1"/>
    <xf numFmtId="5" fontId="10" fillId="4" borderId="3" xfId="0" applyNumberFormat="1" applyFont="1" applyFill="1" applyBorder="1"/>
    <xf numFmtId="5" fontId="10" fillId="4" borderId="22" xfId="103" applyNumberFormat="1" applyFont="1" applyFill="1" applyBorder="1"/>
    <xf numFmtId="5" fontId="10" fillId="4" borderId="0" xfId="103" applyNumberFormat="1" applyFont="1" applyFill="1" applyBorder="1"/>
    <xf numFmtId="5" fontId="70" fillId="4" borderId="3" xfId="103" applyNumberFormat="1" applyFont="1" applyFill="1" applyBorder="1"/>
    <xf numFmtId="5" fontId="70" fillId="4" borderId="0" xfId="103" applyNumberFormat="1" applyFont="1" applyFill="1" applyBorder="1"/>
    <xf numFmtId="5" fontId="70" fillId="2" borderId="41" xfId="0" applyNumberFormat="1" applyFont="1" applyFill="1" applyBorder="1"/>
    <xf numFmtId="200" fontId="170" fillId="4" borderId="22" xfId="103" applyNumberFormat="1" applyFont="1" applyFill="1" applyBorder="1"/>
    <xf numFmtId="200" fontId="10" fillId="4" borderId="0" xfId="103" applyNumberFormat="1" applyFont="1" applyFill="1" applyBorder="1"/>
    <xf numFmtId="200" fontId="170" fillId="4" borderId="0" xfId="103" applyNumberFormat="1" applyFont="1" applyFill="1" applyBorder="1"/>
    <xf numFmtId="5" fontId="10" fillId="4" borderId="55" xfId="103" applyNumberFormat="1" applyFont="1" applyFill="1" applyBorder="1"/>
    <xf numFmtId="5" fontId="10" fillId="4" borderId="3" xfId="103" applyNumberFormat="1" applyFont="1" applyFill="1" applyBorder="1"/>
    <xf numFmtId="5" fontId="70" fillId="4" borderId="22" xfId="103" applyNumberFormat="1" applyFont="1" applyFill="1" applyBorder="1"/>
    <xf numFmtId="3" fontId="170" fillId="4" borderId="22" xfId="0" applyNumberFormat="1" applyFont="1" applyFill="1" applyBorder="1"/>
    <xf numFmtId="3" fontId="170" fillId="4" borderId="0" xfId="0" applyNumberFormat="1" applyFont="1" applyFill="1"/>
    <xf numFmtId="17" fontId="10" fillId="4" borderId="22" xfId="0" applyNumberFormat="1" applyFont="1" applyFill="1" applyBorder="1" applyAlignment="1">
      <alignment horizontal="right"/>
    </xf>
    <xf numFmtId="17" fontId="10" fillId="4" borderId="0" xfId="0" applyNumberFormat="1" applyFont="1" applyFill="1" applyAlignment="1">
      <alignment horizontal="right"/>
    </xf>
    <xf numFmtId="0" fontId="70" fillId="4" borderId="0" xfId="0" quotePrefix="1" applyFont="1" applyFill="1" applyAlignment="1">
      <alignment horizontal="right"/>
    </xf>
    <xf numFmtId="0" fontId="175" fillId="4" borderId="21" xfId="0" applyFont="1" applyFill="1" applyBorder="1"/>
    <xf numFmtId="0" fontId="175" fillId="4" borderId="18" xfId="0" applyFont="1" applyFill="1" applyBorder="1"/>
    <xf numFmtId="0" fontId="176" fillId="0" borderId="0" xfId="0" applyFont="1"/>
    <xf numFmtId="172" fontId="12" fillId="0" borderId="0" xfId="2" applyNumberFormat="1" applyFont="1" applyFill="1" applyBorder="1"/>
    <xf numFmtId="44" fontId="167" fillId="0" borderId="0" xfId="0" applyNumberFormat="1" applyFont="1"/>
    <xf numFmtId="0" fontId="167" fillId="0" borderId="0" xfId="0" applyFont="1" applyAlignment="1">
      <alignment horizontal="right"/>
    </xf>
    <xf numFmtId="172" fontId="12" fillId="0" borderId="0" xfId="2" applyNumberFormat="1" applyFont="1" applyFill="1" applyBorder="1" applyAlignment="1">
      <alignment horizontal="right"/>
    </xf>
    <xf numFmtId="172" fontId="12" fillId="0" borderId="10" xfId="2" applyNumberFormat="1" applyFont="1" applyFill="1" applyBorder="1"/>
    <xf numFmtId="179" fontId="12" fillId="0" borderId="0" xfId="7" applyNumberFormat="1" applyFont="1" applyFill="1" applyBorder="1"/>
    <xf numFmtId="179" fontId="12" fillId="0" borderId="10" xfId="7" applyNumberFormat="1" applyFont="1" applyFill="1" applyBorder="1"/>
    <xf numFmtId="44" fontId="177" fillId="0" borderId="0" xfId="0" applyNumberFormat="1" applyFont="1"/>
    <xf numFmtId="0" fontId="36" fillId="0" borderId="0" xfId="0" applyFont="1"/>
    <xf numFmtId="0" fontId="36" fillId="0" borderId="0" xfId="0" applyFont="1" applyAlignment="1">
      <alignment horizontal="center"/>
    </xf>
    <xf numFmtId="172" fontId="38" fillId="0" borderId="0" xfId="0" applyNumberFormat="1" applyFont="1"/>
    <xf numFmtId="172" fontId="36" fillId="0" borderId="0" xfId="0" applyNumberFormat="1" applyFont="1"/>
    <xf numFmtId="172" fontId="12" fillId="0" borderId="3" xfId="2" applyNumberFormat="1" applyFont="1" applyFill="1" applyBorder="1"/>
    <xf numFmtId="37" fontId="12" fillId="0" borderId="0" xfId="20" applyNumberFormat="1" applyFont="1"/>
    <xf numFmtId="37" fontId="12" fillId="0" borderId="0" xfId="20" applyNumberFormat="1" applyFont="1" applyAlignment="1">
      <alignment horizontal="center"/>
    </xf>
    <xf numFmtId="172" fontId="36" fillId="0" borderId="10" xfId="0" applyNumberFormat="1" applyFont="1" applyBorder="1"/>
    <xf numFmtId="171" fontId="12" fillId="0" borderId="0" xfId="2" applyNumberFormat="1" applyFont="1" applyFill="1" applyBorder="1"/>
    <xf numFmtId="172" fontId="118" fillId="0" borderId="0" xfId="2" applyNumberFormat="1" applyFont="1" applyFill="1" applyBorder="1"/>
    <xf numFmtId="177" fontId="118" fillId="0" borderId="0" xfId="1" applyNumberFormat="1" applyFont="1" applyFill="1" applyBorder="1"/>
    <xf numFmtId="177" fontId="12" fillId="0" borderId="0" xfId="1" applyNumberFormat="1" applyFont="1" applyFill="1" applyBorder="1"/>
    <xf numFmtId="172" fontId="118" fillId="0" borderId="0" xfId="0" applyNumberFormat="1" applyFont="1"/>
    <xf numFmtId="5" fontId="12" fillId="0" borderId="0" xfId="20" applyNumberFormat="1" applyFont="1"/>
    <xf numFmtId="0" fontId="12" fillId="0" borderId="0" xfId="20" applyFont="1" applyAlignment="1">
      <alignment horizontal="center"/>
    </xf>
    <xf numFmtId="0" fontId="176" fillId="0" borderId="0" xfId="0" applyFont="1" applyAlignment="1">
      <alignment horizontal="center"/>
    </xf>
    <xf numFmtId="0" fontId="79" fillId="0" borderId="0" xfId="44" applyFont="1"/>
    <xf numFmtId="0" fontId="79" fillId="0" borderId="0" xfId="44" applyFont="1" applyAlignment="1">
      <alignment horizontal="center"/>
    </xf>
    <xf numFmtId="0" fontId="176" fillId="0" borderId="0" xfId="0" applyFont="1" applyAlignment="1">
      <alignment horizontal="center" wrapText="1"/>
    </xf>
    <xf numFmtId="172" fontId="17" fillId="0" borderId="0" xfId="2" applyNumberFormat="1" applyFont="1" applyFill="1" applyBorder="1" applyAlignment="1">
      <alignment horizontal="center" wrapText="1"/>
    </xf>
    <xf numFmtId="0" fontId="79" fillId="0" borderId="0" xfId="44" applyFont="1" applyAlignment="1">
      <alignment horizontal="center" wrapText="1"/>
    </xf>
    <xf numFmtId="0" fontId="17" fillId="0" borderId="0" xfId="20" applyFont="1" applyAlignment="1">
      <alignment horizontal="left"/>
    </xf>
    <xf numFmtId="201" fontId="0" fillId="0" borderId="0" xfId="0" applyNumberFormat="1"/>
    <xf numFmtId="201" fontId="93" fillId="0" borderId="104" xfId="0" applyNumberFormat="1" applyFont="1" applyBorder="1" applyAlignment="1">
      <alignment horizontal="right" vertical="top"/>
    </xf>
    <xf numFmtId="0" fontId="93" fillId="0" borderId="106" xfId="0" applyFont="1" applyBorder="1" applyAlignment="1">
      <alignment horizontal="center" vertical="top"/>
    </xf>
    <xf numFmtId="0" fontId="93" fillId="0" borderId="46" xfId="0" applyFont="1" applyBorder="1" applyAlignment="1">
      <alignment horizontal="center" vertical="top"/>
    </xf>
    <xf numFmtId="0" fontId="93" fillId="0" borderId="104" xfId="0" applyFont="1" applyBorder="1" applyAlignment="1">
      <alignment horizontal="left" vertical="top" wrapText="1"/>
    </xf>
    <xf numFmtId="0" fontId="93" fillId="0" borderId="97" xfId="0" applyFont="1" applyBorder="1" applyAlignment="1">
      <alignment horizontal="center" vertical="top"/>
    </xf>
    <xf numFmtId="0" fontId="140" fillId="0" borderId="104" xfId="0" applyFont="1" applyBorder="1" applyAlignment="1">
      <alignment horizontal="right" vertical="top"/>
    </xf>
    <xf numFmtId="0" fontId="93" fillId="0" borderId="108" xfId="0" applyFont="1" applyBorder="1" applyAlignment="1">
      <alignment horizontal="left" vertical="top" wrapText="1"/>
    </xf>
    <xf numFmtId="0" fontId="93" fillId="0" borderId="110" xfId="0" applyFont="1" applyBorder="1" applyAlignment="1">
      <alignment horizontal="center" vertical="top"/>
    </xf>
    <xf numFmtId="0" fontId="140" fillId="0" borderId="66" xfId="0" applyFont="1" applyBorder="1" applyAlignment="1">
      <alignment horizontal="right" vertical="top"/>
    </xf>
    <xf numFmtId="0" fontId="93" fillId="0" borderId="39" xfId="0" applyFont="1" applyBorder="1" applyAlignment="1">
      <alignment horizontal="center" vertical="top"/>
    </xf>
    <xf numFmtId="0" fontId="140" fillId="0" borderId="69" xfId="0" applyFont="1" applyBorder="1" applyAlignment="1">
      <alignment horizontal="right" vertical="top"/>
    </xf>
    <xf numFmtId="0" fontId="93" fillId="0" borderId="104" xfId="0" applyFont="1" applyBorder="1" applyAlignment="1">
      <alignment horizontal="left" vertical="top"/>
    </xf>
    <xf numFmtId="44" fontId="0" fillId="0" borderId="0" xfId="2" applyFont="1" applyFill="1"/>
    <xf numFmtId="44" fontId="0" fillId="0" borderId="3" xfId="2" applyFont="1" applyBorder="1"/>
    <xf numFmtId="7" fontId="93" fillId="0" borderId="0" xfId="2" applyNumberFormat="1" applyFont="1" applyFill="1" applyBorder="1" applyAlignment="1">
      <alignment horizontal="right" vertical="center"/>
    </xf>
    <xf numFmtId="0" fontId="93" fillId="0" borderId="0" xfId="17" applyFont="1" applyAlignment="1">
      <alignment horizontal="left" vertical="top"/>
    </xf>
    <xf numFmtId="7" fontId="93" fillId="0" borderId="39" xfId="2" applyNumberFormat="1" applyFont="1" applyFill="1" applyBorder="1" applyAlignment="1">
      <alignment horizontal="right" vertical="center"/>
    </xf>
    <xf numFmtId="0" fontId="176" fillId="0" borderId="42" xfId="0" applyFont="1" applyBorder="1"/>
    <xf numFmtId="0" fontId="93" fillId="0" borderId="114" xfId="17" applyFont="1" applyBorder="1" applyAlignment="1">
      <alignment horizontal="left" vertical="top"/>
    </xf>
    <xf numFmtId="0" fontId="178" fillId="0" borderId="69" xfId="17" applyFont="1" applyBorder="1" applyAlignment="1">
      <alignment horizontal="right" vertical="top"/>
    </xf>
    <xf numFmtId="0" fontId="93" fillId="0" borderId="104" xfId="17" applyFont="1" applyBorder="1" applyAlignment="1">
      <alignment horizontal="left" vertical="top"/>
    </xf>
    <xf numFmtId="0" fontId="178" fillId="0" borderId="104" xfId="17" applyFont="1" applyBorder="1" applyAlignment="1">
      <alignment horizontal="right" vertical="top"/>
    </xf>
    <xf numFmtId="0" fontId="93" fillId="0" borderId="104" xfId="17" applyFont="1" applyBorder="1" applyAlignment="1">
      <alignment horizontal="center" vertical="top"/>
    </xf>
    <xf numFmtId="0" fontId="178" fillId="0" borderId="110" xfId="17" applyFont="1" applyBorder="1" applyAlignment="1">
      <alignment horizontal="right" vertical="top"/>
    </xf>
    <xf numFmtId="0" fontId="93" fillId="0" borderId="97" xfId="17" applyFont="1" applyBorder="1" applyAlignment="1">
      <alignment horizontal="center" vertical="center"/>
    </xf>
    <xf numFmtId="0" fontId="93" fillId="0" borderId="104" xfId="17" applyFont="1" applyBorder="1" applyAlignment="1">
      <alignment horizontal="center" vertical="center"/>
    </xf>
    <xf numFmtId="0" fontId="178" fillId="0" borderId="108" xfId="17" applyFont="1" applyBorder="1" applyAlignment="1">
      <alignment horizontal="right" vertical="top"/>
    </xf>
    <xf numFmtId="0" fontId="93"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1" fillId="0" borderId="0" xfId="0" applyNumberFormat="1" applyFont="1" applyAlignment="1">
      <alignment horizontal="right" vertical="top"/>
    </xf>
    <xf numFmtId="202" fontId="101" fillId="0" borderId="0" xfId="0" applyNumberFormat="1" applyFont="1" applyAlignment="1">
      <alignment horizontal="left" vertical="top"/>
    </xf>
    <xf numFmtId="7" fontId="93" fillId="0" borderId="104" xfId="2" applyNumberFormat="1" applyFont="1" applyFill="1" applyBorder="1" applyAlignment="1">
      <alignment horizontal="right" vertical="center"/>
    </xf>
    <xf numFmtId="0" fontId="93" fillId="0" borderId="83" xfId="0" applyFont="1" applyBorder="1" applyAlignment="1">
      <alignment horizontal="center" vertical="top"/>
    </xf>
    <xf numFmtId="43" fontId="93" fillId="0" borderId="104" xfId="2" applyNumberFormat="1" applyFont="1" applyFill="1" applyBorder="1" applyAlignment="1">
      <alignment horizontal="right" vertical="center"/>
    </xf>
    <xf numFmtId="0" fontId="138" fillId="0" borderId="106" xfId="0" applyFont="1" applyBorder="1" applyAlignment="1">
      <alignment horizontal="left" vertical="center"/>
    </xf>
    <xf numFmtId="0" fontId="93" fillId="0" borderId="39" xfId="17" applyFont="1" applyBorder="1" applyAlignment="1">
      <alignment horizontal="left" vertical="center" wrapText="1"/>
    </xf>
    <xf numFmtId="0" fontId="138" fillId="0" borderId="39" xfId="17" applyFont="1" applyBorder="1" applyAlignment="1">
      <alignment horizontal="left" vertical="center"/>
    </xf>
    <xf numFmtId="0" fontId="0" fillId="0" borderId="0" xfId="0" applyAlignment="1">
      <alignment vertical="center" wrapText="1"/>
    </xf>
    <xf numFmtId="0" fontId="138" fillId="0" borderId="104" xfId="0" applyFont="1" applyBorder="1" applyAlignment="1">
      <alignment horizontal="left" vertical="center"/>
    </xf>
    <xf numFmtId="0" fontId="93" fillId="0" borderId="104" xfId="0" applyFont="1" applyBorder="1" applyAlignment="1">
      <alignment horizontal="left" vertical="center" wrapText="1"/>
    </xf>
    <xf numFmtId="0" fontId="179" fillId="0" borderId="104" xfId="0" applyFont="1" applyBorder="1" applyAlignment="1">
      <alignment horizontal="left" vertical="center"/>
    </xf>
    <xf numFmtId="0" fontId="93" fillId="0" borderId="104" xfId="0" applyFont="1" applyBorder="1" applyAlignment="1">
      <alignment horizontal="center" vertical="top"/>
    </xf>
    <xf numFmtId="0" fontId="140" fillId="0" borderId="106" xfId="0" applyFont="1" applyBorder="1" applyAlignment="1">
      <alignment horizontal="right" vertical="top"/>
    </xf>
    <xf numFmtId="0" fontId="140" fillId="0" borderId="97" xfId="0" applyFont="1" applyBorder="1" applyAlignment="1">
      <alignment horizontal="right" vertical="top"/>
    </xf>
    <xf numFmtId="0" fontId="176"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7" fillId="20" borderId="0" xfId="1" applyFont="1" applyFill="1"/>
    <xf numFmtId="197" fontId="0" fillId="20" borderId="0" xfId="0" applyNumberFormat="1" applyFill="1"/>
    <xf numFmtId="169" fontId="0" fillId="0" borderId="0" xfId="0" applyNumberFormat="1"/>
    <xf numFmtId="43" fontId="107" fillId="0" borderId="0" xfId="1" applyFont="1" applyFill="1"/>
    <xf numFmtId="197" fontId="0" fillId="0" borderId="0" xfId="0" applyNumberFormat="1"/>
    <xf numFmtId="9" fontId="0" fillId="0" borderId="0" xfId="7" applyFont="1"/>
    <xf numFmtId="43" fontId="0" fillId="0" borderId="10" xfId="1" applyFont="1" applyBorder="1"/>
    <xf numFmtId="0" fontId="93" fillId="0" borderId="108" xfId="0" applyFont="1" applyBorder="1" applyAlignment="1">
      <alignment horizontal="left" vertical="center" wrapText="1"/>
    </xf>
    <xf numFmtId="44" fontId="81" fillId="14" borderId="101" xfId="0" applyNumberFormat="1" applyFont="1" applyFill="1" applyBorder="1"/>
    <xf numFmtId="0" fontId="81" fillId="14" borderId="101" xfId="0" applyFont="1" applyFill="1" applyBorder="1"/>
    <xf numFmtId="0" fontId="81" fillId="0" borderId="101" xfId="0" applyFont="1" applyBorder="1"/>
    <xf numFmtId="43" fontId="0" fillId="0" borderId="10" xfId="0" applyNumberFormat="1" applyBorder="1"/>
    <xf numFmtId="0" fontId="81" fillId="0" borderId="0" xfId="0" applyFont="1" applyAlignment="1">
      <alignment horizontal="center"/>
    </xf>
    <xf numFmtId="0" fontId="81" fillId="21" borderId="99" xfId="0" applyFont="1" applyFill="1" applyBorder="1"/>
    <xf numFmtId="0" fontId="81" fillId="14" borderId="99" xfId="0" applyFont="1" applyFill="1" applyBorder="1"/>
    <xf numFmtId="0" fontId="81" fillId="21" borderId="0" xfId="0" applyFont="1" applyFill="1"/>
    <xf numFmtId="0" fontId="81" fillId="14" borderId="0" xfId="0" applyFont="1" applyFill="1"/>
    <xf numFmtId="0" fontId="4" fillId="0" borderId="0" xfId="0" applyFont="1"/>
    <xf numFmtId="171" fontId="4" fillId="0" borderId="19" xfId="92" applyNumberFormat="1" applyFont="1" applyBorder="1"/>
    <xf numFmtId="0" fontId="4" fillId="0" borderId="19" xfId="16" applyFont="1" applyBorder="1" applyAlignment="1">
      <alignment horizontal="left"/>
    </xf>
    <xf numFmtId="0" fontId="180" fillId="0" borderId="24" xfId="16" applyFont="1" applyBorder="1" applyAlignment="1">
      <alignment horizontal="center" wrapText="1"/>
    </xf>
    <xf numFmtId="43" fontId="180" fillId="0" borderId="24" xfId="21" applyFont="1" applyFill="1" applyBorder="1" applyAlignment="1">
      <alignment horizontal="center" wrapText="1"/>
    </xf>
    <xf numFmtId="0" fontId="81" fillId="0" borderId="0" xfId="16" applyFont="1" applyAlignment="1">
      <alignment horizontal="center" wrapText="1"/>
    </xf>
    <xf numFmtId="14" fontId="81" fillId="0" borderId="0" xfId="0" applyNumberFormat="1" applyFont="1" applyAlignment="1">
      <alignment horizontal="left"/>
    </xf>
    <xf numFmtId="0" fontId="4" fillId="0" borderId="0" xfId="18" applyFont="1" applyAlignment="1">
      <alignment horizontal="center"/>
    </xf>
    <xf numFmtId="171" fontId="107" fillId="0" borderId="0" xfId="92" applyNumberFormat="1" applyFont="1" applyFill="1" applyBorder="1"/>
    <xf numFmtId="171" fontId="107" fillId="0" borderId="0" xfId="92" applyNumberFormat="1" applyFont="1" applyFill="1"/>
    <xf numFmtId="171" fontId="4" fillId="0" borderId="18" xfId="92" applyNumberFormat="1" applyFont="1" applyBorder="1"/>
    <xf numFmtId="171" fontId="4" fillId="0" borderId="21" xfId="92" applyNumberFormat="1" applyFont="1" applyBorder="1"/>
    <xf numFmtId="171" fontId="4" fillId="0" borderId="0" xfId="92" applyNumberFormat="1" applyFont="1" applyBorder="1"/>
    <xf numFmtId="0" fontId="81" fillId="0" borderId="10" xfId="0" applyFont="1" applyBorder="1" applyAlignment="1">
      <alignment horizontal="center"/>
    </xf>
    <xf numFmtId="0" fontId="109" fillId="0" borderId="0" xfId="0" applyFont="1"/>
    <xf numFmtId="0" fontId="181" fillId="0" borderId="0" xfId="0" applyFont="1" applyAlignment="1">
      <alignment horizontal="right"/>
    </xf>
    <xf numFmtId="171" fontId="4" fillId="0" borderId="0" xfId="92" applyNumberFormat="1" applyFont="1"/>
    <xf numFmtId="0" fontId="182" fillId="0" borderId="0" xfId="0" applyFont="1"/>
    <xf numFmtId="171" fontId="4" fillId="0" borderId="23" xfId="92" applyNumberFormat="1" applyFont="1" applyBorder="1"/>
    <xf numFmtId="0" fontId="4" fillId="0" borderId="24" xfId="16" applyFont="1" applyBorder="1" applyAlignment="1">
      <alignment horizontal="left"/>
    </xf>
    <xf numFmtId="171" fontId="4" fillId="0" borderId="24" xfId="92" applyNumberFormat="1" applyFont="1" applyBorder="1"/>
    <xf numFmtId="171" fontId="4" fillId="0" borderId="0" xfId="92" applyNumberFormat="1" applyFont="1" applyFill="1"/>
    <xf numFmtId="171" fontId="81" fillId="0" borderId="15" xfId="0" applyNumberFormat="1" applyFont="1" applyBorder="1"/>
    <xf numFmtId="171" fontId="81" fillId="0" borderId="0" xfId="0" applyNumberFormat="1" applyFont="1"/>
    <xf numFmtId="0" fontId="4" fillId="0" borderId="0" xfId="0" applyFont="1" applyAlignment="1">
      <alignment wrapText="1"/>
    </xf>
    <xf numFmtId="171" fontId="4" fillId="7" borderId="12" xfId="0" applyNumberFormat="1" applyFont="1" applyFill="1" applyBorder="1"/>
    <xf numFmtId="0" fontId="4" fillId="0" borderId="102" xfId="16" applyFont="1" applyBorder="1"/>
    <xf numFmtId="43" fontId="183" fillId="0" borderId="0" xfId="21" applyFont="1" applyAlignment="1">
      <alignment horizontal="center"/>
    </xf>
    <xf numFmtId="43" fontId="107" fillId="0" borderId="0" xfId="21" applyFont="1"/>
    <xf numFmtId="43" fontId="4" fillId="0" borderId="0" xfId="21" applyFont="1"/>
    <xf numFmtId="0" fontId="107" fillId="0" borderId="0" xfId="16" applyFont="1"/>
    <xf numFmtId="0" fontId="4" fillId="0" borderId="0" xfId="16" applyFont="1" applyAlignment="1">
      <alignment horizontal="center"/>
    </xf>
    <xf numFmtId="43" fontId="107" fillId="0" borderId="0" xfId="21" applyFont="1" applyBorder="1"/>
    <xf numFmtId="43" fontId="4" fillId="0" borderId="0" xfId="21" applyFont="1" applyAlignment="1">
      <alignment horizontal="center"/>
    </xf>
    <xf numFmtId="43" fontId="4" fillId="0" borderId="25" xfId="21" applyFont="1" applyBorder="1" applyAlignment="1">
      <alignment horizontal="center"/>
    </xf>
    <xf numFmtId="43" fontId="4" fillId="0" borderId="24" xfId="21" applyFont="1" applyBorder="1"/>
    <xf numFmtId="171" fontId="4" fillId="7" borderId="23" xfId="92" applyNumberFormat="1" applyFont="1" applyFill="1" applyBorder="1"/>
    <xf numFmtId="171" fontId="107" fillId="0" borderId="51" xfId="21" applyNumberFormat="1" applyFont="1" applyBorder="1"/>
    <xf numFmtId="171" fontId="107" fillId="0" borderId="51" xfId="16" applyNumberFormat="1" applyFont="1" applyBorder="1"/>
    <xf numFmtId="0" fontId="4" fillId="0" borderId="24" xfId="21" applyNumberFormat="1" applyFont="1" applyBorder="1" applyAlignment="1">
      <alignment horizontal="left"/>
    </xf>
    <xf numFmtId="171" fontId="107" fillId="0" borderId="0" xfId="21" applyNumberFormat="1" applyFont="1" applyFill="1" applyBorder="1"/>
    <xf numFmtId="0" fontId="107" fillId="0" borderId="0" xfId="18" applyFont="1" applyAlignment="1">
      <alignment horizontal="center"/>
    </xf>
    <xf numFmtId="0" fontId="4" fillId="0" borderId="0" xfId="21" applyNumberFormat="1" applyFont="1" applyBorder="1" applyAlignment="1">
      <alignment horizontal="left"/>
    </xf>
    <xf numFmtId="0" fontId="4" fillId="0" borderId="19" xfId="21" applyNumberFormat="1" applyFont="1" applyBorder="1" applyAlignment="1">
      <alignment horizontal="left"/>
    </xf>
    <xf numFmtId="171" fontId="107" fillId="0" borderId="0" xfId="16" applyNumberFormat="1" applyFont="1"/>
    <xf numFmtId="171" fontId="107" fillId="0" borderId="7" xfId="21" applyNumberFormat="1" applyFont="1" applyFill="1" applyBorder="1"/>
    <xf numFmtId="0" fontId="81" fillId="0" borderId="24" xfId="16" applyFont="1" applyBorder="1" applyAlignment="1">
      <alignment horizontal="center" wrapText="1"/>
    </xf>
    <xf numFmtId="0" fontId="180" fillId="0" borderId="0" xfId="16" applyFont="1" applyAlignment="1">
      <alignment horizontal="center"/>
    </xf>
    <xf numFmtId="0" fontId="81" fillId="0" borderId="0" xfId="96" applyFont="1" applyAlignment="1">
      <alignment horizontal="left"/>
    </xf>
    <xf numFmtId="172" fontId="4" fillId="0" borderId="0" xfId="112" applyNumberFormat="1" applyFont="1"/>
    <xf numFmtId="43" fontId="82" fillId="0" borderId="0" xfId="113" applyFont="1" applyFill="1"/>
    <xf numFmtId="0" fontId="4" fillId="0" borderId="0" xfId="96" applyFont="1" applyAlignment="1">
      <alignment horizontal="left"/>
    </xf>
    <xf numFmtId="0" fontId="4" fillId="0" borderId="0" xfId="96" applyFont="1"/>
    <xf numFmtId="0" fontId="10" fillId="0" borderId="0" xfId="96"/>
    <xf numFmtId="0" fontId="10" fillId="5" borderId="0" xfId="96" applyFill="1"/>
    <xf numFmtId="0" fontId="4" fillId="0" borderId="0" xfId="114" applyFont="1"/>
    <xf numFmtId="0" fontId="104" fillId="0" borderId="0" xfId="96" applyFont="1"/>
    <xf numFmtId="0" fontId="81" fillId="0" borderId="0" xfId="96" applyFont="1" applyAlignment="1">
      <alignment horizontal="center"/>
    </xf>
    <xf numFmtId="0" fontId="81" fillId="16" borderId="0" xfId="96" applyFont="1" applyFill="1"/>
    <xf numFmtId="0" fontId="81" fillId="5" borderId="39" xfId="96" applyFont="1" applyFill="1" applyBorder="1" applyAlignment="1">
      <alignment horizontal="center" vertical="center"/>
    </xf>
    <xf numFmtId="0" fontId="4" fillId="0" borderId="0" xfId="96" applyFont="1" applyAlignment="1">
      <alignment vertical="center"/>
    </xf>
    <xf numFmtId="0" fontId="81" fillId="5" borderId="39" xfId="96" applyFont="1" applyFill="1" applyBorder="1" applyAlignment="1">
      <alignment horizontal="center" vertical="center" wrapText="1"/>
    </xf>
    <xf numFmtId="0" fontId="124" fillId="14" borderId="0" xfId="96" applyFont="1" applyFill="1"/>
    <xf numFmtId="0" fontId="81" fillId="16" borderId="0" xfId="96" applyFont="1" applyFill="1" applyAlignment="1">
      <alignment horizontal="left"/>
    </xf>
    <xf numFmtId="172" fontId="81" fillId="16" borderId="0" xfId="96" applyNumberFormat="1" applyFont="1" applyFill="1"/>
    <xf numFmtId="0" fontId="4" fillId="0" borderId="39" xfId="96" applyFont="1" applyBorder="1"/>
    <xf numFmtId="172" fontId="4" fillId="0" borderId="39" xfId="112" applyNumberFormat="1" applyFont="1" applyBorder="1"/>
    <xf numFmtId="172" fontId="4" fillId="0" borderId="39" xfId="112" applyNumberFormat="1" applyFont="1" applyFill="1" applyBorder="1"/>
    <xf numFmtId="172" fontId="4" fillId="0" borderId="39" xfId="96" applyNumberFormat="1" applyFont="1" applyBorder="1"/>
    <xf numFmtId="0" fontId="124" fillId="14" borderId="0" xfId="96" applyFont="1" applyFill="1" applyAlignment="1">
      <alignment horizontal="center"/>
    </xf>
    <xf numFmtId="0" fontId="4" fillId="0" borderId="0" xfId="96" applyFont="1" applyAlignment="1">
      <alignment horizontal="left" indent="1"/>
    </xf>
    <xf numFmtId="172" fontId="4" fillId="0" borderId="0" xfId="96" applyNumberFormat="1" applyFont="1"/>
    <xf numFmtId="9" fontId="4" fillId="0" borderId="0" xfId="63" applyFont="1" applyFill="1" applyBorder="1"/>
    <xf numFmtId="0" fontId="124" fillId="14" borderId="99" xfId="96" applyFont="1" applyFill="1" applyBorder="1"/>
    <xf numFmtId="0" fontId="124" fillId="14" borderId="99" xfId="96" applyFont="1" applyFill="1" applyBorder="1" applyAlignment="1">
      <alignment horizontal="center"/>
    </xf>
    <xf numFmtId="172" fontId="10" fillId="0" borderId="0" xfId="96" applyNumberFormat="1"/>
    <xf numFmtId="172" fontId="185" fillId="0" borderId="39" xfId="112" applyNumberFormat="1" applyFont="1" applyBorder="1"/>
    <xf numFmtId="172" fontId="185" fillId="0" borderId="39" xfId="96" applyNumberFormat="1" applyFont="1" applyBorder="1"/>
    <xf numFmtId="0" fontId="81" fillId="0" borderId="39" xfId="96" applyFont="1" applyBorder="1"/>
    <xf numFmtId="172" fontId="81" fillId="0" borderId="39" xfId="112" applyNumberFormat="1" applyFont="1" applyBorder="1"/>
    <xf numFmtId="0" fontId="81" fillId="5" borderId="39" xfId="96" applyFont="1" applyFill="1" applyBorder="1" applyAlignment="1">
      <alignment horizontal="center"/>
    </xf>
    <xf numFmtId="0" fontId="81" fillId="5" borderId="39" xfId="96" applyFont="1" applyFill="1" applyBorder="1" applyAlignment="1">
      <alignment horizontal="center" wrapText="1"/>
    </xf>
    <xf numFmtId="172" fontId="4" fillId="5" borderId="39" xfId="96" applyNumberFormat="1" applyFont="1" applyFill="1" applyBorder="1"/>
    <xf numFmtId="172" fontId="81" fillId="5" borderId="39" xfId="96" applyNumberFormat="1" applyFont="1" applyFill="1" applyBorder="1"/>
    <xf numFmtId="0" fontId="4" fillId="0" borderId="39" xfId="96" applyFont="1" applyBorder="1" applyAlignment="1">
      <alignment horizontal="left"/>
    </xf>
    <xf numFmtId="172" fontId="4" fillId="0" borderId="39" xfId="96" applyNumberFormat="1" applyFont="1" applyBorder="1" applyAlignment="1">
      <alignment horizontal="center"/>
    </xf>
    <xf numFmtId="0" fontId="107" fillId="0" borderId="39" xfId="96" applyFont="1" applyBorder="1"/>
    <xf numFmtId="178" fontId="107" fillId="0" borderId="39" xfId="96" applyNumberFormat="1" applyFont="1" applyBorder="1"/>
    <xf numFmtId="0" fontId="107" fillId="0" borderId="1" xfId="96" applyFont="1" applyBorder="1"/>
    <xf numFmtId="43" fontId="82" fillId="0" borderId="39" xfId="113" applyFont="1" applyFill="1" applyBorder="1"/>
    <xf numFmtId="43" fontId="107" fillId="0" borderId="39" xfId="113" applyFont="1" applyFill="1" applyBorder="1"/>
    <xf numFmtId="178" fontId="107" fillId="0" borderId="13" xfId="96" applyNumberFormat="1" applyFont="1" applyBorder="1"/>
    <xf numFmtId="172" fontId="180" fillId="0" borderId="41" xfId="96" applyNumberFormat="1" applyFont="1" applyBorder="1"/>
    <xf numFmtId="0" fontId="124" fillId="14" borderId="101" xfId="96" applyFont="1" applyFill="1" applyBorder="1"/>
    <xf numFmtId="172" fontId="124" fillId="14" borderId="115" xfId="96" applyNumberFormat="1" applyFont="1" applyFill="1" applyBorder="1"/>
    <xf numFmtId="44" fontId="81" fillId="2" borderId="0" xfId="114" applyNumberFormat="1" applyFont="1" applyFill="1"/>
    <xf numFmtId="172" fontId="4" fillId="0" borderId="0" xfId="112" applyNumberFormat="1" applyFont="1" applyBorder="1"/>
    <xf numFmtId="43" fontId="82" fillId="0" borderId="0" xfId="113" applyFont="1" applyFill="1" applyBorder="1"/>
    <xf numFmtId="0" fontId="107" fillId="0" borderId="8" xfId="96" applyFont="1" applyBorder="1"/>
    <xf numFmtId="0" fontId="186" fillId="0" borderId="116" xfId="114" applyFont="1" applyBorder="1" applyAlignment="1">
      <alignment horizontal="center"/>
    </xf>
    <xf numFmtId="43" fontId="107" fillId="0" borderId="0" xfId="113" applyFont="1" applyFill="1" applyBorder="1"/>
    <xf numFmtId="178" fontId="107" fillId="0" borderId="0" xfId="96" applyNumberFormat="1" applyFont="1"/>
    <xf numFmtId="172" fontId="107" fillId="0" borderId="0" xfId="96" applyNumberFormat="1" applyFont="1"/>
    <xf numFmtId="43" fontId="107" fillId="0" borderId="0" xfId="113" applyFont="1" applyFill="1"/>
    <xf numFmtId="0" fontId="107" fillId="0" borderId="0" xfId="96" applyFont="1"/>
    <xf numFmtId="172" fontId="81" fillId="0" borderId="0" xfId="96" applyNumberFormat="1" applyFont="1"/>
    <xf numFmtId="0" fontId="80" fillId="0" borderId="117" xfId="96" applyFont="1" applyBorder="1" applyAlignment="1">
      <alignment horizontal="center"/>
    </xf>
    <xf numFmtId="9" fontId="4" fillId="0" borderId="0" xfId="63" applyFont="1"/>
    <xf numFmtId="0" fontId="4" fillId="0" borderId="0" xfId="96" applyFont="1" applyAlignment="1">
      <alignment horizontal="right"/>
    </xf>
    <xf numFmtId="43" fontId="4" fillId="0" borderId="0" xfId="113" applyFont="1" applyFill="1"/>
    <xf numFmtId="44" fontId="4" fillId="0" borderId="0" xfId="96" applyNumberFormat="1" applyFont="1"/>
    <xf numFmtId="0" fontId="4" fillId="0" borderId="0" xfId="114" applyFont="1" applyAlignment="1">
      <alignment horizontal="right"/>
    </xf>
    <xf numFmtId="0" fontId="104" fillId="0" borderId="0" xfId="114" applyFont="1" applyAlignment="1">
      <alignment horizontal="right"/>
    </xf>
    <xf numFmtId="0" fontId="46" fillId="4" borderId="0" xfId="114" applyFont="1" applyFill="1"/>
    <xf numFmtId="0" fontId="188" fillId="0" borderId="0" xfId="114" quotePrefix="1" applyFont="1" applyAlignment="1">
      <alignment horizontal="right"/>
    </xf>
    <xf numFmtId="0" fontId="188" fillId="4" borderId="0" xfId="114" applyFont="1" applyFill="1" applyAlignment="1">
      <alignment wrapText="1"/>
    </xf>
    <xf numFmtId="171" fontId="46" fillId="4" borderId="3" xfId="66" applyNumberFormat="1" applyFont="1" applyFill="1" applyBorder="1"/>
    <xf numFmtId="171" fontId="46" fillId="4" borderId="0" xfId="66" applyNumberFormat="1" applyFont="1" applyFill="1"/>
    <xf numFmtId="171" fontId="189" fillId="4" borderId="0" xfId="66" applyNumberFormat="1" applyFont="1" applyFill="1"/>
    <xf numFmtId="171" fontId="189" fillId="4" borderId="3" xfId="66" applyNumberFormat="1" applyFont="1" applyFill="1" applyBorder="1"/>
    <xf numFmtId="0" fontId="46" fillId="4" borderId="0" xfId="114" applyFont="1" applyFill="1" applyAlignment="1">
      <alignment horizontal="left" indent="2"/>
    </xf>
    <xf numFmtId="172" fontId="46" fillId="4" borderId="0" xfId="2" applyNumberFormat="1" applyFont="1" applyFill="1"/>
    <xf numFmtId="172" fontId="46" fillId="4" borderId="51" xfId="2" applyNumberFormat="1" applyFont="1" applyFill="1" applyBorder="1"/>
    <xf numFmtId="172" fontId="46" fillId="9" borderId="51" xfId="2" applyNumberFormat="1" applyFont="1" applyFill="1" applyBorder="1"/>
    <xf numFmtId="0" fontId="46" fillId="4" borderId="0" xfId="114" applyFont="1" applyFill="1" applyAlignment="1">
      <alignment horizontal="center"/>
    </xf>
    <xf numFmtId="171" fontId="46" fillId="4" borderId="3" xfId="66" applyNumberFormat="1" applyFont="1" applyFill="1" applyBorder="1" applyAlignment="1">
      <alignment horizontal="center"/>
    </xf>
    <xf numFmtId="171" fontId="46" fillId="4" borderId="0" xfId="66" applyNumberFormat="1" applyFont="1" applyFill="1" applyAlignment="1">
      <alignment horizontal="center"/>
    </xf>
    <xf numFmtId="171" fontId="46" fillId="9" borderId="3" xfId="66" applyNumberFormat="1" applyFont="1" applyFill="1" applyBorder="1" applyAlignment="1">
      <alignment horizontal="center"/>
    </xf>
    <xf numFmtId="0" fontId="189" fillId="4" borderId="0" xfId="0" applyFont="1" applyFill="1" applyAlignment="1">
      <alignment horizontal="center"/>
    </xf>
    <xf numFmtId="171" fontId="189" fillId="4" borderId="0" xfId="66" applyNumberFormat="1" applyFont="1" applyFill="1" applyAlignment="1">
      <alignment horizontal="center"/>
    </xf>
    <xf numFmtId="171" fontId="189" fillId="4" borderId="3" xfId="66" applyNumberFormat="1" applyFont="1" applyFill="1" applyBorder="1" applyAlignment="1">
      <alignment horizontal="center"/>
    </xf>
    <xf numFmtId="171" fontId="46" fillId="4" borderId="0" xfId="66" applyNumberFormat="1" applyFont="1" applyFill="1" applyBorder="1" applyAlignment="1">
      <alignment horizontal="center"/>
    </xf>
    <xf numFmtId="172" fontId="46" fillId="4" borderId="15" xfId="2" applyNumberFormat="1" applyFont="1" applyFill="1" applyBorder="1"/>
    <xf numFmtId="172" fontId="46" fillId="9" borderId="15" xfId="2" applyNumberFormat="1" applyFont="1" applyFill="1" applyBorder="1"/>
    <xf numFmtId="171" fontId="46" fillId="4" borderId="0" xfId="0" applyNumberFormat="1" applyFont="1" applyFill="1"/>
    <xf numFmtId="171" fontId="46" fillId="9" borderId="0" xfId="66" applyNumberFormat="1" applyFont="1" applyFill="1"/>
    <xf numFmtId="43" fontId="46" fillId="4" borderId="0" xfId="66" applyFont="1" applyFill="1"/>
    <xf numFmtId="171" fontId="46" fillId="4" borderId="0" xfId="114" applyNumberFormat="1" applyFont="1" applyFill="1"/>
    <xf numFmtId="171" fontId="190" fillId="4" borderId="0" xfId="66" applyNumberFormat="1" applyFont="1" applyFill="1"/>
    <xf numFmtId="171" fontId="46" fillId="9" borderId="0" xfId="66" applyNumberFormat="1" applyFont="1" applyFill="1" applyAlignment="1">
      <alignment horizontal="center"/>
    </xf>
    <xf numFmtId="171" fontId="189" fillId="9" borderId="0" xfId="66" applyNumberFormat="1" applyFont="1" applyFill="1" applyAlignment="1">
      <alignment horizontal="center"/>
    </xf>
    <xf numFmtId="0" fontId="189" fillId="4" borderId="0" xfId="114" applyFont="1" applyFill="1" applyAlignment="1">
      <alignment horizontal="center"/>
    </xf>
    <xf numFmtId="171" fontId="46" fillId="4" borderId="0" xfId="66" applyNumberFormat="1" applyFont="1" applyFill="1" applyBorder="1"/>
    <xf numFmtId="171" fontId="46" fillId="9" borderId="0" xfId="66" applyNumberFormat="1" applyFont="1" applyFill="1" applyBorder="1"/>
    <xf numFmtId="9" fontId="46" fillId="4" borderId="0" xfId="7" applyFont="1" applyFill="1" applyAlignment="1">
      <alignment horizontal="center"/>
    </xf>
    <xf numFmtId="0" fontId="189" fillId="4" borderId="0" xfId="114" applyFont="1" applyFill="1" applyAlignment="1">
      <alignment horizontal="center" wrapText="1"/>
    </xf>
    <xf numFmtId="171" fontId="46" fillId="4" borderId="10" xfId="114" applyNumberFormat="1" applyFont="1" applyFill="1" applyBorder="1"/>
    <xf numFmtId="0" fontId="46" fillId="4" borderId="0" xfId="114" applyFont="1" applyFill="1" applyAlignment="1">
      <alignment wrapText="1"/>
    </xf>
    <xf numFmtId="0" fontId="191" fillId="9" borderId="0" xfId="114" applyFont="1" applyFill="1" applyAlignment="1">
      <alignment horizontal="center" wrapText="1"/>
    </xf>
    <xf numFmtId="14" fontId="191" fillId="4" borderId="0" xfId="114" applyNumberFormat="1" applyFont="1" applyFill="1" applyAlignment="1">
      <alignment horizontal="center" wrapText="1"/>
    </xf>
    <xf numFmtId="0" fontId="191" fillId="4" borderId="0" xfId="114" applyFont="1" applyFill="1" applyAlignment="1">
      <alignment horizontal="center" wrapText="1"/>
    </xf>
    <xf numFmtId="0" fontId="46" fillId="4" borderId="0" xfId="114" applyFont="1" applyFill="1" applyAlignment="1">
      <alignment horizontal="left" wrapText="1"/>
    </xf>
    <xf numFmtId="0" fontId="191" fillId="4" borderId="0" xfId="0" applyFont="1" applyFill="1" applyAlignment="1">
      <alignment horizontal="center" wrapText="1"/>
    </xf>
    <xf numFmtId="14" fontId="191" fillId="4" borderId="24" xfId="0" quotePrefix="1" applyNumberFormat="1" applyFont="1" applyFill="1" applyBorder="1" applyAlignment="1">
      <alignment horizontal="center" wrapText="1"/>
    </xf>
    <xf numFmtId="0" fontId="191" fillId="9" borderId="24" xfId="0" applyFont="1" applyFill="1" applyBorder="1" applyAlignment="1">
      <alignment horizontal="center" wrapText="1"/>
    </xf>
    <xf numFmtId="0" fontId="191" fillId="4" borderId="24" xfId="0" applyFont="1" applyFill="1" applyBorder="1" applyAlignment="1">
      <alignment horizontal="center" wrapText="1"/>
    </xf>
    <xf numFmtId="0" fontId="191" fillId="9" borderId="24" xfId="114" applyFont="1" applyFill="1" applyBorder="1" applyAlignment="1">
      <alignment horizontal="center" wrapText="1"/>
    </xf>
    <xf numFmtId="0" fontId="191" fillId="0" borderId="24" xfId="0" applyFont="1" applyBorder="1" applyAlignment="1">
      <alignment horizontal="center" wrapText="1"/>
    </xf>
    <xf numFmtId="14" fontId="191" fillId="4" borderId="24" xfId="114" applyNumberFormat="1" applyFont="1" applyFill="1" applyBorder="1" applyAlignment="1">
      <alignment horizontal="center" wrapText="1"/>
    </xf>
    <xf numFmtId="0" fontId="188" fillId="4" borderId="0" xfId="114" applyFont="1" applyFill="1"/>
    <xf numFmtId="0" fontId="191" fillId="9" borderId="0" xfId="114" applyFont="1" applyFill="1" applyAlignment="1">
      <alignment horizontal="center"/>
    </xf>
    <xf numFmtId="0" fontId="191" fillId="4" borderId="0" xfId="0" applyFont="1" applyFill="1" applyAlignment="1">
      <alignment horizontal="center"/>
    </xf>
    <xf numFmtId="0" fontId="191" fillId="4" borderId="0" xfId="0" quotePrefix="1" applyFont="1" applyFill="1" applyAlignment="1">
      <alignment horizontal="center"/>
    </xf>
    <xf numFmtId="0" fontId="191" fillId="4" borderId="0" xfId="114" applyFont="1" applyFill="1" applyAlignment="1">
      <alignment horizontal="center"/>
    </xf>
    <xf numFmtId="0" fontId="191" fillId="4" borderId="0" xfId="114" applyFont="1" applyFill="1"/>
    <xf numFmtId="0" fontId="189" fillId="9" borderId="0" xfId="0" applyFont="1" applyFill="1" applyAlignment="1">
      <alignment horizontal="center"/>
    </xf>
    <xf numFmtId="0" fontId="188" fillId="4" borderId="0" xfId="0" applyFont="1" applyFill="1"/>
    <xf numFmtId="0" fontId="189" fillId="9" borderId="0" xfId="114" applyFont="1" applyFill="1" applyAlignment="1">
      <alignment horizontal="center"/>
    </xf>
    <xf numFmtId="0" fontId="192" fillId="4" borderId="0" xfId="114" applyFont="1" applyFill="1"/>
    <xf numFmtId="0" fontId="189" fillId="9" borderId="0" xfId="0" quotePrefix="1" applyFont="1" applyFill="1" applyAlignment="1">
      <alignment horizontal="center"/>
    </xf>
    <xf numFmtId="0" fontId="191" fillId="9" borderId="17" xfId="0" applyFont="1" applyFill="1" applyBorder="1" applyAlignment="1">
      <alignment horizontal="center"/>
    </xf>
    <xf numFmtId="0" fontId="191" fillId="9" borderId="17" xfId="114" applyFont="1" applyFill="1" applyBorder="1" applyAlignment="1">
      <alignment horizontal="center"/>
    </xf>
    <xf numFmtId="0" fontId="46" fillId="4" borderId="0" xfId="0" applyFont="1" applyFill="1"/>
    <xf numFmtId="0" fontId="189" fillId="0" borderId="0" xfId="17" applyFont="1"/>
    <xf numFmtId="9" fontId="46" fillId="4" borderId="0" xfId="114" applyNumberFormat="1" applyFont="1" applyFill="1"/>
    <xf numFmtId="0" fontId="124" fillId="0" borderId="0" xfId="17" applyFont="1"/>
    <xf numFmtId="3" fontId="148" fillId="0" borderId="0" xfId="0" applyNumberFormat="1" applyFont="1"/>
    <xf numFmtId="3" fontId="84" fillId="0" borderId="0" xfId="0" applyNumberFormat="1" applyFont="1"/>
    <xf numFmtId="0" fontId="84" fillId="0" borderId="0" xfId="0" applyFont="1" applyAlignment="1">
      <alignment horizontal="right"/>
    </xf>
    <xf numFmtId="0" fontId="0" fillId="0" borderId="39" xfId="0" applyBorder="1"/>
    <xf numFmtId="0" fontId="55" fillId="0" borderId="15" xfId="0" applyFont="1" applyBorder="1"/>
    <xf numFmtId="5" fontId="0" fillId="0" borderId="13" xfId="0" applyNumberFormat="1" applyBorder="1"/>
    <xf numFmtId="0" fontId="55" fillId="0" borderId="0" xfId="0" applyFont="1" applyAlignment="1">
      <alignment horizontal="left" indent="1"/>
    </xf>
    <xf numFmtId="179" fontId="84" fillId="0" borderId="0" xfId="0" applyNumberFormat="1" applyFont="1"/>
    <xf numFmtId="5" fontId="193" fillId="0" borderId="0" xfId="0" applyNumberFormat="1" applyFont="1"/>
    <xf numFmtId="3" fontId="27" fillId="0" borderId="0" xfId="0" applyNumberFormat="1" applyFont="1"/>
    <xf numFmtId="0" fontId="0" fillId="0" borderId="112" xfId="0" applyBorder="1"/>
    <xf numFmtId="203" fontId="0" fillId="0" borderId="0" xfId="0" applyNumberFormat="1"/>
    <xf numFmtId="3" fontId="0" fillId="0" borderId="118" xfId="0" applyNumberFormat="1" applyBorder="1"/>
    <xf numFmtId="3" fontId="10" fillId="22" borderId="0" xfId="0" applyNumberFormat="1" applyFont="1" applyFill="1"/>
    <xf numFmtId="3" fontId="148" fillId="22" borderId="0" xfId="0" applyNumberFormat="1" applyFont="1" applyFill="1"/>
    <xf numFmtId="9" fontId="148" fillId="0" borderId="0" xfId="0" applyNumberFormat="1" applyFont="1"/>
    <xf numFmtId="3" fontId="0" fillId="0" borderId="5" xfId="0" applyNumberFormat="1" applyBorder="1"/>
    <xf numFmtId="3" fontId="10" fillId="0" borderId="1" xfId="0" applyNumberFormat="1" applyFont="1" applyBorder="1"/>
    <xf numFmtId="179" fontId="148" fillId="0" borderId="0" xfId="0" applyNumberFormat="1" applyFont="1"/>
    <xf numFmtId="3" fontId="10" fillId="0" borderId="5" xfId="0" applyNumberFormat="1" applyFont="1" applyBorder="1"/>
    <xf numFmtId="3" fontId="10" fillId="0" borderId="0" xfId="0" applyNumberFormat="1" applyFont="1"/>
    <xf numFmtId="0" fontId="27" fillId="0" borderId="0" xfId="0" applyFont="1" applyAlignment="1">
      <alignment horizontal="center" wrapText="1"/>
    </xf>
    <xf numFmtId="0" fontId="194" fillId="0" borderId="0" xfId="0" applyFont="1" applyAlignment="1">
      <alignment horizontal="center"/>
    </xf>
    <xf numFmtId="0" fontId="102" fillId="0" borderId="0" xfId="0" applyFont="1"/>
    <xf numFmtId="204" fontId="10" fillId="0" borderId="0" xfId="0" applyNumberFormat="1" applyFont="1"/>
    <xf numFmtId="0" fontId="27" fillId="0" borderId="0" xfId="0" applyFont="1" applyAlignment="1">
      <alignment horizontal="center"/>
    </xf>
    <xf numFmtId="3" fontId="0" fillId="0" borderId="1" xfId="0" applyNumberFormat="1" applyBorder="1"/>
    <xf numFmtId="3" fontId="0" fillId="0" borderId="3" xfId="0" applyNumberFormat="1" applyBorder="1"/>
    <xf numFmtId="3" fontId="148" fillId="0" borderId="3" xfId="0" applyNumberFormat="1" applyFont="1" applyBorder="1" applyAlignment="1">
      <alignment horizontal="center"/>
    </xf>
    <xf numFmtId="3" fontId="27" fillId="0" borderId="0" xfId="0" applyNumberFormat="1" applyFont="1" applyAlignment="1">
      <alignment horizontal="center"/>
    </xf>
    <xf numFmtId="3" fontId="148" fillId="0" borderId="0" xfId="0" applyNumberFormat="1" applyFont="1" applyAlignment="1">
      <alignment horizontal="center"/>
    </xf>
    <xf numFmtId="3" fontId="10" fillId="0" borderId="3" xfId="0" applyNumberFormat="1" applyFont="1" applyBorder="1"/>
    <xf numFmtId="3" fontId="148" fillId="0" borderId="3" xfId="0" applyNumberFormat="1" applyFont="1" applyBorder="1"/>
    <xf numFmtId="3" fontId="193" fillId="0" borderId="0" xfId="0" applyNumberFormat="1" applyFont="1"/>
    <xf numFmtId="0" fontId="10" fillId="0" borderId="0" xfId="0" applyFont="1" applyAlignment="1">
      <alignment vertical="center" wrapText="1"/>
    </xf>
    <xf numFmtId="3" fontId="10" fillId="0" borderId="0" xfId="0" applyNumberFormat="1" applyFont="1" applyAlignment="1">
      <alignment horizontal="center"/>
    </xf>
    <xf numFmtId="0" fontId="0" fillId="0" borderId="0" xfId="0" applyAlignment="1">
      <alignment horizontal="left" vertical="center" indent="1"/>
    </xf>
    <xf numFmtId="0" fontId="10" fillId="0" borderId="0" xfId="0" applyFont="1" applyAlignment="1">
      <alignment wrapText="1"/>
    </xf>
    <xf numFmtId="0" fontId="102" fillId="0" borderId="5" xfId="0" applyFont="1" applyBorder="1" applyAlignment="1">
      <alignment horizontal="center"/>
    </xf>
    <xf numFmtId="0" fontId="195" fillId="0" borderId="5" xfId="0" applyFont="1" applyBorder="1" applyAlignment="1">
      <alignment horizontal="right"/>
    </xf>
    <xf numFmtId="0" fontId="195" fillId="0" borderId="0" xfId="0" applyFont="1" applyAlignment="1">
      <alignment horizontal="right"/>
    </xf>
    <xf numFmtId="0" fontId="195" fillId="0" borderId="1" xfId="0" applyFont="1" applyBorder="1" applyAlignment="1">
      <alignment horizontal="right"/>
    </xf>
    <xf numFmtId="3" fontId="148" fillId="2" borderId="0" xfId="0" applyNumberFormat="1" applyFont="1" applyFill="1"/>
    <xf numFmtId="3" fontId="170" fillId="0" borderId="0" xfId="0" applyNumberFormat="1" applyFont="1"/>
    <xf numFmtId="3" fontId="10" fillId="0" borderId="10" xfId="0" applyNumberFormat="1" applyFont="1" applyBorder="1"/>
    <xf numFmtId="3" fontId="148" fillId="0" borderId="10" xfId="0" applyNumberFormat="1" applyFont="1" applyBorder="1"/>
    <xf numFmtId="3" fontId="170" fillId="0" borderId="10" xfId="0" applyNumberFormat="1" applyFont="1" applyBorder="1"/>
    <xf numFmtId="3" fontId="0" fillId="0" borderId="8" xfId="0" applyNumberFormat="1" applyBorder="1"/>
    <xf numFmtId="179" fontId="0" fillId="0" borderId="0" xfId="7" applyNumberFormat="1" applyFont="1"/>
    <xf numFmtId="3" fontId="10" fillId="5" borderId="0" xfId="0" applyNumberFormat="1" applyFont="1" applyFill="1"/>
    <xf numFmtId="3" fontId="148" fillId="5" borderId="0" xfId="0" applyNumberFormat="1" applyFont="1" applyFill="1"/>
    <xf numFmtId="0" fontId="194" fillId="0" borderId="0" xfId="0" applyFont="1"/>
    <xf numFmtId="0" fontId="27" fillId="0" borderId="0" xfId="0" applyFont="1"/>
    <xf numFmtId="3" fontId="10" fillId="0" borderId="39" xfId="0" applyNumberFormat="1" applyFont="1" applyBorder="1"/>
    <xf numFmtId="3" fontId="10" fillId="0" borderId="15" xfId="0" applyNumberFormat="1" applyFont="1" applyBorder="1"/>
    <xf numFmtId="3" fontId="170" fillId="0" borderId="15" xfId="0" applyNumberFormat="1" applyFont="1" applyBorder="1"/>
    <xf numFmtId="0" fontId="27" fillId="0" borderId="0" xfId="0" applyFont="1" applyAlignment="1">
      <alignment horizontal="left" indent="1"/>
    </xf>
    <xf numFmtId="0" fontId="27" fillId="0" borderId="0" xfId="0" applyFont="1" applyAlignment="1">
      <alignment wrapText="1"/>
    </xf>
    <xf numFmtId="0" fontId="0" fillId="0" borderId="0" xfId="0" applyAlignment="1">
      <alignment horizontal="left" wrapText="1"/>
    </xf>
    <xf numFmtId="3" fontId="196" fillId="0" borderId="0" xfId="0" applyNumberFormat="1" applyFont="1"/>
    <xf numFmtId="0" fontId="0" fillId="0" borderId="5" xfId="0" applyBorder="1"/>
    <xf numFmtId="0" fontId="195" fillId="0" borderId="5" xfId="0" applyFont="1" applyBorder="1" applyAlignment="1">
      <alignment horizontal="center"/>
    </xf>
    <xf numFmtId="2" fontId="70" fillId="0" borderId="0" xfId="0" applyNumberFormat="1" applyFont="1" applyAlignment="1">
      <alignment horizontal="center"/>
    </xf>
    <xf numFmtId="0" fontId="195" fillId="0" borderId="0" xfId="0" applyFont="1" applyAlignment="1">
      <alignment horizontal="center"/>
    </xf>
    <xf numFmtId="0" fontId="195" fillId="0" borderId="1" xfId="0" applyFont="1" applyBorder="1" applyAlignment="1">
      <alignment horizontal="center"/>
    </xf>
    <xf numFmtId="0" fontId="27" fillId="0" borderId="0" xfId="0" applyFont="1" applyAlignment="1">
      <alignment horizontal="left"/>
    </xf>
    <xf numFmtId="0" fontId="197" fillId="0" borderId="0" xfId="0" applyFont="1"/>
    <xf numFmtId="199" fontId="27" fillId="0" borderId="0" xfId="0" applyNumberFormat="1" applyFont="1"/>
    <xf numFmtId="5" fontId="27" fillId="0" borderId="0" xfId="0" applyNumberFormat="1" applyFont="1"/>
    <xf numFmtId="37" fontId="27" fillId="0" borderId="0" xfId="0" applyNumberFormat="1" applyFont="1"/>
    <xf numFmtId="0" fontId="27" fillId="0" borderId="3" xfId="0" applyFont="1" applyBorder="1"/>
    <xf numFmtId="37" fontId="197" fillId="0" borderId="0" xfId="0" applyNumberFormat="1" applyFont="1"/>
    <xf numFmtId="0" fontId="198" fillId="0" borderId="0" xfId="0" applyFont="1"/>
    <xf numFmtId="37" fontId="196" fillId="4" borderId="0" xfId="0" applyNumberFormat="1" applyFont="1" applyFill="1"/>
    <xf numFmtId="5" fontId="27" fillId="0" borderId="3" xfId="0" applyNumberFormat="1" applyFont="1" applyBorder="1"/>
    <xf numFmtId="0" fontId="27" fillId="4" borderId="0" xfId="0" applyFont="1" applyFill="1"/>
    <xf numFmtId="0" fontId="197" fillId="4" borderId="0" xfId="0" applyFont="1" applyFill="1"/>
    <xf numFmtId="10" fontId="27" fillId="0" borderId="0" xfId="7" applyNumberFormat="1" applyFont="1"/>
    <xf numFmtId="0" fontId="27" fillId="0" borderId="10" xfId="0" applyFont="1" applyBorder="1" applyAlignment="1">
      <alignment horizontal="center"/>
    </xf>
    <xf numFmtId="0" fontId="197" fillId="0" borderId="0" xfId="0" applyFont="1" applyAlignment="1">
      <alignment horizontal="left"/>
    </xf>
    <xf numFmtId="10" fontId="27" fillId="0" borderId="0" xfId="0" applyNumberFormat="1" applyFont="1"/>
    <xf numFmtId="39" fontId="27" fillId="0" borderId="0" xfId="0" applyNumberFormat="1" applyFont="1"/>
    <xf numFmtId="0" fontId="199" fillId="0" borderId="0" xfId="0" applyFont="1"/>
    <xf numFmtId="10" fontId="199" fillId="0" borderId="0" xfId="0" applyNumberFormat="1" applyFont="1"/>
    <xf numFmtId="0" fontId="199" fillId="0" borderId="0" xfId="0" applyFont="1" applyAlignment="1">
      <alignment horizontal="left"/>
    </xf>
    <xf numFmtId="5" fontId="199" fillId="0" borderId="0" xfId="0" applyNumberFormat="1" applyFont="1"/>
    <xf numFmtId="5" fontId="27" fillId="0" borderId="10" xfId="0" applyNumberFormat="1" applyFont="1" applyBorder="1"/>
    <xf numFmtId="37" fontId="27" fillId="0" borderId="10" xfId="0" applyNumberFormat="1" applyFont="1" applyBorder="1"/>
    <xf numFmtId="167" fontId="27" fillId="0" borderId="0" xfId="7" applyNumberFormat="1" applyFont="1"/>
    <xf numFmtId="5" fontId="27" fillId="0" borderId="0" xfId="0" applyNumberFormat="1" applyFont="1" applyAlignment="1">
      <alignment horizontal="left" indent="1"/>
    </xf>
    <xf numFmtId="199" fontId="27" fillId="0" borderId="10" xfId="0" applyNumberFormat="1" applyFont="1" applyBorder="1"/>
    <xf numFmtId="0" fontId="27" fillId="0" borderId="10" xfId="0" applyFont="1" applyBorder="1"/>
    <xf numFmtId="199" fontId="27" fillId="4" borderId="10" xfId="0" applyNumberFormat="1" applyFont="1" applyFill="1" applyBorder="1"/>
    <xf numFmtId="199" fontId="27" fillId="0" borderId="0" xfId="0" applyNumberFormat="1" applyFont="1" applyAlignment="1">
      <alignment horizontal="left" indent="1"/>
    </xf>
    <xf numFmtId="3" fontId="27" fillId="0" borderId="0" xfId="0" applyNumberFormat="1" applyFont="1" applyAlignment="1">
      <alignment horizontal="left" indent="1"/>
    </xf>
    <xf numFmtId="0" fontId="27" fillId="0" borderId="15" xfId="0" applyFont="1" applyBorder="1"/>
    <xf numFmtId="205" fontId="27" fillId="0" borderId="10" xfId="0" applyNumberFormat="1" applyFont="1" applyBorder="1"/>
    <xf numFmtId="6" fontId="27" fillId="0" borderId="0" xfId="2" applyNumberFormat="1" applyFont="1"/>
    <xf numFmtId="37" fontId="27" fillId="0" borderId="10" xfId="2" applyNumberFormat="1" applyFont="1" applyBorder="1"/>
    <xf numFmtId="6" fontId="27" fillId="0" borderId="3" xfId="2" applyNumberFormat="1" applyFont="1" applyBorder="1"/>
    <xf numFmtId="206" fontId="27" fillId="0" borderId="0" xfId="0" applyNumberFormat="1" applyFont="1"/>
    <xf numFmtId="206" fontId="27" fillId="0" borderId="0" xfId="2" applyNumberFormat="1" applyFont="1"/>
    <xf numFmtId="207" fontId="27" fillId="0" borderId="0" xfId="0" applyNumberFormat="1" applyFont="1"/>
    <xf numFmtId="0" fontId="200" fillId="0" borderId="10" xfId="0" applyFont="1" applyBorder="1"/>
    <xf numFmtId="5" fontId="27" fillId="0" borderId="0" xfId="2" applyNumberFormat="1" applyFont="1"/>
    <xf numFmtId="5" fontId="27" fillId="0" borderId="10" xfId="2" applyNumberFormat="1" applyFont="1" applyBorder="1"/>
    <xf numFmtId="199" fontId="27" fillId="4" borderId="0" xfId="0" applyNumberFormat="1" applyFont="1" applyFill="1"/>
    <xf numFmtId="37" fontId="196" fillId="0" borderId="0" xfId="0" applyNumberFormat="1" applyFont="1"/>
    <xf numFmtId="37" fontId="173" fillId="0" borderId="0" xfId="0" applyNumberFormat="1" applyFont="1"/>
    <xf numFmtId="37" fontId="173" fillId="4" borderId="0" xfId="0" applyNumberFormat="1" applyFont="1" applyFill="1"/>
    <xf numFmtId="37" fontId="27" fillId="4" borderId="0" xfId="2" applyNumberFormat="1" applyFont="1" applyFill="1"/>
    <xf numFmtId="3" fontId="27" fillId="4" borderId="0" xfId="0" applyNumberFormat="1" applyFont="1" applyFill="1" applyAlignment="1">
      <alignment horizontal="left" indent="1"/>
    </xf>
    <xf numFmtId="37" fontId="27" fillId="0" borderId="0" xfId="2" applyNumberFormat="1" applyFont="1"/>
    <xf numFmtId="37" fontId="173" fillId="0" borderId="0" xfId="2" applyNumberFormat="1" applyFont="1"/>
    <xf numFmtId="171" fontId="173" fillId="0" borderId="0" xfId="1" applyNumberFormat="1" applyFont="1" applyFill="1"/>
    <xf numFmtId="171" fontId="201" fillId="0" borderId="0" xfId="1" applyNumberFormat="1" applyFont="1" applyFill="1"/>
    <xf numFmtId="37" fontId="27" fillId="0" borderId="0" xfId="2" applyNumberFormat="1" applyFont="1" applyBorder="1"/>
    <xf numFmtId="5" fontId="27" fillId="4" borderId="0" xfId="0" applyNumberFormat="1" applyFont="1" applyFill="1"/>
    <xf numFmtId="6" fontId="27" fillId="0" borderId="0" xfId="2" applyNumberFormat="1" applyFont="1" applyBorder="1"/>
    <xf numFmtId="208" fontId="197" fillId="4" borderId="0" xfId="0" applyNumberFormat="1" applyFont="1" applyFill="1"/>
    <xf numFmtId="208" fontId="197" fillId="0" borderId="0" xfId="0" applyNumberFormat="1" applyFont="1"/>
    <xf numFmtId="0" fontId="196" fillId="0" borderId="0" xfId="0" applyFont="1"/>
    <xf numFmtId="208" fontId="202" fillId="4" borderId="0" xfId="0" applyNumberFormat="1" applyFont="1" applyFill="1"/>
    <xf numFmtId="0" fontId="196" fillId="4" borderId="0" xfId="0" applyFont="1" applyFill="1"/>
    <xf numFmtId="209" fontId="202" fillId="4" borderId="0" xfId="0" applyNumberFormat="1" applyFont="1" applyFill="1"/>
    <xf numFmtId="209" fontId="197" fillId="0" borderId="0" xfId="0" applyNumberFormat="1" applyFont="1"/>
    <xf numFmtId="0" fontId="203" fillId="0" borderId="0" xfId="0" applyFont="1" applyAlignment="1">
      <alignment horizontal="left"/>
    </xf>
    <xf numFmtId="210" fontId="197" fillId="0" borderId="0" xfId="0" applyNumberFormat="1" applyFont="1"/>
    <xf numFmtId="0" fontId="197" fillId="0" borderId="0" xfId="0" quotePrefix="1" applyFont="1"/>
    <xf numFmtId="180" fontId="27" fillId="0" borderId="0" xfId="0" applyNumberFormat="1" applyFont="1" applyAlignment="1">
      <alignment horizontal="center"/>
    </xf>
    <xf numFmtId="0" fontId="204" fillId="0" borderId="0" xfId="0" applyFont="1"/>
    <xf numFmtId="3" fontId="27" fillId="4" borderId="0" xfId="0" applyNumberFormat="1" applyFont="1" applyFill="1"/>
    <xf numFmtId="211" fontId="197" fillId="0" borderId="0" xfId="0" applyNumberFormat="1" applyFont="1"/>
    <xf numFmtId="206" fontId="27" fillId="0" borderId="10" xfId="0" applyNumberFormat="1" applyFont="1" applyBorder="1"/>
    <xf numFmtId="206" fontId="27" fillId="0" borderId="3" xfId="0" applyNumberFormat="1" applyFont="1" applyBorder="1"/>
    <xf numFmtId="206" fontId="27" fillId="0" borderId="0" xfId="0" applyNumberFormat="1" applyFont="1" applyAlignment="1">
      <alignment horizontal="center"/>
    </xf>
    <xf numFmtId="206" fontId="27" fillId="4" borderId="0" xfId="0" applyNumberFormat="1" applyFont="1" applyFill="1"/>
    <xf numFmtId="0" fontId="197" fillId="0" borderId="0" xfId="0" applyFont="1" applyAlignment="1">
      <alignment horizontal="right"/>
    </xf>
    <xf numFmtId="0" fontId="206" fillId="0" borderId="0" xfId="0" applyFont="1" applyAlignment="1">
      <alignment horizontal="left" indent="1"/>
    </xf>
    <xf numFmtId="0" fontId="197" fillId="0" borderId="0" xfId="0" applyFont="1" applyAlignment="1">
      <alignment horizontal="center"/>
    </xf>
    <xf numFmtId="0" fontId="207" fillId="0" borderId="0" xfId="0" applyFont="1"/>
    <xf numFmtId="0" fontId="208" fillId="0" borderId="0" xfId="0" applyFont="1" applyAlignment="1">
      <alignment horizontal="left"/>
    </xf>
    <xf numFmtId="167" fontId="31"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9" fillId="0" borderId="0" xfId="36"/>
    <xf numFmtId="0" fontId="59" fillId="0" borderId="0" xfId="36" applyAlignment="1">
      <alignment horizontal="left"/>
    </xf>
    <xf numFmtId="49" fontId="59" fillId="4" borderId="0" xfId="36" applyNumberFormat="1" applyFill="1" applyAlignment="1">
      <alignment horizontal="center"/>
    </xf>
    <xf numFmtId="3" fontId="59" fillId="0" borderId="0" xfId="36" applyNumberFormat="1"/>
    <xf numFmtId="0" fontId="47" fillId="0" borderId="0" xfId="36" applyFont="1" applyAlignment="1">
      <alignment horizontal="left"/>
    </xf>
    <xf numFmtId="3" fontId="47" fillId="0" borderId="0" xfId="36" applyNumberFormat="1" applyFont="1" applyAlignment="1">
      <alignment horizontal="left"/>
    </xf>
    <xf numFmtId="49" fontId="47" fillId="4" borderId="0" xfId="36" applyNumberFormat="1" applyFont="1" applyFill="1" applyAlignment="1">
      <alignment horizontal="center"/>
    </xf>
    <xf numFmtId="173" fontId="47" fillId="0" borderId="0" xfId="36" applyNumberFormat="1" applyFont="1" applyAlignment="1">
      <alignment horizontal="left"/>
    </xf>
    <xf numFmtId="37" fontId="47" fillId="0" borderId="0" xfId="36" applyNumberFormat="1" applyFont="1" applyAlignment="1">
      <alignment shrinkToFit="1"/>
    </xf>
    <xf numFmtId="37" fontId="47" fillId="0" borderId="7" xfId="36" applyNumberFormat="1" applyFont="1" applyBorder="1" applyAlignment="1">
      <alignment shrinkToFit="1"/>
    </xf>
    <xf numFmtId="37" fontId="47" fillId="4" borderId="0" xfId="36" applyNumberFormat="1" applyFont="1" applyFill="1" applyAlignment="1">
      <alignment shrinkToFit="1"/>
    </xf>
    <xf numFmtId="174" fontId="47" fillId="0" borderId="0" xfId="36" applyNumberFormat="1" applyFont="1" applyAlignment="1">
      <alignment horizontal="left"/>
    </xf>
    <xf numFmtId="3" fontId="59" fillId="2" borderId="0" xfId="36" applyNumberFormat="1" applyFill="1"/>
    <xf numFmtId="0" fontId="59" fillId="2" borderId="0" xfId="36" applyFill="1"/>
    <xf numFmtId="0" fontId="210" fillId="2" borderId="0" xfId="36" applyFont="1" applyFill="1"/>
    <xf numFmtId="37" fontId="47" fillId="23" borderId="0" xfId="36" applyNumberFormat="1" applyFont="1" applyFill="1" applyAlignment="1">
      <alignment shrinkToFit="1"/>
    </xf>
    <xf numFmtId="37" fontId="211" fillId="2" borderId="7" xfId="36" applyNumberFormat="1" applyFont="1" applyFill="1" applyBorder="1" applyAlignment="1">
      <alignment shrinkToFit="1"/>
    </xf>
    <xf numFmtId="49" fontId="47" fillId="0" borderId="0" xfId="36" applyNumberFormat="1" applyFont="1" applyAlignment="1">
      <alignment horizontal="left"/>
    </xf>
    <xf numFmtId="3" fontId="43" fillId="2" borderId="0" xfId="36" applyNumberFormat="1" applyFont="1" applyFill="1"/>
    <xf numFmtId="3" fontId="212" fillId="2" borderId="0" xfId="36" applyNumberFormat="1" applyFont="1" applyFill="1"/>
    <xf numFmtId="37" fontId="211" fillId="0" borderId="0" xfId="36" applyNumberFormat="1" applyFont="1" applyAlignment="1">
      <alignment shrinkToFit="1"/>
    </xf>
    <xf numFmtId="37" fontId="211" fillId="23" borderId="0" xfId="36" applyNumberFormat="1" applyFont="1" applyFill="1" applyAlignment="1">
      <alignment shrinkToFit="1"/>
    </xf>
    <xf numFmtId="3" fontId="43" fillId="0" borderId="0" xfId="36" applyNumberFormat="1" applyFont="1"/>
    <xf numFmtId="37" fontId="211" fillId="2" borderId="0" xfId="36" applyNumberFormat="1" applyFont="1" applyFill="1" applyAlignment="1">
      <alignment shrinkToFit="1"/>
    </xf>
    <xf numFmtId="3" fontId="47" fillId="0" borderId="10" xfId="36" applyNumberFormat="1" applyFont="1" applyBorder="1" applyAlignment="1">
      <alignment horizontal="right"/>
    </xf>
    <xf numFmtId="0" fontId="47" fillId="0" borderId="10" xfId="36" applyFont="1" applyBorder="1" applyAlignment="1">
      <alignment horizontal="left"/>
    </xf>
    <xf numFmtId="3" fontId="47" fillId="0" borderId="10" xfId="36" applyNumberFormat="1" applyFont="1" applyBorder="1" applyAlignment="1">
      <alignment horizontal="left"/>
    </xf>
    <xf numFmtId="173" fontId="47" fillId="0" borderId="10" xfId="36" applyNumberFormat="1" applyFont="1" applyBorder="1" applyAlignment="1">
      <alignment horizontal="left"/>
    </xf>
    <xf numFmtId="49" fontId="47" fillId="4" borderId="10" xfId="36" applyNumberFormat="1" applyFont="1" applyFill="1" applyBorder="1" applyAlignment="1">
      <alignment horizontal="center"/>
    </xf>
    <xf numFmtId="0" fontId="47" fillId="0" borderId="8" xfId="36" applyFont="1" applyBorder="1" applyAlignment="1">
      <alignment horizontal="left"/>
    </xf>
    <xf numFmtId="0" fontId="47" fillId="0" borderId="11" xfId="36" applyFont="1" applyBorder="1" applyAlignment="1">
      <alignment horizontal="left"/>
    </xf>
    <xf numFmtId="49" fontId="47" fillId="4" borderId="9" xfId="36" applyNumberFormat="1" applyFont="1" applyFill="1" applyBorder="1"/>
    <xf numFmtId="3" fontId="47" fillId="0" borderId="0" xfId="36" applyNumberFormat="1" applyFont="1"/>
    <xf numFmtId="173" fontId="47" fillId="0" borderId="5" xfId="36" applyNumberFormat="1" applyFont="1" applyBorder="1" applyAlignment="1">
      <alignment horizontal="left"/>
    </xf>
    <xf numFmtId="0" fontId="47" fillId="0" borderId="7" xfId="36" applyFont="1" applyBorder="1" applyAlignment="1">
      <alignment horizontal="left"/>
    </xf>
    <xf numFmtId="49" fontId="47" fillId="4" borderId="6" xfId="36" applyNumberFormat="1" applyFont="1" applyFill="1" applyBorder="1"/>
    <xf numFmtId="173" fontId="211" fillId="0" borderId="5" xfId="36" applyNumberFormat="1" applyFont="1" applyBorder="1" applyAlignment="1">
      <alignment horizontal="left"/>
    </xf>
    <xf numFmtId="0" fontId="47" fillId="0" borderId="4" xfId="36" applyFont="1" applyBorder="1" applyAlignment="1">
      <alignment horizontal="left"/>
    </xf>
    <xf numFmtId="0" fontId="47" fillId="0" borderId="3" xfId="36" applyFont="1" applyBorder="1" applyAlignment="1">
      <alignment horizontal="left"/>
    </xf>
    <xf numFmtId="173" fontId="47" fillId="0" borderId="3" xfId="36" applyNumberFormat="1" applyFont="1" applyBorder="1" applyAlignment="1">
      <alignment horizontal="left"/>
    </xf>
    <xf numFmtId="49" fontId="211" fillId="4" borderId="2" xfId="36" applyNumberFormat="1" applyFont="1" applyFill="1" applyBorder="1"/>
    <xf numFmtId="0" fontId="47" fillId="0" borderId="1" xfId="36" applyFont="1" applyBorder="1" applyAlignment="1">
      <alignment horizontal="left"/>
    </xf>
    <xf numFmtId="0" fontId="47" fillId="0" borderId="14" xfId="36" applyFont="1" applyBorder="1" applyAlignment="1">
      <alignment horizontal="left"/>
    </xf>
    <xf numFmtId="0" fontId="47" fillId="0" borderId="15" xfId="36" applyFont="1" applyBorder="1" applyAlignment="1">
      <alignment horizontal="left"/>
    </xf>
    <xf numFmtId="173" fontId="47" fillId="0" borderId="15" xfId="36" applyNumberFormat="1" applyFont="1" applyBorder="1" applyAlignment="1">
      <alignment horizontal="left"/>
    </xf>
    <xf numFmtId="49" fontId="47" fillId="4" borderId="13" xfId="36" applyNumberFormat="1" applyFont="1" applyFill="1" applyBorder="1"/>
    <xf numFmtId="0" fontId="81" fillId="0" borderId="0" xfId="228" applyFont="1"/>
    <xf numFmtId="0" fontId="3" fillId="0" borderId="0" xfId="228"/>
    <xf numFmtId="0" fontId="81" fillId="0" borderId="0" xfId="229" applyNumberFormat="1" applyFont="1" applyAlignment="1">
      <alignment horizontal="center"/>
    </xf>
    <xf numFmtId="171" fontId="81" fillId="0" borderId="0" xfId="229" applyNumberFormat="1" applyFont="1" applyAlignment="1">
      <alignment horizontal="center"/>
    </xf>
    <xf numFmtId="171" fontId="3" fillId="0" borderId="0" xfId="229" applyNumberFormat="1" applyFont="1" applyAlignment="1">
      <alignment horizontal="right"/>
    </xf>
    <xf numFmtId="171" fontId="3" fillId="0" borderId="39" xfId="1" applyNumberFormat="1" applyFont="1" applyBorder="1" applyAlignment="1">
      <alignment horizontal="center"/>
    </xf>
    <xf numFmtId="171" fontId="3" fillId="0" borderId="0" xfId="1" applyNumberFormat="1" applyFont="1" applyFill="1" applyBorder="1" applyAlignment="1">
      <alignment horizontal="center"/>
    </xf>
    <xf numFmtId="171" fontId="0" fillId="0" borderId="98" xfId="0" applyNumberFormat="1" applyBorder="1"/>
    <xf numFmtId="0" fontId="107" fillId="0" borderId="0" xfId="228" applyFont="1"/>
    <xf numFmtId="49" fontId="182" fillId="0" borderId="0" xfId="230" applyNumberFormat="1" applyFont="1" applyAlignment="1">
      <alignment horizontal="center" wrapText="1"/>
    </xf>
    <xf numFmtId="212" fontId="213" fillId="0" borderId="0" xfId="230" applyNumberFormat="1" applyFont="1" applyAlignment="1">
      <alignment horizontal="left"/>
    </xf>
    <xf numFmtId="170" fontId="213" fillId="0" borderId="0" xfId="231" applyNumberFormat="1" applyFont="1" applyFill="1"/>
    <xf numFmtId="0" fontId="214" fillId="0" borderId="0" xfId="228" applyFont="1"/>
    <xf numFmtId="171" fontId="3" fillId="0" borderId="0" xfId="228" applyNumberFormat="1"/>
    <xf numFmtId="1" fontId="81" fillId="0" borderId="0" xfId="228" applyNumberFormat="1" applyFont="1" applyAlignment="1">
      <alignment horizontal="left"/>
    </xf>
    <xf numFmtId="170" fontId="3" fillId="0" borderId="0" xfId="19" applyNumberFormat="1" applyFont="1"/>
    <xf numFmtId="170" fontId="3" fillId="0" borderId="0" xfId="232" applyNumberFormat="1" applyFont="1" applyFill="1"/>
    <xf numFmtId="0" fontId="180" fillId="0" borderId="0" xfId="228" applyFont="1"/>
    <xf numFmtId="0" fontId="3" fillId="0" borderId="0" xfId="228" applyAlignment="1">
      <alignment horizontal="right"/>
    </xf>
    <xf numFmtId="0" fontId="107" fillId="0" borderId="0" xfId="228" applyFont="1" applyAlignment="1">
      <alignment horizontal="right"/>
    </xf>
    <xf numFmtId="0" fontId="81" fillId="13" borderId="0" xfId="228" applyFont="1" applyFill="1" applyAlignment="1">
      <alignment horizontal="left"/>
    </xf>
    <xf numFmtId="171" fontId="3" fillId="0" borderId="39" xfId="229" applyNumberFormat="1" applyFont="1" applyBorder="1" applyAlignment="1">
      <alignment horizontal="center"/>
    </xf>
    <xf numFmtId="171" fontId="3" fillId="13" borderId="0" xfId="229" applyNumberFormat="1" applyFont="1" applyFill="1"/>
    <xf numFmtId="0" fontId="3" fillId="13" borderId="0" xfId="228" applyFill="1"/>
    <xf numFmtId="171" fontId="3" fillId="13" borderId="0" xfId="228" applyNumberFormat="1" applyFill="1"/>
    <xf numFmtId="171" fontId="3" fillId="0" borderId="0" xfId="229" applyNumberFormat="1" applyFont="1" applyFill="1"/>
    <xf numFmtId="171" fontId="3" fillId="0" borderId="15" xfId="229" applyNumberFormat="1" applyFont="1" applyBorder="1"/>
    <xf numFmtId="171" fontId="3" fillId="0" borderId="0" xfId="229" applyNumberFormat="1" applyFont="1"/>
    <xf numFmtId="0" fontId="109" fillId="5" borderId="0" xfId="0" applyFont="1" applyFill="1"/>
    <xf numFmtId="43" fontId="0" fillId="0" borderId="0" xfId="233" applyFont="1"/>
    <xf numFmtId="171" fontId="0" fillId="0" borderId="0" xfId="233" applyNumberFormat="1" applyFont="1"/>
    <xf numFmtId="171" fontId="81" fillId="0" borderId="0" xfId="234" applyNumberFormat="1" applyFont="1" applyAlignment="1">
      <alignment horizontal="center"/>
    </xf>
    <xf numFmtId="164" fontId="0" fillId="2" borderId="0" xfId="0" applyNumberFormat="1" applyFill="1"/>
    <xf numFmtId="171" fontId="81" fillId="0" borderId="0" xfId="233" applyNumberFormat="1" applyFont="1"/>
    <xf numFmtId="171" fontId="0" fillId="0" borderId="0" xfId="234" applyNumberFormat="1" applyFont="1"/>
    <xf numFmtId="0" fontId="0" fillId="24" borderId="0" xfId="0" applyFill="1"/>
    <xf numFmtId="14" fontId="0" fillId="0" borderId="0" xfId="0" applyNumberFormat="1"/>
    <xf numFmtId="0" fontId="81" fillId="0" borderId="10" xfId="0" applyFont="1" applyBorder="1"/>
    <xf numFmtId="171" fontId="183" fillId="0" borderId="0" xfId="233" applyNumberFormat="1" applyFont="1" applyFill="1"/>
    <xf numFmtId="0" fontId="183"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1"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3" fillId="0" borderId="0" xfId="233" applyNumberFormat="1" applyFont="1"/>
    <xf numFmtId="171" fontId="0" fillId="0" borderId="1" xfId="233" applyNumberFormat="1" applyFont="1" applyBorder="1"/>
    <xf numFmtId="171" fontId="81" fillId="7" borderId="17" xfId="233" applyNumberFormat="1" applyFont="1" applyFill="1" applyBorder="1"/>
    <xf numFmtId="171" fontId="0" fillId="0" borderId="5" xfId="233" applyNumberFormat="1" applyFont="1" applyBorder="1"/>
    <xf numFmtId="0" fontId="81"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1" fillId="2" borderId="0" xfId="0" applyNumberFormat="1" applyFont="1" applyFill="1"/>
    <xf numFmtId="171" fontId="0" fillId="0" borderId="8" xfId="233" applyNumberFormat="1" applyFont="1" applyBorder="1"/>
    <xf numFmtId="171" fontId="0" fillId="2" borderId="0" xfId="233" applyNumberFormat="1" applyFont="1" applyFill="1"/>
    <xf numFmtId="171" fontId="168" fillId="0" borderId="0" xfId="0" applyNumberFormat="1" applyFont="1"/>
    <xf numFmtId="171" fontId="0" fillId="0" borderId="10" xfId="233" applyNumberFormat="1" applyFont="1" applyBorder="1"/>
    <xf numFmtId="43" fontId="183" fillId="0" borderId="0" xfId="233" applyFont="1"/>
    <xf numFmtId="43" fontId="80" fillId="0" borderId="0" xfId="233" applyFont="1"/>
    <xf numFmtId="171" fontId="81" fillId="7" borderId="15" xfId="233" applyNumberFormat="1" applyFont="1" applyFill="1" applyBorder="1"/>
    <xf numFmtId="171" fontId="0" fillId="5" borderId="0" xfId="233" applyNumberFormat="1" applyFont="1" applyFill="1"/>
    <xf numFmtId="0" fontId="3" fillId="0" borderId="0" xfId="235"/>
    <xf numFmtId="0" fontId="81" fillId="13" borderId="0" xfId="0" applyFont="1" applyFill="1"/>
    <xf numFmtId="164" fontId="81" fillId="13" borderId="0" xfId="0" applyNumberFormat="1" applyFont="1" applyFill="1"/>
    <xf numFmtId="164" fontId="0" fillId="13" borderId="0" xfId="0" applyNumberFormat="1" applyFill="1"/>
    <xf numFmtId="0" fontId="81" fillId="24" borderId="0" xfId="0" applyFont="1" applyFill="1"/>
    <xf numFmtId="164" fontId="81" fillId="24" borderId="0" xfId="0" applyNumberFormat="1" applyFont="1" applyFill="1"/>
    <xf numFmtId="171" fontId="0" fillId="9" borderId="0" xfId="234" applyNumberFormat="1" applyFont="1" applyFill="1"/>
    <xf numFmtId="0" fontId="81" fillId="16" borderId="0" xfId="0" applyFont="1" applyFill="1"/>
    <xf numFmtId="164" fontId="81" fillId="16" borderId="0" xfId="0" applyNumberFormat="1" applyFont="1" applyFill="1"/>
    <xf numFmtId="164" fontId="0" fillId="16" borderId="0" xfId="0" applyNumberFormat="1" applyFill="1"/>
    <xf numFmtId="164" fontId="81" fillId="0" borderId="0" xfId="0" applyNumberFormat="1" applyFont="1"/>
    <xf numFmtId="171" fontId="0" fillId="6" borderId="0" xfId="233" applyNumberFormat="1" applyFont="1" applyFill="1"/>
    <xf numFmtId="0" fontId="183" fillId="0" borderId="0" xfId="0" applyFont="1" applyAlignment="1">
      <alignment horizontal="center"/>
    </xf>
    <xf numFmtId="0" fontId="81" fillId="0" borderId="0" xfId="0" applyFont="1" applyAlignment="1">
      <alignment horizontal="left"/>
    </xf>
    <xf numFmtId="171" fontId="0" fillId="0" borderId="1" xfId="0" applyNumberFormat="1" applyBorder="1"/>
    <xf numFmtId="0" fontId="183" fillId="0" borderId="0" xfId="0" applyFont="1" applyAlignment="1">
      <alignment horizontal="right"/>
    </xf>
    <xf numFmtId="171" fontId="0" fillId="5" borderId="98" xfId="0" applyNumberFormat="1" applyFill="1" applyBorder="1"/>
    <xf numFmtId="15" fontId="81"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171" fontId="0" fillId="0" borderId="0" xfId="92" applyNumberFormat="1" applyFont="1" applyFill="1" applyBorder="1"/>
    <xf numFmtId="171" fontId="46" fillId="0" borderId="39" xfId="92" applyNumberFormat="1" applyFont="1" applyFill="1" applyBorder="1"/>
    <xf numFmtId="172" fontId="216" fillId="0" borderId="0" xfId="0" applyNumberFormat="1" applyFont="1"/>
    <xf numFmtId="9" fontId="0" fillId="0" borderId="0" xfId="131" applyFont="1" applyFill="1"/>
    <xf numFmtId="171" fontId="0" fillId="0" borderId="0" xfId="92" applyNumberFormat="1" applyFont="1" applyFill="1"/>
    <xf numFmtId="170" fontId="17" fillId="0" borderId="0" xfId="236" applyNumberFormat="1" applyFont="1"/>
    <xf numFmtId="170" fontId="23" fillId="0" borderId="0" xfId="236" applyNumberFormat="1" applyFont="1"/>
    <xf numFmtId="0" fontId="17" fillId="0" borderId="0" xfId="236" applyFont="1"/>
    <xf numFmtId="0" fontId="217" fillId="0" borderId="0" xfId="0" applyFont="1"/>
    <xf numFmtId="0" fontId="17" fillId="0" borderId="0" xfId="236" applyFont="1" applyAlignment="1">
      <alignment horizontal="center"/>
    </xf>
    <xf numFmtId="0" fontId="17" fillId="0" borderId="0" xfId="236" applyFont="1" applyAlignment="1">
      <alignment horizontal="right"/>
    </xf>
    <xf numFmtId="0" fontId="17" fillId="0" borderId="10" xfId="236" applyFont="1" applyBorder="1" applyAlignment="1">
      <alignment horizontal="center"/>
    </xf>
    <xf numFmtId="172" fontId="218" fillId="0" borderId="39" xfId="0" applyNumberFormat="1" applyFont="1" applyBorder="1"/>
    <xf numFmtId="0" fontId="124" fillId="16" borderId="0" xfId="0" applyFont="1" applyFill="1" applyAlignment="1">
      <alignment horizontal="center"/>
    </xf>
    <xf numFmtId="164" fontId="219"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6"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4" fillId="16" borderId="39" xfId="0" applyFont="1" applyFill="1" applyBorder="1" applyAlignment="1">
      <alignment horizontal="center" vertical="center"/>
    </xf>
    <xf numFmtId="170" fontId="124" fillId="16" borderId="39" xfId="0" applyNumberFormat="1" applyFont="1" applyFill="1" applyBorder="1"/>
    <xf numFmtId="0" fontId="124" fillId="16" borderId="39" xfId="0" applyFont="1" applyFill="1" applyBorder="1" applyAlignment="1">
      <alignment horizontal="center" wrapText="1"/>
    </xf>
    <xf numFmtId="170" fontId="124" fillId="16" borderId="39" xfId="0" applyNumberFormat="1" applyFont="1" applyFill="1" applyBorder="1" applyAlignment="1">
      <alignment horizontal="center"/>
    </xf>
    <xf numFmtId="0" fontId="17" fillId="0" borderId="0" xfId="237" applyFont="1"/>
    <xf numFmtId="10" fontId="17" fillId="0" borderId="0" xfId="131" applyNumberFormat="1" applyFont="1" applyFill="1" applyBorder="1"/>
    <xf numFmtId="0" fontId="18" fillId="0" borderId="0" xfId="237" applyFont="1"/>
    <xf numFmtId="0" fontId="17" fillId="5" borderId="0" xfId="237" applyFont="1" applyFill="1"/>
    <xf numFmtId="10" fontId="17" fillId="5" borderId="12" xfId="131" applyNumberFormat="1" applyFont="1" applyFill="1" applyBorder="1"/>
    <xf numFmtId="0" fontId="18" fillId="5" borderId="0" xfId="237" applyFont="1" applyFill="1"/>
    <xf numFmtId="2" fontId="17" fillId="0" borderId="10" xfId="237" applyNumberFormat="1" applyFont="1" applyBorder="1"/>
    <xf numFmtId="0" fontId="23" fillId="0" borderId="0" xfId="237" applyFont="1" applyAlignment="1">
      <alignment horizontal="center"/>
    </xf>
    <xf numFmtId="2" fontId="17" fillId="0" borderId="0" xfId="237" applyNumberFormat="1" applyFont="1"/>
    <xf numFmtId="10" fontId="23" fillId="0" borderId="10" xfId="131" applyNumberFormat="1" applyFont="1" applyFill="1" applyBorder="1"/>
    <xf numFmtId="164" fontId="17" fillId="0" borderId="0" xfId="237" applyNumberFormat="1" applyFont="1"/>
    <xf numFmtId="164" fontId="221" fillId="0" borderId="0" xfId="237" applyNumberFormat="1" applyFont="1"/>
    <xf numFmtId="0" fontId="78" fillId="0" borderId="0" xfId="237" applyFont="1"/>
    <xf numFmtId="10" fontId="17" fillId="5" borderId="12" xfId="237" applyNumberFormat="1" applyFont="1" applyFill="1" applyBorder="1"/>
    <xf numFmtId="0" fontId="17" fillId="0" borderId="10" xfId="237" applyFont="1" applyBorder="1"/>
    <xf numFmtId="2" fontId="17" fillId="0" borderId="10" xfId="131" applyNumberFormat="1" applyFont="1" applyFill="1" applyBorder="1"/>
    <xf numFmtId="164" fontId="23" fillId="0" borderId="0" xfId="237" applyNumberFormat="1" applyFont="1" applyAlignment="1">
      <alignment horizontal="center"/>
    </xf>
    <xf numFmtId="164" fontId="17" fillId="0" borderId="0" xfId="237" applyNumberFormat="1" applyFont="1" applyAlignment="1">
      <alignment horizontal="center"/>
    </xf>
    <xf numFmtId="0" fontId="23"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4" fillId="21" borderId="0" xfId="0" applyFont="1" applyFill="1"/>
    <xf numFmtId="0" fontId="124" fillId="21" borderId="99" xfId="0" applyFont="1" applyFill="1" applyBorder="1"/>
    <xf numFmtId="164" fontId="0" fillId="21" borderId="0" xfId="0" applyNumberFormat="1" applyFill="1"/>
    <xf numFmtId="164" fontId="124" fillId="14" borderId="101" xfId="0" applyNumberFormat="1" applyFont="1" applyFill="1" applyBorder="1"/>
    <xf numFmtId="0" fontId="0" fillId="14" borderId="39" xfId="0" applyFill="1" applyBorder="1"/>
    <xf numFmtId="0" fontId="124" fillId="14" borderId="39" xfId="0" applyFont="1" applyFill="1" applyBorder="1"/>
    <xf numFmtId="0" fontId="124" fillId="21" borderId="39" xfId="0" applyFont="1" applyFill="1" applyBorder="1"/>
    <xf numFmtId="164" fontId="0" fillId="21" borderId="39" xfId="0" applyNumberFormat="1" applyFill="1" applyBorder="1"/>
    <xf numFmtId="0" fontId="124" fillId="14" borderId="39" xfId="0" applyFont="1" applyFill="1" applyBorder="1" applyAlignment="1">
      <alignment horizontal="left"/>
    </xf>
    <xf numFmtId="164" fontId="124" fillId="14" borderId="39" xfId="0" applyNumberFormat="1" applyFont="1" applyFill="1" applyBorder="1"/>
    <xf numFmtId="164" fontId="124" fillId="7" borderId="39" xfId="0" applyNumberFormat="1" applyFont="1" applyFill="1" applyBorder="1"/>
    <xf numFmtId="0" fontId="180" fillId="0" borderId="0" xfId="238" applyFont="1" applyAlignment="1">
      <alignment horizontal="left"/>
    </xf>
    <xf numFmtId="0" fontId="107" fillId="0" borderId="0" xfId="238" applyFont="1" applyAlignment="1">
      <alignment horizontal="left"/>
    </xf>
    <xf numFmtId="37" fontId="107" fillId="0" borderId="0" xfId="0" applyNumberFormat="1" applyFont="1"/>
    <xf numFmtId="0" fontId="64" fillId="0" borderId="0" xfId="69"/>
    <xf numFmtId="0" fontId="64" fillId="0" borderId="0" xfId="69" applyAlignment="1">
      <alignment horizontal="center"/>
    </xf>
    <xf numFmtId="37" fontId="180" fillId="0" borderId="0" xfId="238" applyNumberFormat="1" applyFont="1"/>
    <xf numFmtId="0" fontId="180" fillId="0" borderId="0" xfId="238" applyFont="1" applyAlignment="1">
      <alignment horizontal="center"/>
    </xf>
    <xf numFmtId="37" fontId="180" fillId="0" borderId="0" xfId="0" applyNumberFormat="1" applyFont="1"/>
    <xf numFmtId="37" fontId="180" fillId="0" borderId="13" xfId="0" applyNumberFormat="1" applyFont="1" applyBorder="1"/>
    <xf numFmtId="37" fontId="180" fillId="0" borderId="14" xfId="0" applyNumberFormat="1" applyFont="1" applyBorder="1"/>
    <xf numFmtId="37" fontId="180" fillId="0" borderId="0" xfId="238" applyNumberFormat="1" applyFont="1" applyAlignment="1">
      <alignment horizontal="left" vertical="center"/>
    </xf>
    <xf numFmtId="37" fontId="180" fillId="0" borderId="0" xfId="238" applyNumberFormat="1" applyFont="1" applyAlignment="1">
      <alignment horizontal="center" vertical="center"/>
    </xf>
    <xf numFmtId="0" fontId="0" fillId="0" borderId="0" xfId="0" applyAlignment="1">
      <alignment horizontal="center" vertical="center"/>
    </xf>
    <xf numFmtId="14" fontId="180" fillId="0" borderId="0" xfId="238" applyNumberFormat="1" applyFont="1" applyAlignment="1">
      <alignment horizontal="center" vertical="center" wrapText="1"/>
    </xf>
    <xf numFmtId="0" fontId="180" fillId="0" borderId="0" xfId="238" applyFont="1" applyAlignment="1">
      <alignment horizontal="center" vertical="center" wrapText="1"/>
    </xf>
    <xf numFmtId="0" fontId="180" fillId="0" borderId="0" xfId="238" applyFont="1" applyAlignment="1">
      <alignment horizontal="center" vertical="center"/>
    </xf>
    <xf numFmtId="37" fontId="107" fillId="0" borderId="0" xfId="0" applyNumberFormat="1" applyFont="1" applyAlignment="1">
      <alignment horizontal="center" vertical="center"/>
    </xf>
    <xf numFmtId="37" fontId="180" fillId="0" borderId="13" xfId="0" applyNumberFormat="1" applyFont="1" applyBorder="1" applyAlignment="1">
      <alignment horizontal="center" vertical="center"/>
    </xf>
    <xf numFmtId="37" fontId="180" fillId="0" borderId="14" xfId="0" applyNumberFormat="1" applyFont="1" applyBorder="1" applyAlignment="1">
      <alignment horizontal="center" vertical="center"/>
    </xf>
    <xf numFmtId="194" fontId="107" fillId="0" borderId="0" xfId="238" applyNumberFormat="1" applyFont="1" applyAlignment="1">
      <alignment horizontal="center"/>
    </xf>
    <xf numFmtId="194" fontId="107" fillId="0" borderId="0" xfId="238" applyNumberFormat="1" applyFont="1" applyAlignment="1">
      <alignment horizontal="left"/>
    </xf>
    <xf numFmtId="37" fontId="107" fillId="0" borderId="0" xfId="238" applyNumberFormat="1" applyFont="1" applyAlignment="1">
      <alignment horizontal="right"/>
    </xf>
    <xf numFmtId="37" fontId="107" fillId="0" borderId="0" xfId="86" applyNumberFormat="1" applyFont="1" applyFill="1" applyBorder="1"/>
    <xf numFmtId="9" fontId="107" fillId="0" borderId="0" xfId="239" applyFont="1" applyFill="1" applyBorder="1"/>
    <xf numFmtId="0" fontId="77" fillId="14" borderId="0" xfId="0" applyFont="1" applyFill="1"/>
    <xf numFmtId="0" fontId="77" fillId="14" borderId="99" xfId="0" applyFont="1" applyFill="1" applyBorder="1"/>
    <xf numFmtId="194" fontId="107" fillId="0" borderId="0" xfId="238" quotePrefix="1" applyNumberFormat="1" applyFont="1" applyAlignment="1">
      <alignment horizontal="center"/>
    </xf>
    <xf numFmtId="0" fontId="77" fillId="14" borderId="101" xfId="0" applyFont="1" applyFill="1" applyBorder="1" applyAlignment="1">
      <alignment horizontal="left"/>
    </xf>
    <xf numFmtId="172" fontId="77" fillId="7" borderId="101" xfId="0" applyNumberFormat="1" applyFont="1" applyFill="1" applyBorder="1"/>
    <xf numFmtId="172" fontId="77" fillId="14" borderId="101" xfId="0" applyNumberFormat="1" applyFont="1" applyFill="1" applyBorder="1"/>
    <xf numFmtId="37" fontId="180" fillId="7" borderId="15" xfId="238" applyNumberFormat="1" applyFont="1" applyFill="1" applyBorder="1" applyAlignment="1">
      <alignment horizontal="right"/>
    </xf>
    <xf numFmtId="37" fontId="107" fillId="0" borderId="15" xfId="238" applyNumberFormat="1" applyFont="1" applyBorder="1" applyAlignment="1">
      <alignment horizontal="right"/>
    </xf>
    <xf numFmtId="9" fontId="107" fillId="0" borderId="15" xfId="239" applyFont="1" applyFill="1" applyBorder="1"/>
    <xf numFmtId="37" fontId="107" fillId="0" borderId="0" xfId="238" applyNumberFormat="1" applyFont="1"/>
    <xf numFmtId="37" fontId="224" fillId="0" borderId="0" xfId="238" applyNumberFormat="1" applyFont="1" applyAlignment="1">
      <alignment horizontal="right"/>
    </xf>
    <xf numFmtId="37" fontId="224" fillId="0" borderId="0" xfId="0" applyNumberFormat="1" applyFont="1"/>
    <xf numFmtId="0" fontId="180" fillId="0" borderId="26" xfId="238" applyFont="1" applyBorder="1"/>
    <xf numFmtId="0" fontId="180" fillId="0" borderId="27" xfId="238" applyFont="1" applyBorder="1"/>
    <xf numFmtId="0" fontId="180" fillId="0" borderId="28" xfId="238" applyFont="1" applyBorder="1"/>
    <xf numFmtId="14" fontId="180" fillId="0" borderId="0" xfId="238" applyNumberFormat="1" applyFont="1" applyAlignment="1">
      <alignment horizontal="center"/>
    </xf>
    <xf numFmtId="37" fontId="180" fillId="0" borderId="13" xfId="0" applyNumberFormat="1" applyFont="1" applyBorder="1" applyAlignment="1">
      <alignment vertical="center"/>
    </xf>
    <xf numFmtId="37" fontId="180" fillId="0" borderId="14" xfId="0" applyNumberFormat="1" applyFont="1" applyBorder="1" applyAlignment="1">
      <alignment vertical="center"/>
    </xf>
    <xf numFmtId="0" fontId="180" fillId="0" borderId="0" xfId="238" applyFont="1" applyAlignment="1">
      <alignment horizontal="center" wrapText="1"/>
    </xf>
    <xf numFmtId="0" fontId="224" fillId="0" borderId="0" xfId="238" quotePrefix="1" applyFont="1" applyAlignment="1">
      <alignment horizontal="center"/>
    </xf>
    <xf numFmtId="37" fontId="225" fillId="0" borderId="0" xfId="238" applyNumberFormat="1" applyFont="1" applyAlignment="1">
      <alignment horizontal="right"/>
    </xf>
    <xf numFmtId="172" fontId="107" fillId="0" borderId="0" xfId="86" applyNumberFormat="1" applyFont="1" applyFill="1" applyBorder="1"/>
    <xf numFmtId="0" fontId="77" fillId="14" borderId="99" xfId="0" applyFont="1" applyFill="1" applyBorder="1" applyAlignment="1">
      <alignment wrapText="1"/>
    </xf>
    <xf numFmtId="9" fontId="107" fillId="0" borderId="0" xfId="239" applyFont="1" applyFill="1"/>
    <xf numFmtId="172" fontId="107" fillId="0" borderId="12" xfId="72" applyNumberFormat="1" applyFont="1" applyFill="1" applyBorder="1"/>
    <xf numFmtId="10" fontId="107" fillId="0" borderId="0" xfId="239" applyNumberFormat="1" applyFont="1" applyFill="1"/>
    <xf numFmtId="0" fontId="226" fillId="0" borderId="0" xfId="134" applyFont="1" applyAlignment="1">
      <alignment horizontal="left"/>
    </xf>
    <xf numFmtId="0" fontId="107" fillId="0" borderId="0" xfId="134" applyFont="1" applyAlignment="1">
      <alignment horizontal="right"/>
    </xf>
    <xf numFmtId="0" fontId="107" fillId="0" borderId="0" xfId="134" applyFont="1"/>
    <xf numFmtId="178" fontId="107" fillId="0" borderId="0" xfId="134" applyNumberFormat="1" applyFont="1" applyAlignment="1">
      <alignment horizontal="right"/>
    </xf>
    <xf numFmtId="44" fontId="228" fillId="0" borderId="0" xfId="86" applyFont="1" applyFill="1" applyAlignment="1">
      <alignment horizontal="right"/>
    </xf>
    <xf numFmtId="44" fontId="0" fillId="0" borderId="0" xfId="74" applyFont="1"/>
    <xf numFmtId="172" fontId="107" fillId="0" borderId="0" xfId="72" applyNumberFormat="1" applyFont="1" applyFill="1" applyBorder="1"/>
    <xf numFmtId="0" fontId="81" fillId="0" borderId="0" xfId="96" applyFont="1"/>
    <xf numFmtId="0" fontId="3" fillId="0" borderId="0" xfId="96" applyFont="1"/>
    <xf numFmtId="0" fontId="45" fillId="0" borderId="0" xfId="96" applyFont="1"/>
    <xf numFmtId="0" fontId="229" fillId="0" borderId="104" xfId="75" applyFont="1" applyBorder="1" applyAlignment="1">
      <alignment horizontal="left" vertical="top" wrapText="1"/>
    </xf>
    <xf numFmtId="0" fontId="10" fillId="0" borderId="0" xfId="75"/>
    <xf numFmtId="0" fontId="180" fillId="0" borderId="0" xfId="96" applyFont="1"/>
    <xf numFmtId="0" fontId="229" fillId="0" borderId="71" xfId="75" applyFont="1" applyBorder="1" applyAlignment="1">
      <alignment horizontal="right" vertical="top"/>
    </xf>
    <xf numFmtId="0" fontId="229" fillId="0" borderId="69" xfId="75" applyFont="1" applyBorder="1" applyAlignment="1">
      <alignment horizontal="right" vertical="top"/>
    </xf>
    <xf numFmtId="0" fontId="230" fillId="0" borderId="104" xfId="75" applyFont="1" applyBorder="1" applyAlignment="1">
      <alignment horizontal="left" vertical="top"/>
    </xf>
    <xf numFmtId="0" fontId="230" fillId="0" borderId="110" xfId="75" applyFont="1" applyBorder="1" applyAlignment="1">
      <alignment horizontal="center" vertical="center"/>
    </xf>
    <xf numFmtId="0" fontId="230" fillId="0" borderId="110" xfId="75" applyFont="1" applyBorder="1" applyAlignment="1">
      <alignment horizontal="center" vertical="top"/>
    </xf>
    <xf numFmtId="0" fontId="3" fillId="16" borderId="0" xfId="96" applyFont="1" applyFill="1"/>
    <xf numFmtId="0" fontId="81" fillId="16" borderId="0" xfId="96" applyFont="1" applyFill="1" applyAlignment="1">
      <alignment horizontal="center"/>
    </xf>
    <xf numFmtId="0" fontId="229" fillId="0" borderId="104" xfId="75" applyFont="1" applyBorder="1" applyAlignment="1">
      <alignment horizontal="left" vertical="top"/>
    </xf>
    <xf numFmtId="213" fontId="229" fillId="0" borderId="104" xfId="75" applyNumberFormat="1" applyFont="1" applyBorder="1" applyAlignment="1">
      <alignment horizontal="right" vertical="top"/>
    </xf>
    <xf numFmtId="0" fontId="81" fillId="0" borderId="0" xfId="96" applyFont="1" applyAlignment="1">
      <alignment horizontal="center" wrapText="1"/>
    </xf>
    <xf numFmtId="0" fontId="229" fillId="5" borderId="71" xfId="75" applyFont="1" applyFill="1" applyBorder="1" applyAlignment="1">
      <alignment horizontal="center" vertical="top"/>
    </xf>
    <xf numFmtId="0" fontId="229" fillId="5" borderId="105" xfId="75" applyFont="1" applyFill="1" applyBorder="1" applyAlignment="1">
      <alignment horizontal="center" vertical="top"/>
    </xf>
    <xf numFmtId="213" fontId="229" fillId="5" borderId="108" xfId="75" applyNumberFormat="1" applyFont="1" applyFill="1" applyBorder="1" applyAlignment="1">
      <alignment horizontal="right" vertical="top"/>
    </xf>
    <xf numFmtId="0" fontId="81" fillId="16" borderId="0" xfId="96" applyFont="1" applyFill="1" applyAlignment="1">
      <alignment horizontal="center" wrapText="1"/>
    </xf>
    <xf numFmtId="0" fontId="81" fillId="16" borderId="0" xfId="96" applyFont="1" applyFill="1" applyAlignment="1">
      <alignment horizontal="center" vertical="center" wrapText="1"/>
    </xf>
    <xf numFmtId="0" fontId="180" fillId="0" borderId="18" xfId="96" applyFont="1" applyBorder="1" applyAlignment="1">
      <alignment horizontal="center" wrapText="1"/>
    </xf>
    <xf numFmtId="0" fontId="180" fillId="0" borderId="19" xfId="96" applyFont="1" applyBorder="1" applyAlignment="1">
      <alignment horizontal="center"/>
    </xf>
    <xf numFmtId="0" fontId="180" fillId="0" borderId="20" xfId="96" applyFont="1" applyBorder="1" applyAlignment="1">
      <alignment horizontal="center"/>
    </xf>
    <xf numFmtId="0" fontId="180" fillId="0" borderId="4" xfId="96" applyFont="1" applyBorder="1" applyAlignment="1">
      <alignment horizontal="center"/>
    </xf>
    <xf numFmtId="0" fontId="10" fillId="0" borderId="39" xfId="75" applyBorder="1"/>
    <xf numFmtId="0" fontId="107" fillId="0" borderId="39" xfId="75" applyFont="1" applyBorder="1"/>
    <xf numFmtId="10" fontId="107" fillId="0" borderId="39" xfId="77" applyNumberFormat="1" applyFont="1" applyFill="1" applyBorder="1"/>
    <xf numFmtId="10" fontId="107" fillId="0" borderId="13" xfId="77" applyNumberFormat="1" applyFont="1" applyFill="1" applyBorder="1"/>
    <xf numFmtId="10" fontId="180" fillId="7" borderId="120" xfId="77" applyNumberFormat="1" applyFont="1" applyFill="1" applyBorder="1"/>
    <xf numFmtId="10" fontId="107" fillId="0" borderId="14" xfId="77" applyNumberFormat="1" applyFont="1" applyFill="1" applyBorder="1"/>
    <xf numFmtId="0" fontId="231" fillId="0" borderId="0" xfId="96" applyFont="1" applyAlignment="1">
      <alignment horizontal="right"/>
    </xf>
    <xf numFmtId="172" fontId="3" fillId="0" borderId="0" xfId="117" applyNumberFormat="1" applyFont="1" applyFill="1" applyBorder="1"/>
    <xf numFmtId="0" fontId="232" fillId="0" borderId="0" xfId="96" applyFont="1" applyAlignment="1">
      <alignment horizontal="center"/>
    </xf>
    <xf numFmtId="0" fontId="107" fillId="0" borderId="21" xfId="96" applyFont="1" applyBorder="1"/>
    <xf numFmtId="172" fontId="107" fillId="0" borderId="22" xfId="96" applyNumberFormat="1" applyFont="1" applyBorder="1"/>
    <xf numFmtId="172" fontId="107" fillId="0" borderId="7" xfId="96" applyNumberFormat="1" applyFont="1" applyBorder="1"/>
    <xf numFmtId="0" fontId="58" fillId="0" borderId="0" xfId="96" applyFont="1" applyAlignment="1">
      <alignment horizontal="center"/>
    </xf>
    <xf numFmtId="0" fontId="107" fillId="0" borderId="23" xfId="96" applyFont="1" applyBorder="1"/>
    <xf numFmtId="172" fontId="107" fillId="0" borderId="24" xfId="96" applyNumberFormat="1" applyFont="1" applyBorder="1"/>
    <xf numFmtId="172" fontId="107" fillId="0" borderId="25" xfId="96" applyNumberFormat="1" applyFont="1" applyBorder="1"/>
    <xf numFmtId="172" fontId="107" fillId="0" borderId="11" xfId="96" applyNumberFormat="1" applyFont="1" applyBorder="1"/>
    <xf numFmtId="0" fontId="17" fillId="0" borderId="0" xfId="96" applyFont="1"/>
    <xf numFmtId="10" fontId="0" fillId="0" borderId="0" xfId="239" applyNumberFormat="1" applyFont="1"/>
    <xf numFmtId="0" fontId="3" fillId="0" borderId="0" xfId="96" applyFont="1" applyAlignment="1">
      <alignment horizontal="left"/>
    </xf>
    <xf numFmtId="0" fontId="80" fillId="0" borderId="0" xfId="96" applyFont="1"/>
    <xf numFmtId="0" fontId="54" fillId="0" borderId="0" xfId="96" applyFont="1"/>
    <xf numFmtId="0" fontId="229" fillId="0" borderId="0" xfId="75" applyFont="1" applyAlignment="1">
      <alignment horizontal="right" vertical="top"/>
    </xf>
    <xf numFmtId="0" fontId="107" fillId="0" borderId="0" xfId="96" applyFont="1" applyAlignment="1">
      <alignment horizontal="center"/>
    </xf>
    <xf numFmtId="172" fontId="3" fillId="16" borderId="0" xfId="86" applyNumberFormat="1" applyFont="1" applyFill="1"/>
    <xf numFmtId="0" fontId="172" fillId="0" borderId="0" xfId="96" applyFont="1"/>
    <xf numFmtId="0" fontId="230" fillId="0" borderId="0" xfId="75" applyFont="1" applyAlignment="1">
      <alignment horizontal="right" vertical="top"/>
    </xf>
    <xf numFmtId="0" fontId="230" fillId="0" borderId="0" xfId="75" applyFont="1" applyAlignment="1">
      <alignment horizontal="center" vertical="top"/>
    </xf>
    <xf numFmtId="0" fontId="229" fillId="0" borderId="0" xfId="75" applyFont="1" applyAlignment="1">
      <alignment horizontal="right" vertical="center"/>
    </xf>
    <xf numFmtId="0" fontId="230" fillId="0" borderId="0" xfId="75" applyFont="1" applyAlignment="1">
      <alignment horizontal="center" vertical="center"/>
    </xf>
    <xf numFmtId="0" fontId="229" fillId="0" borderId="0" xfId="75" applyFont="1" applyAlignment="1">
      <alignment horizontal="left" vertical="top"/>
    </xf>
    <xf numFmtId="0" fontId="233" fillId="0" borderId="0" xfId="75" applyFont="1" applyAlignment="1">
      <alignment horizontal="center" vertical="top"/>
    </xf>
    <xf numFmtId="214" fontId="229" fillId="0" borderId="0" xfId="75" applyNumberFormat="1" applyFont="1" applyAlignment="1">
      <alignment horizontal="right" vertical="center"/>
    </xf>
    <xf numFmtId="0" fontId="229" fillId="0" borderId="0" xfId="75" applyFont="1" applyAlignment="1">
      <alignment horizontal="center" vertical="top"/>
    </xf>
    <xf numFmtId="214" fontId="229" fillId="0" borderId="10" xfId="75" applyNumberFormat="1" applyFont="1" applyBorder="1" applyAlignment="1">
      <alignment horizontal="right" vertical="center"/>
    </xf>
    <xf numFmtId="0" fontId="230" fillId="0" borderId="0" xfId="75" applyFont="1" applyAlignment="1">
      <alignment horizontal="left" vertical="top"/>
    </xf>
    <xf numFmtId="214" fontId="230" fillId="0" borderId="0" xfId="75" applyNumberFormat="1" applyFont="1" applyAlignment="1">
      <alignment horizontal="right" vertical="center"/>
    </xf>
    <xf numFmtId="171" fontId="107" fillId="0" borderId="0" xfId="76" applyNumberFormat="1" applyFont="1" applyFill="1" applyBorder="1"/>
    <xf numFmtId="0" fontId="107" fillId="0" borderId="0" xfId="96" applyFont="1" applyAlignment="1">
      <alignment horizontal="right"/>
    </xf>
    <xf numFmtId="10" fontId="107" fillId="0" borderId="0" xfId="96" applyNumberFormat="1" applyFont="1" applyAlignment="1">
      <alignment horizontal="center"/>
    </xf>
    <xf numFmtId="0" fontId="107" fillId="0" borderId="0" xfId="96" applyFont="1" applyAlignment="1">
      <alignment horizontal="center" vertical="top"/>
    </xf>
    <xf numFmtId="182" fontId="107" fillId="0" borderId="0" xfId="96" applyNumberFormat="1" applyFont="1"/>
    <xf numFmtId="171" fontId="107" fillId="0" borderId="10" xfId="76" applyNumberFormat="1" applyFont="1" applyFill="1" applyBorder="1"/>
    <xf numFmtId="43" fontId="186" fillId="0" borderId="0" xfId="76" applyFont="1" applyBorder="1"/>
    <xf numFmtId="10" fontId="107" fillId="0" borderId="0" xfId="96" applyNumberFormat="1" applyFont="1"/>
    <xf numFmtId="9" fontId="234" fillId="0" borderId="0" xfId="239" applyFont="1" applyFill="1" applyBorder="1"/>
    <xf numFmtId="37" fontId="180" fillId="0" borderId="0" xfId="96" applyNumberFormat="1" applyFont="1" applyAlignment="1">
      <alignment horizontal="center" wrapText="1"/>
    </xf>
    <xf numFmtId="0" fontId="180" fillId="0" borderId="0" xfId="96" applyFont="1" applyAlignment="1">
      <alignment horizontal="center"/>
    </xf>
    <xf numFmtId="0" fontId="180" fillId="0" borderId="0" xfId="134" applyFont="1" applyAlignment="1">
      <alignment horizontal="center"/>
    </xf>
    <xf numFmtId="0" fontId="226" fillId="0" borderId="0" xfId="96" applyFont="1" applyAlignment="1">
      <alignment horizontal="center"/>
    </xf>
    <xf numFmtId="37" fontId="107" fillId="0" borderId="0" xfId="96" applyNumberFormat="1" applyFont="1"/>
    <xf numFmtId="172" fontId="180" fillId="0" borderId="0" xfId="96" applyNumberFormat="1" applyFont="1"/>
    <xf numFmtId="172" fontId="107" fillId="7" borderId="41" xfId="72" applyNumberFormat="1" applyFont="1" applyFill="1" applyBorder="1"/>
    <xf numFmtId="171" fontId="107" fillId="0" borderId="0" xfId="76" applyNumberFormat="1" applyFont="1" applyBorder="1"/>
    <xf numFmtId="172" fontId="107" fillId="0" borderId="41" xfId="72" applyNumberFormat="1" applyFont="1" applyFill="1" applyBorder="1"/>
    <xf numFmtId="0" fontId="234" fillId="0" borderId="0" xfId="96" applyFont="1"/>
    <xf numFmtId="172" fontId="107" fillId="7" borderId="39" xfId="96" applyNumberFormat="1" applyFont="1" applyFill="1" applyBorder="1"/>
    <xf numFmtId="10" fontId="234" fillId="0" borderId="0" xfId="239" applyNumberFormat="1" applyFont="1" applyBorder="1"/>
    <xf numFmtId="10" fontId="234" fillId="0" borderId="0" xfId="96" applyNumberFormat="1" applyFont="1"/>
    <xf numFmtId="172" fontId="3" fillId="0" borderId="0" xfId="112" applyNumberFormat="1" applyFont="1"/>
    <xf numFmtId="0" fontId="108" fillId="0" borderId="0" xfId="228" applyFont="1"/>
    <xf numFmtId="14" fontId="80" fillId="0" borderId="0" xfId="228" applyNumberFormat="1" applyFont="1" applyAlignment="1">
      <alignment horizontal="center" vertical="center"/>
    </xf>
    <xf numFmtId="0" fontId="81" fillId="25" borderId="0" xfId="228" applyFont="1" applyFill="1" applyAlignment="1">
      <alignment horizontal="center" wrapText="1"/>
    </xf>
    <xf numFmtId="0" fontId="81" fillId="20" borderId="39" xfId="228" applyFont="1" applyFill="1" applyBorder="1" applyAlignment="1">
      <alignment horizontal="center" wrapText="1"/>
    </xf>
    <xf numFmtId="0" fontId="3" fillId="25" borderId="0" xfId="228" applyFill="1"/>
    <xf numFmtId="0" fontId="3"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3" fillId="0" borderId="0" xfId="96" applyFont="1" applyAlignment="1">
      <alignment vertical="center"/>
    </xf>
    <xf numFmtId="0" fontId="3" fillId="0" borderId="0" xfId="96" applyFont="1" applyAlignment="1">
      <alignment horizontal="center" vertical="center"/>
    </xf>
    <xf numFmtId="171" fontId="3" fillId="0" borderId="10" xfId="228" applyNumberFormat="1" applyBorder="1"/>
    <xf numFmtId="0" fontId="3" fillId="0" borderId="39" xfId="96" applyFont="1" applyBorder="1"/>
    <xf numFmtId="172" fontId="3" fillId="0" borderId="39" xfId="112" applyNumberFormat="1" applyFont="1" applyBorder="1"/>
    <xf numFmtId="172" fontId="3" fillId="0" borderId="39" xfId="112" applyNumberFormat="1" applyFont="1" applyFill="1" applyBorder="1"/>
    <xf numFmtId="172" fontId="3" fillId="0" borderId="39" xfId="96" applyNumberFormat="1" applyFont="1" applyBorder="1"/>
    <xf numFmtId="171" fontId="3" fillId="25" borderId="0" xfId="228" applyNumberFormat="1" applyFill="1"/>
    <xf numFmtId="171" fontId="3" fillId="0" borderId="15" xfId="228" applyNumberFormat="1" applyBorder="1"/>
    <xf numFmtId="9" fontId="3" fillId="0" borderId="0" xfId="63" applyFont="1" applyFill="1" applyBorder="1"/>
    <xf numFmtId="0" fontId="3" fillId="0" borderId="24" xfId="228" applyBorder="1"/>
    <xf numFmtId="172" fontId="3" fillId="0" borderId="24" xfId="228" applyNumberFormat="1" applyBorder="1"/>
    <xf numFmtId="44" fontId="3" fillId="0" borderId="0" xfId="96" applyNumberFormat="1" applyFont="1"/>
    <xf numFmtId="172" fontId="3" fillId="5" borderId="39" xfId="96" applyNumberFormat="1" applyFont="1" applyFill="1" applyBorder="1"/>
    <xf numFmtId="0" fontId="3" fillId="0" borderId="39" xfId="96" applyFont="1" applyBorder="1" applyAlignment="1">
      <alignment horizontal="left"/>
    </xf>
    <xf numFmtId="172" fontId="3" fillId="0" borderId="39" xfId="96" applyNumberFormat="1" applyFont="1" applyBorder="1" applyAlignment="1">
      <alignment horizontal="center"/>
    </xf>
    <xf numFmtId="172" fontId="3" fillId="0" borderId="0" xfId="112" applyNumberFormat="1" applyFont="1" applyBorder="1"/>
    <xf numFmtId="43" fontId="180" fillId="0" borderId="10" xfId="113" applyFont="1" applyFill="1" applyBorder="1" applyAlignment="1">
      <alignment horizontal="center"/>
    </xf>
    <xf numFmtId="0" fontId="180" fillId="0" borderId="10" xfId="96" applyFont="1" applyBorder="1" applyAlignment="1">
      <alignment horizontal="center"/>
    </xf>
    <xf numFmtId="172" fontId="81" fillId="0" borderId="0" xfId="112" applyNumberFormat="1" applyFont="1"/>
    <xf numFmtId="172" fontId="107" fillId="0" borderId="15" xfId="112" applyNumberFormat="1" applyFont="1" applyFill="1" applyBorder="1"/>
    <xf numFmtId="172" fontId="107" fillId="0" borderId="0" xfId="112" applyNumberFormat="1" applyFont="1" applyFill="1"/>
    <xf numFmtId="0" fontId="235" fillId="5" borderId="23" xfId="96" applyFont="1" applyFill="1" applyBorder="1" applyAlignment="1">
      <alignment vertical="center"/>
    </xf>
    <xf numFmtId="0" fontId="137" fillId="5" borderId="24" xfId="96" applyFont="1" applyFill="1" applyBorder="1" applyAlignment="1">
      <alignment vertical="center"/>
    </xf>
    <xf numFmtId="0" fontId="137" fillId="0" borderId="0" xfId="96" applyFont="1" applyAlignment="1">
      <alignment vertical="center"/>
    </xf>
    <xf numFmtId="0" fontId="235" fillId="0" borderId="21" xfId="96" applyFont="1" applyBorder="1" applyAlignment="1">
      <alignment vertical="center"/>
    </xf>
    <xf numFmtId="0" fontId="81" fillId="0" borderId="0" xfId="96" applyFont="1" applyAlignment="1">
      <alignment vertical="center"/>
    </xf>
    <xf numFmtId="0" fontId="81" fillId="0" borderId="0" xfId="96" applyFont="1" applyAlignment="1">
      <alignment horizontal="center" vertical="center"/>
    </xf>
    <xf numFmtId="0" fontId="81" fillId="0" borderId="126" xfId="96" applyFont="1" applyBorder="1" applyAlignment="1">
      <alignment horizontal="left" vertical="center"/>
    </xf>
    <xf numFmtId="0" fontId="10" fillId="0" borderId="39" xfId="96" applyBorder="1" applyAlignment="1">
      <alignment horizontal="left" vertical="center"/>
    </xf>
    <xf numFmtId="0" fontId="10" fillId="0" borderId="39" xfId="96" applyBorder="1" applyAlignment="1">
      <alignment horizontal="center" vertical="center"/>
    </xf>
    <xf numFmtId="0" fontId="10" fillId="0" borderId="39" xfId="96" applyBorder="1"/>
    <xf numFmtId="17" fontId="10"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9" fillId="26" borderId="24" xfId="96" applyFont="1" applyFill="1" applyBorder="1" applyAlignment="1">
      <alignment horizontal="right"/>
    </xf>
    <xf numFmtId="172" fontId="209" fillId="26" borderId="127" xfId="96" applyNumberFormat="1" applyFont="1" applyFill="1" applyBorder="1"/>
    <xf numFmtId="1" fontId="81" fillId="0" borderId="128" xfId="2" applyNumberFormat="1" applyFont="1" applyBorder="1" applyAlignment="1">
      <alignment horizontal="center"/>
    </xf>
    <xf numFmtId="172" fontId="81" fillId="2" borderId="15" xfId="2" applyNumberFormat="1" applyFont="1" applyFill="1" applyBorder="1"/>
    <xf numFmtId="172" fontId="81" fillId="0" borderId="0" xfId="2" applyNumberFormat="1" applyFont="1" applyFill="1" applyBorder="1"/>
    <xf numFmtId="0" fontId="180" fillId="0" borderId="0" xfId="96" applyFont="1" applyAlignment="1">
      <alignment horizontal="right"/>
    </xf>
    <xf numFmtId="172" fontId="180" fillId="0" borderId="0" xfId="2" applyNumberFormat="1" applyFont="1" applyFill="1" applyBorder="1"/>
    <xf numFmtId="0" fontId="10" fillId="0" borderId="0" xfId="96" applyAlignment="1">
      <alignment horizontal="right"/>
    </xf>
    <xf numFmtId="172" fontId="10" fillId="2" borderId="41" xfId="96" applyNumberFormat="1" applyFill="1" applyBorder="1"/>
    <xf numFmtId="0" fontId="10" fillId="0" borderId="0" xfId="96" applyAlignment="1">
      <alignment vertical="top" wrapText="1"/>
    </xf>
    <xf numFmtId="170" fontId="10" fillId="0" borderId="0" xfId="96" applyNumberFormat="1"/>
    <xf numFmtId="170" fontId="0" fillId="0" borderId="0" xfId="7" applyNumberFormat="1" applyFont="1"/>
    <xf numFmtId="14" fontId="107"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1" fillId="0" borderId="15" xfId="2" applyNumberFormat="1" applyFont="1" applyBorder="1" applyAlignment="1">
      <alignment horizontal="center"/>
    </xf>
    <xf numFmtId="172" fontId="81" fillId="0" borderId="15" xfId="2" applyNumberFormat="1" applyFont="1" applyBorder="1"/>
    <xf numFmtId="172" fontId="81" fillId="0" borderId="15" xfId="2" applyNumberFormat="1" applyFont="1" applyFill="1" applyBorder="1"/>
    <xf numFmtId="0" fontId="167" fillId="0" borderId="0" xfId="96" applyFont="1"/>
    <xf numFmtId="14" fontId="0" fillId="0" borderId="19" xfId="2" applyNumberFormat="1" applyFont="1" applyBorder="1" applyAlignment="1">
      <alignment horizontal="center"/>
    </xf>
    <xf numFmtId="172" fontId="180" fillId="0" borderId="0" xfId="2" applyNumberFormat="1" applyFont="1" applyBorder="1"/>
    <xf numFmtId="172" fontId="10" fillId="0" borderId="41" xfId="96" applyNumberFormat="1" applyBorder="1"/>
    <xf numFmtId="0" fontId="10" fillId="0" borderId="0" xfId="96" applyAlignment="1">
      <alignment horizontal="center"/>
    </xf>
    <xf numFmtId="215" fontId="10" fillId="0" borderId="0" xfId="96" applyNumberFormat="1"/>
    <xf numFmtId="172" fontId="10" fillId="7" borderId="34" xfId="96" applyNumberFormat="1" applyFill="1" applyBorder="1"/>
    <xf numFmtId="215" fontId="0" fillId="0" borderId="0" xfId="7" applyNumberFormat="1" applyFont="1"/>
    <xf numFmtId="172" fontId="10" fillId="7" borderId="36" xfId="96" applyNumberFormat="1" applyFill="1" applyBorder="1"/>
    <xf numFmtId="0" fontId="236" fillId="0" borderId="0" xfId="17" applyFont="1"/>
    <xf numFmtId="0" fontId="70" fillId="0" borderId="0" xfId="17" applyFont="1" applyAlignment="1">
      <alignment wrapText="1"/>
    </xf>
    <xf numFmtId="0" fontId="180" fillId="0" borderId="0" xfId="240" applyFont="1"/>
    <xf numFmtId="0" fontId="70" fillId="0" borderId="0" xfId="17" applyFont="1" applyAlignment="1">
      <alignment vertical="top" wrapText="1"/>
    </xf>
    <xf numFmtId="0" fontId="205" fillId="0" borderId="0" xfId="17" applyFont="1" applyAlignment="1">
      <alignment vertical="top" wrapText="1"/>
    </xf>
    <xf numFmtId="0" fontId="214" fillId="0" borderId="0" xfId="240" applyFont="1"/>
    <xf numFmtId="0" fontId="10" fillId="5" borderId="0" xfId="17" applyFill="1"/>
    <xf numFmtId="0" fontId="70" fillId="0" borderId="19" xfId="17" applyFont="1" applyBorder="1" applyAlignment="1">
      <alignment wrapText="1"/>
    </xf>
    <xf numFmtId="0" fontId="70" fillId="0" borderId="20" xfId="17" applyFont="1" applyBorder="1" applyAlignment="1">
      <alignment vertical="top" wrapText="1"/>
    </xf>
    <xf numFmtId="172" fontId="237" fillId="9" borderId="18" xfId="2" applyNumberFormat="1" applyFont="1" applyFill="1" applyBorder="1"/>
    <xf numFmtId="0" fontId="205" fillId="9" borderId="19" xfId="17" applyFont="1" applyFill="1" applyBorder="1" applyAlignment="1">
      <alignment vertical="top" wrapText="1"/>
    </xf>
    <xf numFmtId="172" fontId="237" fillId="9" borderId="20" xfId="2" applyNumberFormat="1" applyFont="1" applyFill="1" applyBorder="1" applyAlignment="1">
      <alignment vertical="top" wrapText="1"/>
    </xf>
    <xf numFmtId="10" fontId="205" fillId="0" borderId="18" xfId="7" applyNumberFormat="1" applyFont="1" applyBorder="1"/>
    <xf numFmtId="9" fontId="205" fillId="0" borderId="19" xfId="7" applyFont="1" applyFill="1" applyBorder="1" applyAlignment="1">
      <alignment vertical="top" wrapText="1"/>
    </xf>
    <xf numFmtId="0" fontId="70" fillId="0" borderId="20" xfId="17" applyFont="1" applyBorder="1" applyAlignment="1">
      <alignment wrapText="1"/>
    </xf>
    <xf numFmtId="0" fontId="214" fillId="0" borderId="0" xfId="240" applyFont="1" applyAlignment="1">
      <alignment horizontal="center"/>
    </xf>
    <xf numFmtId="0" fontId="180" fillId="0" borderId="10" xfId="240" applyFont="1" applyBorder="1" applyAlignment="1">
      <alignment horizontal="left"/>
    </xf>
    <xf numFmtId="0" fontId="205" fillId="0" borderId="0" xfId="96" applyFont="1"/>
    <xf numFmtId="171" fontId="55" fillId="0" borderId="0" xfId="66" applyNumberFormat="1" applyFont="1"/>
    <xf numFmtId="0" fontId="70" fillId="0" borderId="21" xfId="17" applyFont="1" applyBorder="1" applyAlignment="1">
      <alignment vertical="top" wrapText="1"/>
    </xf>
    <xf numFmtId="9" fontId="55" fillId="0" borderId="0" xfId="7" applyFont="1" applyFill="1" applyBorder="1"/>
    <xf numFmtId="0" fontId="70" fillId="0" borderId="22" xfId="17" applyFont="1" applyBorder="1" applyAlignment="1">
      <alignment vertical="top" wrapText="1"/>
    </xf>
    <xf numFmtId="0" fontId="55" fillId="0" borderId="0" xfId="96" applyFont="1"/>
    <xf numFmtId="0" fontId="55" fillId="9" borderId="23" xfId="96" applyFont="1" applyFill="1" applyBorder="1"/>
    <xf numFmtId="0" fontId="205" fillId="9" borderId="24" xfId="17" applyFont="1" applyFill="1" applyBorder="1" applyAlignment="1">
      <alignment vertical="top" wrapText="1"/>
    </xf>
    <xf numFmtId="172" fontId="237" fillId="9" borderId="25" xfId="2" applyNumberFormat="1" applyFont="1" applyFill="1" applyBorder="1" applyAlignment="1">
      <alignment vertical="top" wrapText="1"/>
    </xf>
    <xf numFmtId="0" fontId="214" fillId="0" borderId="0" xfId="240" applyFont="1" applyAlignment="1">
      <alignment vertical="center"/>
    </xf>
    <xf numFmtId="171" fontId="214" fillId="0" borderId="0" xfId="66" applyNumberFormat="1" applyFont="1"/>
    <xf numFmtId="171" fontId="180" fillId="0" borderId="0" xfId="66" applyNumberFormat="1" applyFont="1" applyAlignment="1">
      <alignment horizontal="center" vertical="center" wrapText="1"/>
    </xf>
    <xf numFmtId="0" fontId="180" fillId="5" borderId="0" xfId="240" applyFont="1" applyFill="1"/>
    <xf numFmtId="171" fontId="180" fillId="7" borderId="0" xfId="66" applyNumberFormat="1" applyFont="1" applyFill="1" applyAlignment="1">
      <alignment horizontal="center" wrapText="1"/>
    </xf>
    <xf numFmtId="172" fontId="180" fillId="0" borderId="0" xfId="240" applyNumberFormat="1" applyFont="1"/>
    <xf numFmtId="0" fontId="127" fillId="0" borderId="0" xfId="17" applyFont="1"/>
    <xf numFmtId="172" fontId="180" fillId="5" borderId="0" xfId="240" applyNumberFormat="1" applyFont="1" applyFill="1"/>
    <xf numFmtId="172" fontId="10" fillId="0" borderId="0" xfId="17" applyNumberFormat="1"/>
    <xf numFmtId="172" fontId="0" fillId="0" borderId="0" xfId="14" applyNumberFormat="1" applyFont="1" applyFill="1" applyBorder="1"/>
    <xf numFmtId="0" fontId="205" fillId="0" borderId="21" xfId="96" applyFont="1" applyBorder="1"/>
    <xf numFmtId="0" fontId="205" fillId="0" borderId="23" xfId="96" applyFont="1" applyBorder="1"/>
    <xf numFmtId="0" fontId="205" fillId="0" borderId="24" xfId="96" applyFont="1" applyBorder="1"/>
    <xf numFmtId="0" fontId="205" fillId="0" borderId="25" xfId="96" applyFont="1" applyBorder="1"/>
    <xf numFmtId="171" fontId="180" fillId="0" borderId="0" xfId="66" applyNumberFormat="1" applyFont="1"/>
    <xf numFmtId="14" fontId="239" fillId="0" borderId="10" xfId="66" applyNumberFormat="1" applyFont="1" applyFill="1" applyBorder="1"/>
    <xf numFmtId="14" fontId="239" fillId="0" borderId="0" xfId="66" applyNumberFormat="1" applyFont="1" applyFill="1" applyBorder="1"/>
    <xf numFmtId="14" fontId="239" fillId="6" borderId="10" xfId="66" applyNumberFormat="1" applyFont="1" applyFill="1" applyBorder="1"/>
    <xf numFmtId="171" fontId="180" fillId="0" borderId="0" xfId="66" applyNumberFormat="1" applyFont="1" applyAlignment="1">
      <alignment horizontal="center" wrapText="1"/>
    </xf>
    <xf numFmtId="171" fontId="180" fillId="7" borderId="0" xfId="66" quotePrefix="1" applyNumberFormat="1" applyFont="1" applyFill="1" applyAlignment="1">
      <alignment horizontal="center" wrapText="1"/>
    </xf>
    <xf numFmtId="172" fontId="180" fillId="0" borderId="0" xfId="14" applyNumberFormat="1" applyFont="1" applyFill="1" applyBorder="1"/>
    <xf numFmtId="172" fontId="180" fillId="5" borderId="0" xfId="14" applyNumberFormat="1" applyFont="1" applyFill="1" applyBorder="1"/>
    <xf numFmtId="5" fontId="70" fillId="0" borderId="0" xfId="17" applyNumberFormat="1" applyFont="1"/>
    <xf numFmtId="0" fontId="205" fillId="0" borderId="0" xfId="96" applyFont="1" applyAlignment="1">
      <alignment horizontal="center" wrapText="1"/>
    </xf>
    <xf numFmtId="14" fontId="205" fillId="0" borderId="0" xfId="96" applyNumberFormat="1" applyFont="1" applyAlignment="1">
      <alignment horizontal="center"/>
    </xf>
    <xf numFmtId="0" fontId="205" fillId="0" borderId="15" xfId="96" applyFont="1" applyBorder="1" applyAlignment="1">
      <alignment horizontal="center"/>
    </xf>
    <xf numFmtId="0" fontId="55" fillId="0" borderId="0" xfId="96" applyFont="1" applyAlignment="1">
      <alignment wrapText="1"/>
    </xf>
    <xf numFmtId="0" fontId="205" fillId="0" borderId="14" xfId="96" applyFont="1" applyBorder="1"/>
    <xf numFmtId="171" fontId="55" fillId="5" borderId="39" xfId="66" applyNumberFormat="1" applyFont="1" applyFill="1" applyBorder="1" applyAlignment="1">
      <alignment horizontal="center" wrapText="1"/>
    </xf>
    <xf numFmtId="171" fontId="55" fillId="0" borderId="39" xfId="66" applyNumberFormat="1" applyFont="1" applyBorder="1" applyAlignment="1">
      <alignment horizontal="center" wrapText="1"/>
    </xf>
    <xf numFmtId="171" fontId="55" fillId="0" borderId="39" xfId="66" applyNumberFormat="1" applyFont="1" applyBorder="1" applyAlignment="1">
      <alignment horizontal="center"/>
    </xf>
    <xf numFmtId="171" fontId="55" fillId="0" borderId="39" xfId="66" applyNumberFormat="1" applyFont="1" applyFill="1" applyBorder="1" applyAlignment="1">
      <alignment horizontal="center" wrapText="1"/>
    </xf>
    <xf numFmtId="171" fontId="55" fillId="0" borderId="39" xfId="66" applyNumberFormat="1" applyFont="1" applyFill="1" applyBorder="1" applyAlignment="1">
      <alignment horizontal="center"/>
    </xf>
    <xf numFmtId="171" fontId="55" fillId="7" borderId="39" xfId="66" applyNumberFormat="1" applyFont="1" applyFill="1" applyBorder="1" applyAlignment="1">
      <alignment horizontal="center" wrapText="1"/>
    </xf>
    <xf numFmtId="0" fontId="55" fillId="0" borderId="0" xfId="96" quotePrefix="1" applyFont="1" applyAlignment="1">
      <alignment wrapText="1"/>
    </xf>
    <xf numFmtId="172" fontId="180" fillId="0" borderId="24" xfId="14" applyNumberFormat="1" applyFont="1" applyBorder="1"/>
    <xf numFmtId="171" fontId="55" fillId="0" borderId="0" xfId="66" applyNumberFormat="1" applyFont="1" applyFill="1"/>
    <xf numFmtId="0" fontId="55" fillId="6" borderId="0" xfId="96" applyFont="1" applyFill="1"/>
    <xf numFmtId="5" fontId="205" fillId="0" borderId="15" xfId="66" applyNumberFormat="1" applyFont="1" applyFill="1" applyBorder="1"/>
    <xf numFmtId="5" fontId="55" fillId="0" borderId="15" xfId="66" applyNumberFormat="1" applyFont="1" applyFill="1" applyBorder="1"/>
    <xf numFmtId="0" fontId="55" fillId="0" borderId="15" xfId="96" applyFont="1" applyBorder="1"/>
    <xf numFmtId="167" fontId="205" fillId="0" borderId="15" xfId="7" applyNumberFormat="1" applyFont="1" applyFill="1" applyBorder="1"/>
    <xf numFmtId="9" fontId="55" fillId="0" borderId="15" xfId="19" applyFont="1" applyBorder="1"/>
    <xf numFmtId="164" fontId="205" fillId="0" borderId="15" xfId="96" applyNumberFormat="1" applyFont="1" applyBorder="1"/>
    <xf numFmtId="164" fontId="55" fillId="0" borderId="15" xfId="96" applyNumberFormat="1" applyFont="1" applyBorder="1"/>
    <xf numFmtId="164" fontId="205" fillId="0" borderId="0" xfId="96" applyNumberFormat="1" applyFont="1"/>
    <xf numFmtId="164" fontId="55" fillId="0" borderId="0" xfId="96" applyNumberFormat="1" applyFont="1"/>
    <xf numFmtId="0" fontId="107" fillId="0" borderId="0" xfId="240" applyFont="1" applyAlignment="1">
      <alignment wrapText="1"/>
    </xf>
    <xf numFmtId="0" fontId="180" fillId="0" borderId="0" xfId="240" applyFont="1" applyAlignment="1">
      <alignment horizontal="center" wrapText="1"/>
    </xf>
    <xf numFmtId="0" fontId="107" fillId="5" borderId="0" xfId="240" applyFont="1" applyFill="1" applyAlignment="1">
      <alignment wrapText="1"/>
    </xf>
    <xf numFmtId="0" fontId="180" fillId="0" borderId="24" xfId="240" applyFont="1" applyBorder="1" applyAlignment="1">
      <alignment horizontal="center" wrapText="1"/>
    </xf>
    <xf numFmtId="0" fontId="180" fillId="5" borderId="0" xfId="240" applyFont="1" applyFill="1" applyAlignment="1">
      <alignment horizontal="center" wrapText="1"/>
    </xf>
    <xf numFmtId="0" fontId="70" fillId="5" borderId="0" xfId="17" applyFont="1" applyFill="1" applyAlignment="1">
      <alignment horizontal="center"/>
    </xf>
    <xf numFmtId="0" fontId="70" fillId="0" borderId="0" xfId="17" applyFont="1" applyAlignment="1">
      <alignment horizontal="center" wrapText="1"/>
    </xf>
    <xf numFmtId="167" fontId="55" fillId="0" borderId="0" xfId="96" applyNumberFormat="1" applyFont="1"/>
    <xf numFmtId="0" fontId="107" fillId="0" borderId="0" xfId="240" applyFont="1" applyAlignment="1">
      <alignment horizontal="right"/>
    </xf>
    <xf numFmtId="0" fontId="107" fillId="0" borderId="0" xfId="240" applyFont="1"/>
    <xf numFmtId="0" fontId="107" fillId="5" borderId="0" xfId="240" applyFont="1" applyFill="1"/>
    <xf numFmtId="172" fontId="183" fillId="0" borderId="129" xfId="14" applyNumberFormat="1" applyFont="1" applyFill="1" applyBorder="1"/>
    <xf numFmtId="164" fontId="236" fillId="0" borderId="12" xfId="17" applyNumberFormat="1" applyFont="1" applyBorder="1"/>
    <xf numFmtId="172" fontId="180" fillId="5" borderId="0" xfId="14" applyNumberFormat="1" applyFont="1" applyFill="1"/>
    <xf numFmtId="172" fontId="70" fillId="0" borderId="16" xfId="17" applyNumberFormat="1" applyFont="1" applyBorder="1"/>
    <xf numFmtId="172" fontId="10" fillId="5" borderId="0" xfId="17" applyNumberFormat="1" applyFill="1"/>
    <xf numFmtId="164" fontId="10" fillId="0" borderId="0" xfId="17" applyNumberFormat="1"/>
    <xf numFmtId="0" fontId="127" fillId="0" borderId="0" xfId="17" applyFont="1" applyAlignment="1">
      <alignment horizontal="right"/>
    </xf>
    <xf numFmtId="0" fontId="226" fillId="0" borderId="0" xfId="240" applyFont="1" applyAlignment="1">
      <alignment horizontal="right"/>
    </xf>
    <xf numFmtId="10" fontId="55" fillId="0" borderId="15" xfId="96" applyNumberFormat="1" applyFont="1" applyBorder="1"/>
    <xf numFmtId="164" fontId="68" fillId="0" borderId="0" xfId="115" applyNumberFormat="1"/>
    <xf numFmtId="178" fontId="107" fillId="0" borderId="0" xfId="240" applyNumberFormat="1" applyFont="1" applyAlignment="1">
      <alignment horizontal="right"/>
    </xf>
    <xf numFmtId="172" fontId="107" fillId="7" borderId="12" xfId="14" applyNumberFormat="1" applyFont="1" applyFill="1" applyBorder="1"/>
    <xf numFmtId="164" fontId="10" fillId="7" borderId="12" xfId="17" applyNumberFormat="1" applyFill="1" applyBorder="1"/>
    <xf numFmtId="172" fontId="107" fillId="5" borderId="0" xfId="14" applyNumberFormat="1" applyFont="1" applyFill="1" applyBorder="1"/>
    <xf numFmtId="172" fontId="70" fillId="7" borderId="17" xfId="17" applyNumberFormat="1" applyFont="1" applyFill="1" applyBorder="1"/>
    <xf numFmtId="0" fontId="68" fillId="0" borderId="0" xfId="115"/>
    <xf numFmtId="0" fontId="70" fillId="0" borderId="18" xfId="17" applyFont="1" applyBorder="1"/>
    <xf numFmtId="0" fontId="70" fillId="0" borderId="19" xfId="17" applyFont="1" applyBorder="1" applyAlignment="1">
      <alignment horizontal="center"/>
    </xf>
    <xf numFmtId="0" fontId="70" fillId="0" borderId="20" xfId="17" applyFont="1" applyBorder="1" applyAlignment="1">
      <alignment horizontal="center"/>
    </xf>
    <xf numFmtId="0" fontId="205" fillId="7" borderId="26" xfId="96" applyFont="1" applyFill="1" applyBorder="1" applyAlignment="1">
      <alignment horizontal="right"/>
    </xf>
    <xf numFmtId="172" fontId="205" fillId="7" borderId="27" xfId="2" applyNumberFormat="1" applyFont="1" applyFill="1" applyBorder="1"/>
    <xf numFmtId="0" fontId="205" fillId="7" borderId="28" xfId="96" applyFont="1" applyFill="1" applyBorder="1"/>
    <xf numFmtId="171" fontId="205" fillId="0" borderId="15" xfId="66" applyNumberFormat="1" applyFont="1" applyFill="1" applyBorder="1"/>
    <xf numFmtId="171" fontId="55" fillId="0" borderId="15" xfId="66" applyNumberFormat="1" applyFont="1" applyFill="1" applyBorder="1"/>
    <xf numFmtId="171" fontId="205" fillId="5" borderId="15" xfId="66" applyNumberFormat="1" applyFont="1" applyFill="1" applyBorder="1"/>
    <xf numFmtId="171" fontId="55" fillId="0" borderId="0" xfId="96" applyNumberFormat="1" applyFont="1"/>
    <xf numFmtId="171" fontId="205" fillId="7" borderId="15" xfId="66" applyNumberFormat="1" applyFont="1" applyFill="1" applyBorder="1"/>
    <xf numFmtId="171" fontId="164" fillId="0" borderId="0" xfId="66" applyNumberFormat="1" applyFont="1" applyAlignment="1">
      <alignment horizontal="center"/>
    </xf>
    <xf numFmtId="171" fontId="164" fillId="0" borderId="0" xfId="66" applyNumberFormat="1" applyFont="1" applyFill="1" applyAlignment="1">
      <alignment horizontal="center"/>
    </xf>
    <xf numFmtId="172" fontId="107" fillId="2" borderId="12" xfId="14" applyNumberFormat="1" applyFont="1" applyFill="1" applyBorder="1"/>
    <xf numFmtId="172" fontId="70" fillId="7" borderId="26" xfId="17" applyNumberFormat="1" applyFont="1" applyFill="1" applyBorder="1"/>
    <xf numFmtId="9" fontId="55" fillId="0" borderId="0" xfId="96" applyNumberFormat="1" applyFont="1"/>
    <xf numFmtId="171" fontId="55" fillId="0" borderId="10" xfId="1" applyNumberFormat="1" applyFont="1" applyBorder="1"/>
    <xf numFmtId="0" fontId="55" fillId="0" borderId="0" xfId="96" applyFont="1" applyAlignment="1">
      <alignment horizontal="right"/>
    </xf>
    <xf numFmtId="171" fontId="55" fillId="0" borderId="0" xfId="1" applyNumberFormat="1" applyFont="1" applyBorder="1"/>
    <xf numFmtId="0" fontId="240" fillId="0" borderId="0" xfId="96" applyFont="1"/>
    <xf numFmtId="0" fontId="241" fillId="5" borderId="0" xfId="96" applyFont="1" applyFill="1"/>
    <xf numFmtId="171" fontId="242" fillId="0" borderId="0" xfId="66" applyNumberFormat="1" applyFont="1" applyAlignment="1">
      <alignment horizontal="center"/>
    </xf>
    <xf numFmtId="171" fontId="55" fillId="7" borderId="17" xfId="1" applyNumberFormat="1" applyFont="1" applyFill="1" applyBorder="1"/>
    <xf numFmtId="171" fontId="55" fillId="5" borderId="17" xfId="1" applyNumberFormat="1" applyFont="1" applyFill="1" applyBorder="1"/>
    <xf numFmtId="172" fontId="241" fillId="5" borderId="0" xfId="2" applyNumberFormat="1" applyFont="1" applyFill="1" applyBorder="1"/>
    <xf numFmtId="0" fontId="55" fillId="0" borderId="0" xfId="96" applyFont="1" applyAlignment="1">
      <alignment vertical="top" wrapText="1"/>
    </xf>
    <xf numFmtId="171" fontId="55" fillId="0" borderId="130" xfId="1" applyNumberFormat="1" applyFont="1" applyFill="1" applyBorder="1" applyAlignment="1">
      <alignment vertical="top" wrapText="1"/>
    </xf>
    <xf numFmtId="0" fontId="205" fillId="0" borderId="131" xfId="96" applyFont="1" applyBorder="1" applyAlignment="1">
      <alignment horizontal="center"/>
    </xf>
    <xf numFmtId="0" fontId="205" fillId="0" borderId="0" xfId="96" applyFont="1" applyAlignment="1">
      <alignment horizontal="center"/>
    </xf>
    <xf numFmtId="0" fontId="205" fillId="0" borderId="24" xfId="96" applyFont="1" applyBorder="1" applyAlignment="1">
      <alignment horizontal="right"/>
    </xf>
    <xf numFmtId="171" fontId="55" fillId="0" borderId="24" xfId="96" applyNumberFormat="1" applyFont="1" applyBorder="1" applyAlignment="1">
      <alignment vertical="top" wrapText="1"/>
    </xf>
    <xf numFmtId="171" fontId="205" fillId="0" borderId="24" xfId="96" applyNumberFormat="1" applyFont="1" applyBorder="1" applyAlignment="1">
      <alignment vertical="top" wrapText="1"/>
    </xf>
    <xf numFmtId="172" fontId="55" fillId="0" borderId="0" xfId="2" applyNumberFormat="1" applyFont="1" applyBorder="1"/>
    <xf numFmtId="172" fontId="55" fillId="0" borderId="6" xfId="96" applyNumberFormat="1" applyFont="1" applyBorder="1"/>
    <xf numFmtId="172" fontId="55" fillId="0" borderId="0" xfId="96" applyNumberFormat="1" applyFont="1"/>
    <xf numFmtId="172" fontId="55" fillId="0" borderId="11" xfId="2" applyNumberFormat="1" applyFont="1" applyBorder="1"/>
    <xf numFmtId="172" fontId="55" fillId="0" borderId="9" xfId="96" applyNumberFormat="1" applyFont="1" applyBorder="1"/>
    <xf numFmtId="172" fontId="107" fillId="0" borderId="0" xfId="14" applyNumberFormat="1" applyFont="1" applyBorder="1"/>
    <xf numFmtId="171" fontId="55" fillId="0" borderId="0" xfId="96" applyNumberFormat="1" applyFont="1" applyAlignment="1">
      <alignment vertical="top" wrapText="1"/>
    </xf>
    <xf numFmtId="172" fontId="205" fillId="0" borderId="0" xfId="96" applyNumberFormat="1" applyFont="1"/>
    <xf numFmtId="44" fontId="55" fillId="0" borderId="0" xfId="96" applyNumberFormat="1" applyFont="1"/>
    <xf numFmtId="0" fontId="55" fillId="0" borderId="6" xfId="96" applyFont="1" applyBorder="1"/>
    <xf numFmtId="171" fontId="55" fillId="0" borderId="10" xfId="96" applyNumberFormat="1" applyFont="1" applyBorder="1" applyAlignment="1">
      <alignment vertical="top" wrapText="1"/>
    </xf>
    <xf numFmtId="171" fontId="55" fillId="0" borderId="10" xfId="96" applyNumberFormat="1" applyFont="1" applyBorder="1"/>
    <xf numFmtId="171" fontId="55" fillId="0" borderId="6" xfId="96" applyNumberFormat="1" applyFont="1" applyBorder="1"/>
    <xf numFmtId="43" fontId="55" fillId="0" borderId="0" xfId="96" applyNumberFormat="1" applyFont="1"/>
    <xf numFmtId="171" fontId="205" fillId="0" borderId="10" xfId="96" applyNumberFormat="1" applyFont="1" applyBorder="1"/>
    <xf numFmtId="171" fontId="243" fillId="0" borderId="0" xfId="66" applyNumberFormat="1" applyFont="1" applyBorder="1"/>
    <xf numFmtId="171" fontId="243" fillId="5" borderId="0" xfId="66" applyNumberFormat="1" applyFont="1" applyFill="1" applyBorder="1"/>
    <xf numFmtId="178" fontId="55" fillId="0" borderId="0" xfId="96" applyNumberFormat="1" applyFont="1"/>
    <xf numFmtId="0" fontId="205" fillId="5" borderId="131" xfId="96" applyFont="1" applyFill="1" applyBorder="1" applyAlignment="1">
      <alignment horizontal="center"/>
    </xf>
    <xf numFmtId="0" fontId="55" fillId="5" borderId="0" xfId="96" applyFont="1" applyFill="1"/>
    <xf numFmtId="0" fontId="205" fillId="5" borderId="0" xfId="96" applyFont="1" applyFill="1" applyAlignment="1">
      <alignment horizontal="right"/>
    </xf>
    <xf numFmtId="0" fontId="107" fillId="5" borderId="0" xfId="240" applyFont="1" applyFill="1" applyAlignment="1">
      <alignment horizontal="center"/>
    </xf>
    <xf numFmtId="0" fontId="107" fillId="0" borderId="0" xfId="240" applyFont="1" applyAlignment="1">
      <alignment horizontal="center"/>
    </xf>
    <xf numFmtId="171" fontId="243" fillId="5" borderId="0" xfId="66" applyNumberFormat="1" applyFont="1" applyFill="1" applyBorder="1" applyAlignment="1">
      <alignment horizontal="center"/>
    </xf>
    <xf numFmtId="171" fontId="243" fillId="0" borderId="0" xfId="66" applyNumberFormat="1" applyFont="1" applyBorder="1" applyAlignment="1">
      <alignment horizontal="center"/>
    </xf>
    <xf numFmtId="171" fontId="126" fillId="0" borderId="0" xfId="66" applyNumberFormat="1" applyFont="1" applyBorder="1" applyAlignment="1">
      <alignment horizontal="center"/>
    </xf>
    <xf numFmtId="0" fontId="205" fillId="0" borderId="18" xfId="96" applyFont="1" applyBorder="1" applyAlignment="1">
      <alignment vertical="top" wrapText="1"/>
    </xf>
    <xf numFmtId="171" fontId="205" fillId="0" borderId="20" xfId="96" applyNumberFormat="1" applyFont="1" applyBorder="1" applyAlignment="1">
      <alignment vertical="top" wrapText="1"/>
    </xf>
    <xf numFmtId="0" fontId="55" fillId="0" borderId="18" xfId="96" applyFont="1" applyBorder="1" applyAlignment="1">
      <alignment vertical="top" wrapText="1"/>
    </xf>
    <xf numFmtId="171" fontId="55" fillId="0" borderId="20" xfId="96" applyNumberFormat="1" applyFont="1" applyBorder="1" applyAlignment="1">
      <alignment vertical="top" wrapText="1"/>
    </xf>
    <xf numFmtId="172" fontId="55" fillId="0" borderId="34" xfId="96" applyNumberFormat="1" applyFont="1" applyBorder="1"/>
    <xf numFmtId="171" fontId="205" fillId="7" borderId="20" xfId="96" applyNumberFormat="1" applyFont="1" applyFill="1" applyBorder="1" applyAlignment="1">
      <alignment vertical="top" wrapText="1"/>
    </xf>
    <xf numFmtId="172" fontId="55" fillId="5" borderId="34" xfId="96" applyNumberFormat="1" applyFont="1" applyFill="1" applyBorder="1"/>
    <xf numFmtId="171" fontId="205" fillId="5" borderId="20" xfId="96" applyNumberFormat="1" applyFont="1" applyFill="1" applyBorder="1" applyAlignment="1">
      <alignment vertical="top" wrapText="1"/>
    </xf>
    <xf numFmtId="9" fontId="107" fillId="0" borderId="0" xfId="240" applyNumberFormat="1" applyFont="1"/>
    <xf numFmtId="172" fontId="107" fillId="5" borderId="0" xfId="240" applyNumberFormat="1" applyFont="1" applyFill="1"/>
    <xf numFmtId="172" fontId="107" fillId="0" borderId="0" xfId="240" applyNumberFormat="1" applyFont="1"/>
    <xf numFmtId="44" fontId="10" fillId="0" borderId="0" xfId="240" applyNumberFormat="1" applyFont="1"/>
    <xf numFmtId="171" fontId="205" fillId="0" borderId="25" xfId="96" applyNumberFormat="1" applyFont="1" applyBorder="1"/>
    <xf numFmtId="0" fontId="55" fillId="0" borderId="23" xfId="96" applyFont="1" applyBorder="1"/>
    <xf numFmtId="171" fontId="55" fillId="0" borderId="25" xfId="96" applyNumberFormat="1" applyFont="1" applyBorder="1"/>
    <xf numFmtId="172" fontId="55" fillId="0" borderId="36" xfId="96" applyNumberFormat="1" applyFont="1" applyBorder="1"/>
    <xf numFmtId="171" fontId="205" fillId="7" borderId="25" xfId="96" applyNumberFormat="1" applyFont="1" applyFill="1" applyBorder="1"/>
    <xf numFmtId="172" fontId="55" fillId="5" borderId="36" xfId="96" applyNumberFormat="1" applyFont="1" applyFill="1" applyBorder="1"/>
    <xf numFmtId="171" fontId="205" fillId="5" borderId="25" xfId="96" applyNumberFormat="1" applyFont="1" applyFill="1" applyBorder="1"/>
    <xf numFmtId="0" fontId="244" fillId="0" borderId="0" xfId="96" applyFont="1"/>
    <xf numFmtId="171" fontId="245" fillId="0" borderId="0" xfId="96" applyNumberFormat="1" applyFont="1"/>
    <xf numFmtId="0" fontId="246" fillId="0" borderId="0" xfId="96" applyFont="1"/>
    <xf numFmtId="0" fontId="247" fillId="0" borderId="0" xfId="96" applyFont="1"/>
    <xf numFmtId="171" fontId="247" fillId="0" borderId="0" xfId="96" applyNumberFormat="1" applyFont="1"/>
    <xf numFmtId="172" fontId="107" fillId="0" borderId="41" xfId="14" applyNumberFormat="1" applyFont="1" applyBorder="1"/>
    <xf numFmtId="172" fontId="10" fillId="0" borderId="41" xfId="14" applyNumberFormat="1" applyFont="1" applyBorder="1"/>
    <xf numFmtId="0" fontId="244" fillId="0" borderId="0" xfId="96" applyFont="1" applyAlignment="1">
      <alignment vertical="top"/>
    </xf>
    <xf numFmtId="171" fontId="245" fillId="0" borderId="0" xfId="96" applyNumberFormat="1" applyFont="1" applyAlignment="1">
      <alignment vertical="top"/>
    </xf>
    <xf numFmtId="0" fontId="247" fillId="0" borderId="0" xfId="96" applyFont="1" applyAlignment="1">
      <alignment vertical="top"/>
    </xf>
    <xf numFmtId="171" fontId="247" fillId="0" borderId="0" xfId="96" applyNumberFormat="1" applyFont="1" applyAlignment="1">
      <alignment vertical="top"/>
    </xf>
    <xf numFmtId="0" fontId="10" fillId="0" borderId="0" xfId="240" applyFont="1"/>
    <xf numFmtId="14" fontId="248" fillId="0" borderId="0" xfId="96" applyNumberFormat="1" applyFont="1" applyAlignment="1">
      <alignment horizontal="center"/>
    </xf>
    <xf numFmtId="172" fontId="107" fillId="0" borderId="0" xfId="240" applyNumberFormat="1" applyFont="1" applyAlignment="1">
      <alignment horizontal="center"/>
    </xf>
    <xf numFmtId="0" fontId="10" fillId="0" borderId="0" xfId="240" applyFont="1" applyAlignment="1">
      <alignment horizontal="center"/>
    </xf>
    <xf numFmtId="0" fontId="55" fillId="0" borderId="18" xfId="96" applyFont="1" applyBorder="1"/>
    <xf numFmtId="0" fontId="55" fillId="0" borderId="19" xfId="96" applyFont="1" applyBorder="1"/>
    <xf numFmtId="0" fontId="55" fillId="0" borderId="20" xfId="96" applyFont="1" applyBorder="1"/>
    <xf numFmtId="5" fontId="55" fillId="0" borderId="0" xfId="96" applyNumberFormat="1" applyFont="1"/>
    <xf numFmtId="0" fontId="55" fillId="0" borderId="21" xfId="96" applyFont="1" applyBorder="1"/>
    <xf numFmtId="190" fontId="55" fillId="0" borderId="22" xfId="2" applyNumberFormat="1" applyFont="1" applyBorder="1"/>
    <xf numFmtId="0" fontId="55" fillId="0" borderId="24" xfId="96" applyFont="1" applyBorder="1"/>
    <xf numFmtId="190" fontId="55" fillId="0" borderId="25" xfId="2" applyNumberFormat="1" applyFont="1" applyBorder="1"/>
    <xf numFmtId="0" fontId="102" fillId="0" borderId="0" xfId="17" applyFont="1" applyAlignment="1">
      <alignment horizontal="center"/>
    </xf>
    <xf numFmtId="0" fontId="205" fillId="0" borderId="10" xfId="96" applyFont="1" applyBorder="1"/>
    <xf numFmtId="5" fontId="55" fillId="7" borderId="17" xfId="96" applyNumberFormat="1" applyFont="1" applyFill="1" applyBorder="1"/>
    <xf numFmtId="0" fontId="205" fillId="0" borderId="0" xfId="96" applyFont="1" applyAlignment="1">
      <alignment horizontal="right"/>
    </xf>
    <xf numFmtId="172" fontId="55" fillId="0" borderId="0" xfId="2" applyNumberFormat="1" applyFont="1"/>
    <xf numFmtId="171" fontId="102" fillId="0" borderId="0" xfId="1" applyNumberFormat="1" applyFont="1" applyFill="1" applyBorder="1" applyAlignment="1">
      <alignment horizontal="center"/>
    </xf>
    <xf numFmtId="5" fontId="55" fillId="0" borderId="10" xfId="96" applyNumberFormat="1" applyFont="1" applyBorder="1"/>
    <xf numFmtId="171" fontId="55" fillId="7" borderId="17" xfId="96" applyNumberFormat="1" applyFont="1" applyFill="1" applyBorder="1"/>
    <xf numFmtId="0" fontId="55" fillId="0" borderId="10" xfId="96" applyFont="1" applyBorder="1" applyAlignment="1">
      <alignment horizontal="center"/>
    </xf>
    <xf numFmtId="171" fontId="55" fillId="0" borderId="0" xfId="96" applyNumberFormat="1" applyFont="1" applyAlignment="1">
      <alignment horizontal="center"/>
    </xf>
    <xf numFmtId="172" fontId="55" fillId="0" borderId="0" xfId="14" applyNumberFormat="1" applyFont="1" applyBorder="1"/>
    <xf numFmtId="172" fontId="55" fillId="0" borderId="10" xfId="14" applyNumberFormat="1" applyFont="1" applyBorder="1"/>
    <xf numFmtId="0" fontId="180" fillId="0" borderId="0" xfId="241" applyFont="1" applyAlignment="1">
      <alignment wrapText="1"/>
    </xf>
    <xf numFmtId="0" fontId="66" fillId="0" borderId="0" xfId="241"/>
    <xf numFmtId="0" fontId="81" fillId="0" borderId="0" xfId="241" applyFont="1"/>
    <xf numFmtId="172" fontId="0" fillId="0" borderId="0" xfId="153" applyNumberFormat="1" applyFont="1"/>
    <xf numFmtId="0" fontId="180" fillId="0" borderId="0" xfId="241" applyFont="1" applyAlignment="1">
      <alignment horizontal="center" wrapText="1"/>
    </xf>
    <xf numFmtId="0" fontId="180" fillId="0" borderId="0" xfId="241" applyFont="1" applyAlignment="1">
      <alignment horizontal="right" wrapText="1"/>
    </xf>
    <xf numFmtId="0" fontId="81" fillId="0" borderId="0" xfId="228" applyFont="1" applyAlignment="1">
      <alignment horizontal="center"/>
    </xf>
    <xf numFmtId="0" fontId="81" fillId="0" borderId="0" xfId="228" applyFont="1" applyAlignment="1">
      <alignment horizontal="right"/>
    </xf>
    <xf numFmtId="171" fontId="231" fillId="0" borderId="0" xfId="234" applyNumberFormat="1" applyFont="1" applyAlignment="1">
      <alignment horizontal="right"/>
    </xf>
    <xf numFmtId="172" fontId="3" fillId="13" borderId="0" xfId="14" applyNumberFormat="1" applyFont="1" applyFill="1"/>
    <xf numFmtId="172" fontId="3" fillId="0" borderId="0" xfId="14" applyNumberFormat="1" applyFont="1" applyFill="1"/>
    <xf numFmtId="172" fontId="3" fillId="0" borderId="0" xfId="14" applyNumberFormat="1" applyFont="1" applyFill="1" applyBorder="1"/>
    <xf numFmtId="171" fontId="3" fillId="0" borderId="10" xfId="234" applyNumberFormat="1" applyFont="1" applyBorder="1"/>
    <xf numFmtId="43" fontId="3" fillId="0" borderId="10" xfId="234" applyFont="1" applyFill="1" applyBorder="1"/>
    <xf numFmtId="171" fontId="3" fillId="0" borderId="10" xfId="234" applyNumberFormat="1" applyFont="1" applyFill="1" applyBorder="1"/>
    <xf numFmtId="43" fontId="3" fillId="0" borderId="0" xfId="234" applyFont="1" applyFill="1" applyBorder="1"/>
    <xf numFmtId="171" fontId="3" fillId="0" borderId="0" xfId="234" applyNumberFormat="1" applyFont="1"/>
    <xf numFmtId="172" fontId="180" fillId="0" borderId="0" xfId="14" applyNumberFormat="1" applyFont="1" applyFill="1"/>
    <xf numFmtId="172" fontId="180" fillId="0" borderId="0" xfId="14" applyNumberFormat="1" applyFont="1" applyFill="1" applyBorder="1" applyAlignment="1">
      <alignment horizontal="right"/>
    </xf>
    <xf numFmtId="172" fontId="180" fillId="13" borderId="0" xfId="14" applyNumberFormat="1" applyFont="1" applyFill="1"/>
    <xf numFmtId="172" fontId="0" fillId="0" borderId="3" xfId="153" applyNumberFormat="1" applyFont="1" applyBorder="1"/>
    <xf numFmtId="43" fontId="3" fillId="0" borderId="0" xfId="228" applyNumberFormat="1"/>
    <xf numFmtId="43" fontId="3" fillId="0" borderId="0" xfId="228" applyNumberFormat="1" applyAlignment="1">
      <alignment horizontal="right"/>
    </xf>
    <xf numFmtId="43" fontId="107" fillId="0" borderId="0" xfId="240" applyNumberFormat="1" applyFont="1"/>
    <xf numFmtId="43" fontId="107" fillId="0" borderId="0" xfId="240" applyNumberFormat="1" applyFont="1" applyAlignment="1">
      <alignment horizontal="right"/>
    </xf>
    <xf numFmtId="0" fontId="249" fillId="0" borderId="0" xfId="241" applyFont="1" applyAlignment="1">
      <alignment horizontal="right"/>
    </xf>
    <xf numFmtId="172" fontId="81" fillId="0" borderId="3" xfId="153" applyNumberFormat="1" applyFont="1" applyBorder="1"/>
    <xf numFmtId="0" fontId="227" fillId="0" borderId="0" xfId="240" applyFont="1" applyAlignment="1">
      <alignment horizontal="left"/>
    </xf>
    <xf numFmtId="172" fontId="0" fillId="0" borderId="0" xfId="153" applyNumberFormat="1" applyFont="1" applyBorder="1"/>
    <xf numFmtId="178" fontId="250" fillId="0" borderId="0" xfId="240" applyNumberFormat="1" applyFont="1" applyAlignment="1">
      <alignment horizontal="center"/>
    </xf>
    <xf numFmtId="0" fontId="249" fillId="5" borderId="0" xfId="241" applyFont="1" applyFill="1" applyAlignment="1">
      <alignment horizontal="right"/>
    </xf>
    <xf numFmtId="0" fontId="249" fillId="5" borderId="0" xfId="241" applyFont="1" applyFill="1"/>
    <xf numFmtId="172" fontId="0" fillId="0" borderId="39" xfId="153" applyNumberFormat="1" applyFont="1" applyBorder="1"/>
    <xf numFmtId="172" fontId="81" fillId="24" borderId="17" xfId="241" applyNumberFormat="1" applyFont="1" applyFill="1" applyBorder="1"/>
    <xf numFmtId="0" fontId="66" fillId="0" borderId="0" xfId="241" applyAlignment="1">
      <alignment horizontal="right"/>
    </xf>
    <xf numFmtId="172" fontId="107" fillId="0" borderId="10" xfId="57" applyNumberFormat="1" applyFont="1" applyFill="1" applyBorder="1"/>
    <xf numFmtId="43" fontId="107" fillId="0" borderId="0" xfId="57" applyNumberFormat="1" applyFont="1" applyFill="1" applyBorder="1" applyAlignment="1">
      <alignment horizontal="right"/>
    </xf>
    <xf numFmtId="43" fontId="107" fillId="0" borderId="0" xfId="57" applyNumberFormat="1" applyFont="1" applyFill="1" applyBorder="1"/>
    <xf numFmtId="172" fontId="107" fillId="7" borderId="12" xfId="57" applyNumberFormat="1" applyFont="1" applyFill="1" applyBorder="1"/>
    <xf numFmtId="178" fontId="107" fillId="0" borderId="0" xfId="240" applyNumberFormat="1" applyFont="1" applyAlignment="1">
      <alignment horizontal="center"/>
    </xf>
    <xf numFmtId="172" fontId="81" fillId="0" borderId="0" xfId="153" applyNumberFormat="1" applyFont="1"/>
    <xf numFmtId="172" fontId="107" fillId="0" borderId="12" xfId="57" applyNumberFormat="1" applyFont="1" applyFill="1" applyBorder="1"/>
    <xf numFmtId="178" fontId="107" fillId="0" borderId="0" xfId="57" applyNumberFormat="1" applyFont="1" applyFill="1" applyBorder="1" applyAlignment="1">
      <alignment horizontal="center"/>
    </xf>
    <xf numFmtId="172" fontId="107" fillId="0" borderId="0" xfId="57" applyNumberFormat="1" applyFont="1" applyFill="1" applyBorder="1"/>
    <xf numFmtId="178" fontId="107" fillId="0" borderId="0" xfId="57" applyNumberFormat="1" applyFont="1" applyFill="1" applyBorder="1" applyAlignment="1">
      <alignment horizontal="right"/>
    </xf>
    <xf numFmtId="172" fontId="142" fillId="0" borderId="3" xfId="153" applyNumberFormat="1" applyFont="1" applyBorder="1"/>
    <xf numFmtId="172" fontId="3" fillId="0" borderId="0" xfId="228" applyNumberFormat="1"/>
    <xf numFmtId="172" fontId="3" fillId="0" borderId="0" xfId="228" applyNumberFormat="1" applyAlignment="1">
      <alignment horizontal="right"/>
    </xf>
    <xf numFmtId="172" fontId="81" fillId="0" borderId="0" xfId="153" applyNumberFormat="1" applyFont="1" applyBorder="1"/>
    <xf numFmtId="172" fontId="66" fillId="0" borderId="0" xfId="241" applyNumberFormat="1"/>
    <xf numFmtId="0" fontId="81" fillId="5" borderId="0" xfId="241" applyFont="1" applyFill="1"/>
    <xf numFmtId="172" fontId="66" fillId="0" borderId="39" xfId="241" applyNumberFormat="1" applyBorder="1"/>
    <xf numFmtId="0" fontId="39" fillId="0" borderId="0" xfId="0" applyFont="1"/>
    <xf numFmtId="0" fontId="251" fillId="0" borderId="0" xfId="0" applyFont="1"/>
    <xf numFmtId="166" fontId="30" fillId="0" borderId="0" xfId="0" quotePrefix="1" applyNumberFormat="1" applyFont="1" applyAlignment="1" applyProtection="1">
      <alignment horizontal="right"/>
      <protection locked="0"/>
    </xf>
    <xf numFmtId="0" fontId="252" fillId="0" borderId="0" xfId="0" applyFont="1"/>
    <xf numFmtId="166" fontId="30" fillId="0" borderId="0" xfId="0" applyNumberFormat="1" applyFont="1" applyProtection="1">
      <protection locked="0"/>
    </xf>
    <xf numFmtId="0" fontId="253" fillId="0" borderId="0" xfId="0" applyFont="1"/>
    <xf numFmtId="166" fontId="251" fillId="0" borderId="0" xfId="0" applyNumberFormat="1" applyFont="1"/>
    <xf numFmtId="166" fontId="39" fillId="0" borderId="0" xfId="0" applyNumberFormat="1" applyFont="1"/>
    <xf numFmtId="166" fontId="254" fillId="2" borderId="41" xfId="0" applyNumberFormat="1" applyFont="1" applyFill="1" applyBorder="1"/>
    <xf numFmtId="166" fontId="31" fillId="0" borderId="0" xfId="0" applyNumberFormat="1" applyFont="1"/>
    <xf numFmtId="166" fontId="31" fillId="0" borderId="0" xfId="29" applyNumberFormat="1" applyFont="1"/>
    <xf numFmtId="0" fontId="31" fillId="0" borderId="0" xfId="29" applyFont="1"/>
    <xf numFmtId="166" fontId="30" fillId="0" borderId="0" xfId="29" applyNumberFormat="1" applyFont="1" applyProtection="1">
      <protection locked="0"/>
    </xf>
    <xf numFmtId="0" fontId="30" fillId="0" borderId="0" xfId="29" applyFont="1"/>
    <xf numFmtId="166" fontId="31" fillId="0" borderId="3" xfId="29" applyNumberFormat="1" applyFont="1" applyBorder="1"/>
    <xf numFmtId="0" fontId="30" fillId="0" borderId="0" xfId="29" applyFont="1" applyProtection="1">
      <protection locked="0"/>
    </xf>
    <xf numFmtId="164" fontId="39" fillId="0" borderId="0" xfId="0" applyNumberFormat="1" applyFont="1"/>
    <xf numFmtId="166" fontId="30" fillId="0" borderId="0" xfId="29" applyNumberFormat="1" applyFont="1"/>
    <xf numFmtId="0" fontId="53" fillId="0" borderId="0" xfId="29" applyFont="1"/>
    <xf numFmtId="164" fontId="39" fillId="0" borderId="3" xfId="0" applyNumberFormat="1" applyFont="1" applyBorder="1"/>
    <xf numFmtId="178" fontId="39" fillId="0" borderId="0" xfId="0" applyNumberFormat="1" applyFont="1"/>
    <xf numFmtId="0" fontId="39" fillId="0" borderId="0" xfId="0" applyFont="1" applyAlignment="1">
      <alignment horizontal="left"/>
    </xf>
    <xf numFmtId="1" fontId="39" fillId="0" borderId="0" xfId="0" applyNumberFormat="1" applyFont="1"/>
    <xf numFmtId="166" fontId="31" fillId="0" borderId="3" xfId="29" applyNumberFormat="1" applyFont="1" applyBorder="1" applyProtection="1">
      <protection locked="0"/>
    </xf>
    <xf numFmtId="0" fontId="255" fillId="0" borderId="0" xfId="0" applyFont="1"/>
    <xf numFmtId="10" fontId="39" fillId="0" borderId="0" xfId="0" applyNumberFormat="1" applyFont="1"/>
    <xf numFmtId="0" fontId="39" fillId="0" borderId="36" xfId="0" applyFont="1" applyBorder="1" applyAlignment="1">
      <alignment horizontal="center"/>
    </xf>
    <xf numFmtId="0" fontId="39" fillId="0" borderId="25" xfId="0" applyFont="1" applyBorder="1" applyAlignment="1">
      <alignment horizontal="center"/>
    </xf>
    <xf numFmtId="0" fontId="39" fillId="0" borderId="24" xfId="0" applyFont="1" applyBorder="1" applyAlignment="1">
      <alignment horizontal="center"/>
    </xf>
    <xf numFmtId="0" fontId="39" fillId="0" borderId="23" xfId="0" applyFont="1" applyBorder="1" applyAlignment="1">
      <alignment horizontal="center"/>
    </xf>
    <xf numFmtId="0" fontId="251" fillId="0" borderId="0" xfId="0" applyFont="1" applyAlignment="1">
      <alignment horizontal="center"/>
    </xf>
    <xf numFmtId="0" fontId="39" fillId="0" borderId="34" xfId="0" applyFont="1" applyBorder="1" applyAlignment="1">
      <alignment horizontal="center"/>
    </xf>
    <xf numFmtId="0" fontId="254" fillId="0" borderId="0" xfId="0" applyFont="1" applyAlignment="1">
      <alignment horizontal="center"/>
    </xf>
    <xf numFmtId="10" fontId="251" fillId="0" borderId="0" xfId="0" applyNumberFormat="1" applyFont="1"/>
    <xf numFmtId="172" fontId="39" fillId="0" borderId="0" xfId="2" applyNumberFormat="1" applyFont="1" applyFill="1"/>
    <xf numFmtId="172" fontId="39" fillId="0" borderId="0" xfId="2" applyNumberFormat="1" applyFont="1"/>
    <xf numFmtId="0" fontId="257" fillId="0" borderId="10" xfId="0" applyFont="1" applyBorder="1" applyAlignment="1">
      <alignment horizontal="center"/>
    </xf>
    <xf numFmtId="0" fontId="39" fillId="0" borderId="10" xfId="0" applyFont="1" applyBorder="1" applyAlignment="1">
      <alignment horizontal="center"/>
    </xf>
    <xf numFmtId="5" fontId="258" fillId="0" borderId="41" xfId="233" applyNumberFormat="1" applyFont="1" applyBorder="1" applyAlignment="1">
      <alignment horizontal="right"/>
    </xf>
    <xf numFmtId="172" fontId="258" fillId="0" borderId="41" xfId="233" applyNumberFormat="1" applyFont="1" applyBorder="1" applyAlignment="1">
      <alignment horizontal="right"/>
    </xf>
    <xf numFmtId="172" fontId="258"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1" fillId="0" borderId="10" xfId="0" applyFont="1" applyBorder="1" applyAlignment="1">
      <alignment horizontal="center" wrapText="1"/>
    </xf>
    <xf numFmtId="0" fontId="81" fillId="0" borderId="10" xfId="0" applyFont="1" applyBorder="1" applyAlignment="1">
      <alignment horizontal="left" wrapText="1"/>
    </xf>
    <xf numFmtId="0" fontId="259" fillId="0" borderId="0" xfId="0" applyFont="1"/>
    <xf numFmtId="44" fontId="0" fillId="0" borderId="0" xfId="0" applyNumberFormat="1" applyAlignment="1">
      <alignment wrapText="1"/>
    </xf>
    <xf numFmtId="0" fontId="104" fillId="0" borderId="0" xfId="0" applyFont="1"/>
    <xf numFmtId="44" fontId="104" fillId="0" borderId="0" xfId="0" applyNumberFormat="1" applyFont="1" applyAlignment="1">
      <alignment wrapText="1"/>
    </xf>
    <xf numFmtId="0" fontId="104" fillId="0" borderId="0" xfId="0" applyFont="1" applyAlignment="1">
      <alignment horizontal="right"/>
    </xf>
    <xf numFmtId="217" fontId="107" fillId="0" borderId="0" xfId="0" applyNumberFormat="1" applyFont="1"/>
    <xf numFmtId="14" fontId="107" fillId="0" borderId="0" xfId="0" applyNumberFormat="1" applyFont="1"/>
    <xf numFmtId="44" fontId="81" fillId="0" borderId="24" xfId="2" applyFont="1" applyBorder="1" applyAlignment="1">
      <alignment wrapText="1"/>
    </xf>
    <xf numFmtId="9" fontId="0" fillId="0" borderId="0" xfId="0" applyNumberFormat="1" applyAlignment="1">
      <alignment wrapText="1"/>
    </xf>
    <xf numFmtId="43" fontId="258" fillId="0" borderId="41" xfId="233" applyFont="1" applyBorder="1" applyAlignment="1">
      <alignment horizontal="right"/>
    </xf>
    <xf numFmtId="43" fontId="260" fillId="0" borderId="0" xfId="233" applyFont="1" applyAlignment="1">
      <alignment horizontal="right"/>
    </xf>
    <xf numFmtId="43" fontId="0" fillId="0" borderId="0" xfId="233" applyFont="1" applyFill="1" applyAlignment="1"/>
    <xf numFmtId="43" fontId="0" fillId="0" borderId="0" xfId="233" applyFont="1" applyAlignment="1"/>
    <xf numFmtId="43" fontId="260" fillId="0" borderId="0" xfId="233" applyFont="1" applyAlignment="1"/>
    <xf numFmtId="43" fontId="260" fillId="0" borderId="16" xfId="233" applyFont="1" applyBorder="1" applyAlignment="1"/>
    <xf numFmtId="43" fontId="139" fillId="0" borderId="0" xfId="233" applyFont="1" applyFill="1" applyAlignment="1"/>
    <xf numFmtId="217" fontId="139" fillId="0" borderId="0" xfId="0" applyNumberFormat="1" applyFont="1"/>
    <xf numFmtId="43" fontId="260" fillId="0" borderId="0" xfId="233" applyFont="1" applyFill="1" applyAlignment="1"/>
    <xf numFmtId="43" fontId="259" fillId="0" borderId="0" xfId="233" applyFont="1" applyAlignment="1"/>
    <xf numFmtId="14" fontId="258" fillId="27" borderId="17" xfId="0" applyNumberFormat="1" applyFont="1" applyFill="1" applyBorder="1" applyAlignment="1">
      <alignment horizontal="center"/>
    </xf>
    <xf numFmtId="43" fontId="138" fillId="0" borderId="28" xfId="233" applyFont="1" applyFill="1" applyBorder="1" applyAlignment="1">
      <alignment horizontal="center" vertical="top" wrapText="1"/>
    </xf>
    <xf numFmtId="43" fontId="260" fillId="28" borderId="27" xfId="233" applyFont="1" applyFill="1" applyBorder="1" applyAlignment="1">
      <alignment horizontal="center" vertical="top" wrapText="1"/>
    </xf>
    <xf numFmtId="43" fontId="260" fillId="0" borderId="27" xfId="233" applyFont="1" applyFill="1" applyBorder="1" applyAlignment="1">
      <alignment horizontal="center" vertical="top" wrapText="1"/>
    </xf>
    <xf numFmtId="43" fontId="260" fillId="29" borderId="27" xfId="233" applyFont="1" applyFill="1" applyBorder="1" applyAlignment="1">
      <alignment horizontal="center" vertical="top" wrapText="1"/>
    </xf>
    <xf numFmtId="43" fontId="260" fillId="0" borderId="27" xfId="233" applyFont="1" applyBorder="1" applyAlignment="1">
      <alignment horizontal="center" vertical="top" wrapText="1"/>
    </xf>
    <xf numFmtId="43" fontId="139" fillId="0" borderId="27" xfId="233" applyFont="1" applyFill="1" applyBorder="1" applyAlignment="1">
      <alignment horizontal="center" vertical="top" wrapText="1"/>
    </xf>
    <xf numFmtId="0" fontId="260" fillId="0" borderId="26" xfId="0" applyFont="1" applyBorder="1" applyAlignment="1">
      <alignment horizontal="center" vertical="top" wrapText="1"/>
    </xf>
    <xf numFmtId="43" fontId="138" fillId="0" borderId="25" xfId="233" applyFont="1" applyFill="1" applyBorder="1" applyAlignment="1">
      <alignment horizontal="center" vertical="top" wrapText="1"/>
    </xf>
    <xf numFmtId="43" fontId="260" fillId="0" borderId="24" xfId="233" applyFont="1" applyFill="1" applyBorder="1" applyAlignment="1">
      <alignment horizontal="center" vertical="top" wrapText="1"/>
    </xf>
    <xf numFmtId="43" fontId="260" fillId="0" borderId="24" xfId="233" applyFont="1" applyBorder="1" applyAlignment="1">
      <alignment horizontal="center" vertical="top" wrapText="1"/>
    </xf>
    <xf numFmtId="43" fontId="139" fillId="0" borderId="24" xfId="233" applyFont="1" applyBorder="1" applyAlignment="1">
      <alignment horizontal="center" vertical="top" wrapText="1"/>
    </xf>
    <xf numFmtId="0" fontId="260" fillId="0" borderId="23" xfId="0" applyFont="1" applyBorder="1" applyAlignment="1">
      <alignment horizontal="center" vertical="top" wrapText="1"/>
    </xf>
    <xf numFmtId="43" fontId="260" fillId="0" borderId="22" xfId="233" applyFont="1" applyFill="1" applyBorder="1" applyAlignment="1"/>
    <xf numFmtId="43" fontId="260" fillId="0" borderId="0" xfId="233" applyFont="1" applyBorder="1" applyAlignment="1"/>
    <xf numFmtId="1" fontId="260" fillId="0" borderId="0" xfId="233" applyNumberFormat="1" applyFont="1" applyBorder="1" applyAlignment="1">
      <alignment horizontal="center"/>
    </xf>
    <xf numFmtId="10" fontId="261" fillId="0" borderId="28" xfId="233" applyNumberFormat="1" applyFont="1" applyBorder="1" applyAlignment="1">
      <alignment horizontal="center"/>
    </xf>
    <xf numFmtId="1" fontId="260" fillId="0" borderId="27" xfId="233" applyNumberFormat="1" applyFont="1" applyBorder="1" applyAlignment="1">
      <alignment horizontal="center"/>
    </xf>
    <xf numFmtId="10" fontId="261" fillId="0" borderId="26" xfId="233" applyNumberFormat="1" applyFont="1" applyBorder="1" applyAlignment="1">
      <alignment horizontal="center"/>
    </xf>
    <xf numFmtId="0" fontId="261" fillId="0" borderId="21" xfId="0" applyFont="1" applyBorder="1" applyAlignment="1">
      <alignment horizontal="center"/>
    </xf>
    <xf numFmtId="218" fontId="260" fillId="0" borderId="0" xfId="233" applyNumberFormat="1" applyFont="1" applyBorder="1" applyAlignment="1"/>
    <xf numFmtId="180" fontId="139" fillId="0" borderId="0" xfId="2" applyNumberFormat="1" applyFont="1" applyBorder="1" applyAlignment="1">
      <alignment horizontal="center"/>
    </xf>
    <xf numFmtId="172" fontId="139" fillId="0" borderId="28" xfId="2" applyNumberFormat="1" applyFont="1" applyBorder="1" applyAlignment="1">
      <alignment horizontal="center"/>
    </xf>
    <xf numFmtId="43" fontId="139" fillId="0" borderId="27" xfId="233" applyFont="1" applyBorder="1" applyAlignment="1">
      <alignment horizontal="left"/>
    </xf>
    <xf numFmtId="1" fontId="139" fillId="0" borderId="26" xfId="233" applyNumberFormat="1" applyFont="1" applyBorder="1" applyAlignment="1">
      <alignment horizontal="center"/>
    </xf>
    <xf numFmtId="10" fontId="261" fillId="0" borderId="0" xfId="233" applyNumberFormat="1" applyFont="1" applyBorder="1" applyAlignment="1">
      <alignment horizontal="center"/>
    </xf>
    <xf numFmtId="0" fontId="260" fillId="0" borderId="21" xfId="0" applyFont="1" applyBorder="1"/>
    <xf numFmtId="0" fontId="260" fillId="0" borderId="0" xfId="0" applyFont="1"/>
    <xf numFmtId="43" fontId="258" fillId="0" borderId="0" xfId="233" applyFont="1" applyFill="1" applyAlignment="1"/>
    <xf numFmtId="172" fontId="0" fillId="0" borderId="10" xfId="2" applyNumberFormat="1" applyFont="1" applyFill="1" applyBorder="1"/>
    <xf numFmtId="0" fontId="81" fillId="0" borderId="27" xfId="0" applyFont="1" applyBorder="1"/>
    <xf numFmtId="0" fontId="81" fillId="0" borderId="26" xfId="0" applyFont="1" applyBorder="1" applyAlignment="1">
      <alignment horizontal="left"/>
    </xf>
    <xf numFmtId="0" fontId="10" fillId="0" borderId="0" xfId="75" applyAlignment="1">
      <alignment horizontal="center"/>
    </xf>
    <xf numFmtId="172" fontId="10" fillId="7" borderId="17" xfId="75" applyNumberFormat="1" applyFill="1" applyBorder="1"/>
    <xf numFmtId="172" fontId="10" fillId="0" borderId="0" xfId="75" applyNumberFormat="1"/>
    <xf numFmtId="43" fontId="27" fillId="0" borderId="0" xfId="75" applyNumberFormat="1" applyFont="1"/>
    <xf numFmtId="44" fontId="10" fillId="0" borderId="3" xfId="75" applyNumberFormat="1" applyBorder="1"/>
    <xf numFmtId="172" fontId="10" fillId="0" borderId="17" xfId="75" applyNumberFormat="1" applyBorder="1"/>
    <xf numFmtId="43" fontId="170" fillId="0" borderId="0" xfId="75" applyNumberFormat="1" applyFont="1"/>
    <xf numFmtId="43" fontId="170" fillId="0" borderId="10" xfId="75" applyNumberFormat="1" applyFont="1" applyBorder="1"/>
    <xf numFmtId="44" fontId="10" fillId="0" borderId="0" xfId="75" applyNumberFormat="1"/>
    <xf numFmtId="10" fontId="10" fillId="7" borderId="0" xfId="75" applyNumberFormat="1" applyFill="1"/>
    <xf numFmtId="0" fontId="27" fillId="0" borderId="0" xfId="75" applyFont="1" applyAlignment="1">
      <alignment horizontal="center"/>
    </xf>
    <xf numFmtId="0" fontId="84" fillId="0" borderId="0" xfId="75" applyFont="1" applyAlignment="1">
      <alignment horizontal="center"/>
    </xf>
    <xf numFmtId="0" fontId="84" fillId="0" borderId="0" xfId="75" applyFont="1" applyAlignment="1">
      <alignment horizontal="center" wrapText="1"/>
    </xf>
    <xf numFmtId="0" fontId="170" fillId="0" borderId="0" xfId="75" applyFont="1"/>
    <xf numFmtId="0" fontId="44" fillId="0" borderId="0" xfId="75" applyFont="1"/>
    <xf numFmtId="43" fontId="10" fillId="0" borderId="0" xfId="75" applyNumberFormat="1"/>
    <xf numFmtId="171" fontId="27" fillId="0" borderId="0" xfId="75" applyNumberFormat="1" applyFont="1"/>
    <xf numFmtId="172" fontId="0" fillId="0" borderId="0" xfId="14" applyNumberFormat="1" applyFont="1"/>
    <xf numFmtId="0" fontId="27" fillId="0" borderId="0" xfId="75" applyFont="1"/>
    <xf numFmtId="171" fontId="10" fillId="0" borderId="0" xfId="75" applyNumberFormat="1"/>
    <xf numFmtId="171" fontId="27" fillId="0" borderId="0" xfId="66" applyNumberFormat="1" applyFont="1"/>
    <xf numFmtId="169" fontId="10" fillId="0" borderId="0" xfId="75" applyNumberFormat="1"/>
    <xf numFmtId="0" fontId="27" fillId="0" borderId="0" xfId="75" applyFont="1" applyAlignment="1">
      <alignment horizontal="right"/>
    </xf>
    <xf numFmtId="0" fontId="70" fillId="0" borderId="0" xfId="75" applyFont="1" applyAlignment="1">
      <alignment horizontal="center"/>
    </xf>
    <xf numFmtId="0" fontId="84" fillId="0" borderId="0" xfId="75" quotePrefix="1" applyFont="1" applyAlignment="1">
      <alignment horizontal="center"/>
    </xf>
    <xf numFmtId="44" fontId="10" fillId="7" borderId="17" xfId="75" applyNumberFormat="1" applyFill="1" applyBorder="1"/>
    <xf numFmtId="10" fontId="10" fillId="0" borderId="0" xfId="75" applyNumberFormat="1"/>
    <xf numFmtId="0" fontId="81" fillId="13" borderId="0" xfId="96" applyFont="1" applyFill="1"/>
    <xf numFmtId="0" fontId="81" fillId="13" borderId="0" xfId="96" applyFont="1" applyFill="1" applyAlignment="1">
      <alignment horizontal="center"/>
    </xf>
    <xf numFmtId="0" fontId="81" fillId="13" borderId="0" xfId="96" applyFont="1" applyFill="1" applyAlignment="1">
      <alignment horizontal="center" wrapText="1"/>
    </xf>
    <xf numFmtId="0" fontId="81" fillId="0" borderId="0" xfId="96" applyFont="1" applyAlignment="1">
      <alignment horizontal="right" wrapText="1"/>
    </xf>
    <xf numFmtId="44" fontId="0" fillId="0" borderId="0" xfId="2" applyFont="1"/>
    <xf numFmtId="44" fontId="10" fillId="0" borderId="0" xfId="96" applyNumberFormat="1"/>
    <xf numFmtId="172" fontId="81" fillId="7" borderId="17" xfId="2" applyNumberFormat="1" applyFont="1" applyFill="1" applyBorder="1"/>
    <xf numFmtId="172" fontId="81" fillId="25" borderId="17" xfId="2" applyNumberFormat="1" applyFont="1" applyFill="1" applyBorder="1"/>
    <xf numFmtId="44" fontId="0" fillId="0" borderId="24" xfId="2" applyFont="1" applyBorder="1"/>
    <xf numFmtId="0" fontId="81" fillId="0" borderId="24" xfId="96" applyFont="1" applyBorder="1"/>
    <xf numFmtId="0" fontId="81" fillId="0" borderId="0" xfId="96" applyFont="1" applyAlignment="1">
      <alignment horizontal="right"/>
    </xf>
    <xf numFmtId="44" fontId="81" fillId="7" borderId="23" xfId="2" applyFont="1" applyFill="1" applyBorder="1"/>
    <xf numFmtId="44" fontId="81" fillId="7" borderId="25" xfId="2" applyFont="1" applyFill="1" applyBorder="1"/>
    <xf numFmtId="44" fontId="81" fillId="0" borderId="0" xfId="2" applyFont="1"/>
    <xf numFmtId="0" fontId="81"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1" fillId="25" borderId="17" xfId="96" applyFont="1" applyFill="1" applyBorder="1"/>
    <xf numFmtId="0" fontId="81" fillId="13" borderId="0" xfId="96" applyFont="1" applyFill="1" applyAlignment="1">
      <alignment horizontal="right"/>
    </xf>
    <xf numFmtId="44" fontId="81" fillId="13" borderId="0" xfId="96" applyNumberFormat="1" applyFont="1" applyFill="1"/>
    <xf numFmtId="0" fontId="81" fillId="0" borderId="9" xfId="96" applyFont="1" applyBorder="1" applyAlignment="1">
      <alignment horizontal="center"/>
    </xf>
    <xf numFmtId="0" fontId="81" fillId="0" borderId="11" xfId="96" applyFont="1" applyBorder="1" applyAlignment="1">
      <alignment horizontal="center"/>
    </xf>
    <xf numFmtId="44" fontId="81" fillId="0" borderId="0" xfId="96" applyNumberFormat="1" applyFont="1"/>
    <xf numFmtId="172" fontId="81" fillId="0" borderId="111" xfId="96" applyNumberFormat="1" applyFont="1" applyBorder="1"/>
    <xf numFmtId="172" fontId="107" fillId="5" borderId="132" xfId="96" applyNumberFormat="1" applyFont="1" applyFill="1" applyBorder="1"/>
    <xf numFmtId="172" fontId="81" fillId="7" borderId="52" xfId="96" applyNumberFormat="1" applyFont="1" applyFill="1" applyBorder="1"/>
    <xf numFmtId="172" fontId="81" fillId="0" borderId="7" xfId="96" applyNumberFormat="1" applyFont="1" applyBorder="1"/>
    <xf numFmtId="172" fontId="81" fillId="25" borderId="52" xfId="96" applyNumberFormat="1" applyFont="1" applyFill="1" applyBorder="1"/>
    <xf numFmtId="44" fontId="80" fillId="0" borderId="0" xfId="2" applyFont="1"/>
    <xf numFmtId="0" fontId="10" fillId="0" borderId="6" xfId="96" applyBorder="1"/>
    <xf numFmtId="0" fontId="10" fillId="0" borderId="7" xfId="96" applyBorder="1"/>
    <xf numFmtId="44" fontId="0" fillId="25" borderId="17" xfId="2" applyFont="1" applyFill="1" applyBorder="1"/>
    <xf numFmtId="172" fontId="10" fillId="0" borderId="6" xfId="96" applyNumberFormat="1" applyBorder="1"/>
    <xf numFmtId="172" fontId="10" fillId="0" borderId="7" xfId="96" applyNumberFormat="1" applyBorder="1"/>
    <xf numFmtId="0" fontId="81" fillId="25" borderId="0" xfId="96" applyFont="1" applyFill="1" applyAlignment="1">
      <alignment horizontal="right"/>
    </xf>
    <xf numFmtId="172" fontId="81" fillId="25" borderId="0" xfId="96" applyNumberFormat="1" applyFont="1" applyFill="1"/>
    <xf numFmtId="0" fontId="18" fillId="0" borderId="0" xfId="96" applyFont="1"/>
    <xf numFmtId="43" fontId="0" fillId="0" borderId="0" xfId="21" applyFont="1"/>
    <xf numFmtId="0" fontId="258" fillId="31" borderId="54" xfId="96" applyFont="1" applyFill="1" applyBorder="1"/>
    <xf numFmtId="44" fontId="258" fillId="31" borderId="133" xfId="145" applyFont="1" applyFill="1" applyBorder="1" applyAlignment="1">
      <alignment horizontal="center"/>
    </xf>
    <xf numFmtId="44" fontId="258" fillId="31" borderId="131" xfId="145" applyFont="1" applyFill="1" applyBorder="1" applyAlignment="1">
      <alignment horizontal="center"/>
    </xf>
    <xf numFmtId="44" fontId="139" fillId="31" borderId="134" xfId="145" applyFont="1" applyFill="1" applyBorder="1" applyAlignment="1">
      <alignment horizontal="center" wrapText="1"/>
    </xf>
    <xf numFmtId="0" fontId="139" fillId="31" borderId="8" xfId="96" applyFont="1" applyFill="1" applyBorder="1" applyAlignment="1">
      <alignment wrapText="1"/>
    </xf>
    <xf numFmtId="44" fontId="139" fillId="31" borderId="8" xfId="145" applyFont="1" applyFill="1" applyBorder="1" applyAlignment="1">
      <alignment horizontal="center"/>
    </xf>
    <xf numFmtId="44" fontId="139" fillId="31" borderId="56" xfId="145" applyFont="1" applyFill="1" applyBorder="1"/>
    <xf numFmtId="0" fontId="18" fillId="0" borderId="0" xfId="96" applyFont="1" applyAlignment="1">
      <alignment horizontal="center"/>
    </xf>
    <xf numFmtId="43" fontId="18" fillId="0" borderId="0" xfId="21" applyFont="1" applyFill="1" applyAlignment="1">
      <alignment horizontal="center"/>
    </xf>
    <xf numFmtId="0" fontId="139" fillId="31" borderId="5" xfId="96" applyFont="1" applyFill="1" applyBorder="1" applyAlignment="1">
      <alignment wrapText="1"/>
    </xf>
    <xf numFmtId="44" fontId="139" fillId="31" borderId="39" xfId="145" applyFont="1" applyFill="1" applyBorder="1" applyAlignment="1">
      <alignment horizontal="center"/>
    </xf>
    <xf numFmtId="0" fontId="195" fillId="0" borderId="0" xfId="17" applyFont="1"/>
    <xf numFmtId="0" fontId="195" fillId="0" borderId="0" xfId="17" applyFont="1" applyAlignment="1">
      <alignment horizontal="center"/>
    </xf>
    <xf numFmtId="0" fontId="18" fillId="0" borderId="0" xfId="96" applyFont="1" applyAlignment="1">
      <alignment wrapText="1"/>
    </xf>
    <xf numFmtId="0" fontId="139" fillId="31" borderId="1" xfId="96" applyFont="1" applyFill="1" applyBorder="1" applyAlignment="1">
      <alignment wrapText="1"/>
    </xf>
    <xf numFmtId="44" fontId="139" fillId="31" borderId="5" xfId="145" applyFont="1" applyFill="1" applyBorder="1" applyAlignment="1">
      <alignment horizontal="center"/>
    </xf>
    <xf numFmtId="0" fontId="10" fillId="0" borderId="0" xfId="17" applyAlignment="1">
      <alignment wrapText="1"/>
    </xf>
    <xf numFmtId="0" fontId="10" fillId="0" borderId="0" xfId="17" applyAlignment="1">
      <alignment horizontal="center" wrapText="1"/>
    </xf>
    <xf numFmtId="0" fontId="70" fillId="0" borderId="24" xfId="17" applyFont="1" applyBorder="1" applyAlignment="1">
      <alignment horizontal="center" wrapText="1"/>
    </xf>
    <xf numFmtId="43" fontId="58" fillId="0" borderId="0" xfId="21" applyFont="1" applyBorder="1" applyAlignment="1">
      <alignment horizontal="right"/>
    </xf>
    <xf numFmtId="43" fontId="17" fillId="0" borderId="0" xfId="21" applyFont="1" applyFill="1" applyBorder="1"/>
    <xf numFmtId="44" fontId="139" fillId="31" borderId="1" xfId="145" applyFont="1" applyFill="1" applyBorder="1"/>
    <xf numFmtId="0" fontId="18" fillId="0" borderId="10" xfId="17" applyFont="1" applyBorder="1"/>
    <xf numFmtId="0" fontId="70" fillId="0" borderId="10" xfId="17" applyFont="1" applyBorder="1" applyAlignment="1">
      <alignment horizontal="center" wrapText="1"/>
    </xf>
    <xf numFmtId="0" fontId="18" fillId="0" borderId="10" xfId="17" applyFont="1" applyBorder="1" applyAlignment="1">
      <alignment horizontal="center" wrapText="1"/>
    </xf>
    <xf numFmtId="43" fontId="18" fillId="0" borderId="0" xfId="21" applyFont="1" applyBorder="1" applyAlignment="1">
      <alignment wrapText="1"/>
    </xf>
    <xf numFmtId="0" fontId="258" fillId="31" borderId="135" xfId="96" applyFont="1" applyFill="1" applyBorder="1" applyAlignment="1">
      <alignment wrapText="1"/>
    </xf>
    <xf numFmtId="44" fontId="258" fillId="31" borderId="135" xfId="145" applyFont="1" applyFill="1" applyBorder="1"/>
    <xf numFmtId="0" fontId="10" fillId="0" borderId="0" xfId="17" applyAlignment="1">
      <alignment horizontal="right"/>
    </xf>
    <xf numFmtId="172" fontId="164" fillId="0" borderId="0" xfId="86" applyNumberFormat="1" applyFont="1" applyBorder="1" applyAlignment="1">
      <alignment horizontal="right"/>
    </xf>
    <xf numFmtId="172" fontId="70" fillId="0" borderId="0" xfId="86" applyNumberFormat="1" applyFont="1" applyFill="1"/>
    <xf numFmtId="9" fontId="70" fillId="0" borderId="0" xfId="19" applyFont="1" applyFill="1"/>
    <xf numFmtId="44" fontId="70" fillId="0" borderId="0" xfId="145" applyFont="1" applyAlignment="1">
      <alignment horizontal="center"/>
    </xf>
    <xf numFmtId="44" fontId="18" fillId="0" borderId="0" xfId="145" applyFont="1" applyFill="1" applyAlignment="1">
      <alignment horizontal="center"/>
    </xf>
    <xf numFmtId="172" fontId="58" fillId="0" borderId="0" xfId="86" applyNumberFormat="1" applyFont="1" applyBorder="1" applyAlignment="1">
      <alignment horizontal="left"/>
    </xf>
    <xf numFmtId="0" fontId="258" fillId="0" borderId="0" xfId="96" applyFont="1"/>
    <xf numFmtId="44" fontId="258" fillId="0" borderId="0" xfId="145" applyFont="1" applyFill="1" applyBorder="1" applyAlignment="1"/>
    <xf numFmtId="44" fontId="258" fillId="0" borderId="0" xfId="145" applyFont="1" applyFill="1" applyBorder="1" applyAlignment="1">
      <alignment horizontal="center"/>
    </xf>
    <xf numFmtId="44" fontId="139" fillId="0" borderId="0" xfId="145" applyFont="1" applyFill="1" applyBorder="1" applyAlignment="1"/>
    <xf numFmtId="0" fontId="18" fillId="0" borderId="0" xfId="96" applyFont="1" applyAlignment="1">
      <alignment horizontal="left"/>
    </xf>
    <xf numFmtId="44" fontId="70" fillId="0" borderId="0" xfId="145" applyFont="1" applyFill="1" applyAlignment="1">
      <alignment horizontal="center"/>
    </xf>
    <xf numFmtId="43" fontId="18" fillId="0" borderId="0" xfId="21" applyFont="1" applyBorder="1" applyAlignment="1">
      <alignment horizontal="center"/>
    </xf>
    <xf numFmtId="0" fontId="139" fillId="0" borderId="0" xfId="96" applyFont="1"/>
    <xf numFmtId="44" fontId="139" fillId="0" borderId="0" xfId="145" applyFont="1" applyFill="1" applyBorder="1"/>
    <xf numFmtId="44" fontId="258" fillId="0" borderId="39" xfId="145" applyFont="1" applyFill="1" applyBorder="1" applyAlignment="1">
      <alignment horizontal="center"/>
    </xf>
    <xf numFmtId="44" fontId="139" fillId="0" borderId="0" xfId="145" applyFont="1" applyFill="1" applyBorder="1" applyAlignment="1">
      <alignment horizontal="center"/>
    </xf>
    <xf numFmtId="0" fontId="84" fillId="0" borderId="0" xfId="17" applyFont="1" applyAlignment="1">
      <alignment horizontal="left"/>
    </xf>
    <xf numFmtId="0" fontId="84" fillId="0" borderId="0" xfId="17" applyFont="1" applyAlignment="1">
      <alignment horizontal="right"/>
    </xf>
    <xf numFmtId="0" fontId="18" fillId="0" borderId="0" xfId="17" applyFont="1" applyAlignment="1">
      <alignment horizontal="left"/>
    </xf>
    <xf numFmtId="44" fontId="70" fillId="0" borderId="10" xfId="145" applyFont="1" applyBorder="1" applyAlignment="1">
      <alignment horizontal="center"/>
    </xf>
    <xf numFmtId="44" fontId="18" fillId="0" borderId="10" xfId="145" applyFont="1" applyFill="1" applyBorder="1" applyAlignment="1">
      <alignment horizontal="center"/>
    </xf>
    <xf numFmtId="0" fontId="139" fillId="0" borderId="0" xfId="96" applyFont="1" applyAlignment="1">
      <alignment horizontal="left"/>
    </xf>
    <xf numFmtId="44" fontId="139" fillId="0" borderId="0" xfId="96" applyNumberFormat="1" applyFont="1" applyAlignment="1">
      <alignment horizontal="left"/>
    </xf>
    <xf numFmtId="0" fontId="139" fillId="0" borderId="0" xfId="96" applyFont="1" applyAlignment="1">
      <alignment horizontal="center"/>
    </xf>
    <xf numFmtId="44" fontId="70" fillId="2" borderId="0" xfId="145" applyFont="1" applyFill="1" applyAlignment="1">
      <alignment horizontal="center"/>
    </xf>
    <xf numFmtId="172" fontId="58" fillId="0" borderId="0" xfId="86" applyNumberFormat="1" applyFont="1" applyBorder="1" applyAlignment="1">
      <alignment horizontal="right"/>
    </xf>
    <xf numFmtId="0" fontId="262" fillId="32" borderId="136" xfId="96" applyFont="1" applyFill="1" applyBorder="1"/>
    <xf numFmtId="170" fontId="119" fillId="0" borderId="0" xfId="19" applyNumberFormat="1" applyFont="1" applyFill="1" applyAlignment="1">
      <alignment horizontal="right"/>
    </xf>
    <xf numFmtId="170" fontId="263" fillId="0" borderId="0" xfId="19" applyNumberFormat="1" applyFont="1" applyAlignment="1">
      <alignment horizontal="right"/>
    </xf>
    <xf numFmtId="9" fontId="70" fillId="0" borderId="0" xfId="77" applyFont="1" applyAlignment="1">
      <alignment horizontal="center"/>
    </xf>
    <xf numFmtId="44" fontId="18" fillId="0" borderId="0" xfId="145" applyFont="1" applyAlignment="1">
      <alignment horizontal="center"/>
    </xf>
    <xf numFmtId="0" fontId="258" fillId="0" borderId="121" xfId="96" applyFont="1" applyBorder="1"/>
    <xf numFmtId="44" fontId="258" fillId="0" borderId="137" xfId="145" applyFont="1" applyFill="1" applyBorder="1" applyAlignment="1">
      <alignment horizontal="center"/>
    </xf>
    <xf numFmtId="44" fontId="258" fillId="0" borderId="122" xfId="145" applyFont="1" applyFill="1" applyBorder="1" applyAlignment="1">
      <alignment horizontal="center"/>
    </xf>
    <xf numFmtId="44" fontId="258" fillId="0" borderId="122" xfId="145" applyFont="1" applyFill="1" applyBorder="1" applyAlignment="1">
      <alignment horizontal="center" wrapText="1"/>
    </xf>
    <xf numFmtId="44" fontId="258" fillId="0" borderId="138" xfId="145" applyFont="1" applyFill="1" applyBorder="1" applyAlignment="1">
      <alignment horizontal="center"/>
    </xf>
    <xf numFmtId="44" fontId="139" fillId="0" borderId="139" xfId="145" applyFont="1" applyFill="1" applyBorder="1" applyAlignment="1">
      <alignment horizontal="center" wrapText="1"/>
    </xf>
    <xf numFmtId="172" fontId="70" fillId="2" borderId="39" xfId="86" applyNumberFormat="1" applyFont="1" applyFill="1" applyBorder="1"/>
    <xf numFmtId="172" fontId="10" fillId="0" borderId="0" xfId="86" applyNumberFormat="1" applyFont="1" applyBorder="1"/>
    <xf numFmtId="43" fontId="18" fillId="0" borderId="0" xfId="21" applyFont="1" applyBorder="1" applyAlignment="1">
      <alignment horizontal="left"/>
    </xf>
    <xf numFmtId="0" fontId="139" fillId="0" borderId="126" xfId="96" applyFont="1" applyBorder="1"/>
    <xf numFmtId="44" fontId="139" fillId="0" borderId="14" xfId="145" applyFont="1" applyFill="1" applyBorder="1"/>
    <xf numFmtId="44" fontId="139" fillId="0" borderId="10" xfId="145" applyFont="1" applyFill="1" applyBorder="1"/>
    <xf numFmtId="44" fontId="139" fillId="0" borderId="140" xfId="145" applyFont="1" applyFill="1" applyBorder="1"/>
    <xf numFmtId="0" fontId="139" fillId="0" borderId="126" xfId="96" applyFont="1" applyBorder="1" applyAlignment="1">
      <alignment wrapText="1"/>
    </xf>
    <xf numFmtId="44" fontId="139" fillId="0" borderId="39" xfId="145" applyFont="1" applyFill="1" applyBorder="1"/>
    <xf numFmtId="44" fontId="139" fillId="0" borderId="13" xfId="145" applyFont="1" applyFill="1" applyBorder="1"/>
    <xf numFmtId="44" fontId="139" fillId="0" borderId="39" xfId="145" applyFont="1" applyFill="1" applyBorder="1" applyAlignment="1">
      <alignment horizontal="center"/>
    </xf>
    <xf numFmtId="44" fontId="139" fillId="0" borderId="15" xfId="145" applyFont="1" applyFill="1" applyBorder="1" applyAlignment="1">
      <alignment horizontal="center"/>
    </xf>
    <xf numFmtId="0" fontId="84" fillId="0" borderId="0" xfId="134" applyFont="1" applyAlignment="1">
      <alignment horizontal="left"/>
    </xf>
    <xf numFmtId="9" fontId="18" fillId="0" borderId="0" xfId="77" applyFont="1" applyAlignment="1">
      <alignment horizontal="center"/>
    </xf>
    <xf numFmtId="43" fontId="17" fillId="0" borderId="0" xfId="21" applyFont="1" applyBorder="1"/>
    <xf numFmtId="0" fontId="18" fillId="0" borderId="10" xfId="17" applyFont="1" applyBorder="1" applyAlignment="1">
      <alignment horizontal="left"/>
    </xf>
    <xf numFmtId="9" fontId="18" fillId="0" borderId="10" xfId="77" applyFont="1" applyBorder="1" applyAlignment="1">
      <alignment horizontal="center"/>
    </xf>
    <xf numFmtId="44" fontId="139" fillId="0" borderId="15" xfId="145" applyFont="1" applyFill="1" applyBorder="1"/>
    <xf numFmtId="44" fontId="18" fillId="0" borderId="0" xfId="145" applyFont="1" applyFill="1" applyAlignment="1">
      <alignment horizontal="left"/>
    </xf>
    <xf numFmtId="43" fontId="18" fillId="0" borderId="0" xfId="21" applyFont="1" applyFill="1" applyBorder="1" applyAlignment="1">
      <alignment horizontal="left"/>
    </xf>
    <xf numFmtId="44" fontId="139" fillId="0" borderId="0" xfId="145" applyFont="1" applyFill="1" applyAlignment="1">
      <alignment horizontal="center"/>
    </xf>
    <xf numFmtId="0" fontId="18" fillId="0" borderId="0" xfId="17" applyFont="1" applyAlignment="1">
      <alignment horizontal="left" wrapText="1"/>
    </xf>
    <xf numFmtId="44" fontId="18" fillId="0" borderId="16" xfId="145" applyFont="1" applyFill="1" applyBorder="1" applyAlignment="1">
      <alignment horizontal="left"/>
    </xf>
    <xf numFmtId="44" fontId="139" fillId="0" borderId="13" xfId="145" applyFont="1" applyFill="1" applyBorder="1" applyAlignment="1">
      <alignment horizontal="center"/>
    </xf>
    <xf numFmtId="172" fontId="10" fillId="0" borderId="12" xfId="86" applyNumberFormat="1" applyFont="1" applyBorder="1"/>
    <xf numFmtId="44" fontId="18" fillId="0" borderId="0" xfId="96" applyNumberFormat="1" applyFont="1"/>
    <xf numFmtId="43" fontId="17" fillId="0" borderId="0" xfId="21" applyFont="1" applyAlignment="1">
      <alignment horizontal="left"/>
    </xf>
    <xf numFmtId="44" fontId="18" fillId="2" borderId="12" xfId="96" applyNumberFormat="1" applyFont="1" applyFill="1" applyBorder="1"/>
    <xf numFmtId="44" fontId="18" fillId="0" borderId="12" xfId="96" applyNumberFormat="1" applyFont="1" applyBorder="1"/>
    <xf numFmtId="0" fontId="258" fillId="0" borderId="126" xfId="96" applyFont="1" applyBorder="1" applyAlignment="1">
      <alignment horizontal="right" wrapText="1"/>
    </xf>
    <xf numFmtId="44" fontId="258" fillId="0" borderId="39" xfId="145" applyFont="1" applyFill="1" applyBorder="1"/>
    <xf numFmtId="44" fontId="258" fillId="0" borderId="15" xfId="145" applyFont="1" applyFill="1" applyBorder="1"/>
    <xf numFmtId="44" fontId="258" fillId="0" borderId="140" xfId="145" applyFont="1" applyFill="1" applyBorder="1"/>
    <xf numFmtId="172" fontId="58" fillId="0" borderId="0" xfId="86" applyNumberFormat="1" applyFont="1" applyBorder="1" applyAlignment="1">
      <alignment horizontal="center"/>
    </xf>
    <xf numFmtId="43" fontId="58" fillId="0" borderId="0" xfId="21" applyFont="1" applyFill="1" applyBorder="1" applyAlignment="1">
      <alignment horizontal="right"/>
    </xf>
    <xf numFmtId="43" fontId="58" fillId="0" borderId="0" xfId="21" applyFont="1" applyBorder="1" applyAlignment="1">
      <alignment horizontal="left"/>
    </xf>
    <xf numFmtId="0" fontId="258" fillId="0" borderId="126" xfId="96" applyFont="1" applyBorder="1" applyAlignment="1">
      <alignment wrapText="1"/>
    </xf>
    <xf numFmtId="0" fontId="139" fillId="0" borderId="12" xfId="96" applyFont="1" applyBorder="1" applyAlignment="1">
      <alignment vertical="top" wrapText="1"/>
    </xf>
    <xf numFmtId="0" fontId="262" fillId="33" borderId="136" xfId="96" applyFont="1" applyFill="1" applyBorder="1"/>
    <xf numFmtId="0" fontId="123" fillId="0" borderId="0" xfId="96" applyFont="1"/>
    <xf numFmtId="171" fontId="126" fillId="0" borderId="0" xfId="242" applyNumberFormat="1" applyFont="1" applyBorder="1"/>
    <xf numFmtId="215" fontId="10" fillId="0" borderId="0" xfId="17" applyNumberFormat="1"/>
    <xf numFmtId="0" fontId="126" fillId="0" borderId="0" xfId="96" applyFont="1"/>
    <xf numFmtId="0" fontId="264" fillId="34" borderId="141" xfId="96" applyFont="1" applyFill="1" applyBorder="1"/>
    <xf numFmtId="0" fontId="265" fillId="34" borderId="141" xfId="96" applyFont="1" applyFill="1" applyBorder="1"/>
    <xf numFmtId="0" fontId="265" fillId="34" borderId="142" xfId="96" applyFont="1" applyFill="1" applyBorder="1"/>
    <xf numFmtId="0" fontId="265" fillId="34" borderId="143" xfId="96" applyFont="1" applyFill="1" applyBorder="1"/>
    <xf numFmtId="0" fontId="265" fillId="35" borderId="144" xfId="96" applyFont="1" applyFill="1" applyBorder="1"/>
    <xf numFmtId="0" fontId="56" fillId="14" borderId="145" xfId="96" applyFont="1" applyFill="1" applyBorder="1"/>
    <xf numFmtId="0" fontId="56" fillId="0" borderId="145" xfId="96" applyFont="1" applyBorder="1"/>
    <xf numFmtId="43" fontId="56" fillId="0" borderId="145" xfId="96" applyNumberFormat="1" applyFont="1" applyBorder="1"/>
    <xf numFmtId="0" fontId="265" fillId="35" borderId="146" xfId="96" applyFont="1" applyFill="1" applyBorder="1"/>
    <xf numFmtId="0" fontId="56" fillId="14" borderId="147" xfId="96" applyFont="1" applyFill="1" applyBorder="1"/>
    <xf numFmtId="0" fontId="258" fillId="0" borderId="125" xfId="96" applyFont="1" applyBorder="1" applyAlignment="1">
      <alignment wrapText="1"/>
    </xf>
    <xf numFmtId="44" fontId="258" fillId="0" borderId="1" xfId="145" applyFont="1" applyFill="1" applyBorder="1"/>
    <xf numFmtId="44" fontId="258" fillId="0" borderId="3" xfId="145" applyFont="1" applyFill="1" applyBorder="1"/>
    <xf numFmtId="44" fontId="258" fillId="0" borderId="148" xfId="145" applyFont="1" applyFill="1" applyBorder="1"/>
    <xf numFmtId="0" fontId="139" fillId="0" borderId="0" xfId="96" applyFont="1" applyAlignment="1">
      <alignment vertical="top" wrapText="1"/>
    </xf>
    <xf numFmtId="0" fontId="262" fillId="36" borderId="136" xfId="96" applyFont="1" applyFill="1" applyBorder="1"/>
    <xf numFmtId="0" fontId="265" fillId="35" borderId="149" xfId="96" applyFont="1" applyFill="1" applyBorder="1"/>
    <xf numFmtId="0" fontId="264" fillId="35" borderId="145" xfId="96" applyFont="1" applyFill="1" applyBorder="1"/>
    <xf numFmtId="43" fontId="264" fillId="35" borderId="145" xfId="96" applyNumberFormat="1" applyFont="1" applyFill="1" applyBorder="1"/>
    <xf numFmtId="44" fontId="139" fillId="0" borderId="148" xfId="145" applyFont="1" applyFill="1" applyBorder="1"/>
    <xf numFmtId="0" fontId="258" fillId="0" borderId="39" xfId="96" applyFont="1" applyBorder="1" applyAlignment="1">
      <alignment wrapText="1"/>
    </xf>
    <xf numFmtId="44" fontId="258" fillId="0" borderId="13" xfId="145" applyFont="1" applyFill="1" applyBorder="1"/>
    <xf numFmtId="44" fontId="139" fillId="0" borderId="14" xfId="145" applyFont="1" applyFill="1" applyBorder="1" applyAlignment="1">
      <alignment horizontal="center"/>
    </xf>
    <xf numFmtId="44" fontId="139" fillId="0" borderId="35" xfId="145" applyFont="1" applyFill="1" applyBorder="1"/>
    <xf numFmtId="0" fontId="139" fillId="0" borderId="51" xfId="96" applyFont="1" applyBorder="1" applyAlignment="1">
      <alignment wrapText="1"/>
    </xf>
    <xf numFmtId="0" fontId="262" fillId="37" borderId="27" xfId="96" applyFont="1" applyFill="1" applyBorder="1"/>
    <xf numFmtId="0" fontId="139" fillId="0" borderId="12" xfId="96" applyFont="1" applyBorder="1" applyAlignment="1">
      <alignment wrapText="1"/>
    </xf>
    <xf numFmtId="0" fontId="139" fillId="0" borderId="40" xfId="96" applyFont="1" applyBorder="1" applyAlignment="1">
      <alignment wrapText="1"/>
    </xf>
    <xf numFmtId="0" fontId="139" fillId="0" borderId="40" xfId="96" applyFont="1" applyBorder="1" applyAlignment="1">
      <alignment vertical="top" wrapText="1"/>
    </xf>
    <xf numFmtId="44" fontId="139" fillId="0" borderId="0" xfId="145" applyFont="1" applyFill="1"/>
    <xf numFmtId="0" fontId="142" fillId="0" borderId="150" xfId="96" applyFont="1" applyBorder="1"/>
    <xf numFmtId="43" fontId="142" fillId="0" borderId="150" xfId="96" applyNumberFormat="1" applyFont="1" applyBorder="1"/>
    <xf numFmtId="43" fontId="142" fillId="2" borderId="150" xfId="96" applyNumberFormat="1" applyFont="1" applyFill="1" applyBorder="1"/>
    <xf numFmtId="43" fontId="10" fillId="0" borderId="10" xfId="96" applyNumberFormat="1" applyBorder="1"/>
    <xf numFmtId="43" fontId="10" fillId="2" borderId="0" xfId="96" applyNumberFormat="1" applyFill="1"/>
    <xf numFmtId="0" fontId="10" fillId="2" borderId="0" xfId="96" applyFill="1" applyAlignment="1">
      <alignment horizontal="right"/>
    </xf>
    <xf numFmtId="43" fontId="70" fillId="2" borderId="0" xfId="96" applyNumberFormat="1" applyFont="1" applyFill="1"/>
    <xf numFmtId="0" fontId="70" fillId="0" borderId="0" xfId="96" applyFont="1"/>
    <xf numFmtId="0" fontId="266" fillId="0" borderId="0" xfId="96" applyFont="1" applyAlignment="1">
      <alignment vertical="top"/>
    </xf>
    <xf numFmtId="0" fontId="10" fillId="0" borderId="0" xfId="96" applyAlignment="1">
      <alignment vertical="top"/>
    </xf>
    <xf numFmtId="0" fontId="167" fillId="0" borderId="0" xfId="96" applyFont="1" applyAlignment="1">
      <alignment vertical="top"/>
    </xf>
    <xf numFmtId="0" fontId="267" fillId="0" borderId="0" xfId="96" applyFont="1" applyAlignment="1">
      <alignment vertical="top"/>
    </xf>
    <xf numFmtId="0" fontId="108" fillId="0" borderId="0" xfId="96" applyFont="1" applyAlignment="1">
      <alignment vertical="top" wrapText="1"/>
    </xf>
    <xf numFmtId="0" fontId="10" fillId="0" borderId="0" xfId="96" applyAlignment="1">
      <alignment horizontal="left"/>
    </xf>
    <xf numFmtId="0" fontId="108" fillId="0" borderId="0" xfId="96" applyFont="1" applyAlignment="1">
      <alignment horizontal="left" vertical="top" wrapText="1"/>
    </xf>
    <xf numFmtId="171" fontId="0" fillId="0" borderId="0" xfId="1" applyNumberFormat="1" applyFont="1" applyAlignment="1">
      <alignment vertical="top"/>
    </xf>
    <xf numFmtId="0" fontId="10" fillId="17" borderId="0" xfId="96" applyFill="1" applyAlignment="1">
      <alignment horizontal="center" vertical="top" wrapText="1"/>
    </xf>
    <xf numFmtId="0" fontId="81" fillId="24" borderId="18" xfId="96" applyFont="1" applyFill="1" applyBorder="1"/>
    <xf numFmtId="9" fontId="10" fillId="24" borderId="20" xfId="96" applyNumberFormat="1" applyFill="1" applyBorder="1" applyAlignment="1">
      <alignment horizontal="left" vertical="top" wrapText="1"/>
    </xf>
    <xf numFmtId="0" fontId="81" fillId="4" borderId="18" xfId="96" applyFont="1" applyFill="1" applyBorder="1" applyAlignment="1">
      <alignment vertical="top"/>
    </xf>
    <xf numFmtId="0" fontId="81" fillId="4" borderId="19" xfId="96" applyFont="1" applyFill="1" applyBorder="1" applyAlignment="1">
      <alignment vertical="top"/>
    </xf>
    <xf numFmtId="0" fontId="81" fillId="4" borderId="20" xfId="96" applyFont="1" applyFill="1" applyBorder="1" applyAlignment="1">
      <alignment vertical="top"/>
    </xf>
    <xf numFmtId="0" fontId="81" fillId="6" borderId="34" xfId="96" applyFont="1" applyFill="1" applyBorder="1" applyAlignment="1">
      <alignment vertical="top"/>
    </xf>
    <xf numFmtId="9" fontId="10" fillId="17" borderId="0" xfId="96" applyNumberFormat="1" applyFill="1" applyAlignment="1">
      <alignment horizontal="left" vertical="top" wrapText="1"/>
    </xf>
    <xf numFmtId="0" fontId="270" fillId="39" borderId="0" xfId="96" applyFont="1" applyFill="1" applyAlignment="1">
      <alignment horizontal="center" vertical="top"/>
    </xf>
    <xf numFmtId="0" fontId="81" fillId="24" borderId="23" xfId="96" applyFont="1" applyFill="1" applyBorder="1"/>
    <xf numFmtId="0" fontId="10" fillId="24" borderId="25" xfId="96" applyFill="1" applyBorder="1" applyAlignment="1">
      <alignment horizontal="left" vertical="top" wrapText="1"/>
    </xf>
    <xf numFmtId="0" fontId="268" fillId="38" borderId="18" xfId="96" applyFont="1" applyFill="1" applyBorder="1" applyAlignment="1">
      <alignment vertical="center"/>
    </xf>
    <xf numFmtId="0" fontId="268" fillId="38" borderId="19" xfId="96" applyFont="1" applyFill="1" applyBorder="1" applyAlignment="1">
      <alignment vertical="center"/>
    </xf>
    <xf numFmtId="0" fontId="268" fillId="38" borderId="20" xfId="96" applyFont="1" applyFill="1" applyBorder="1" applyAlignment="1">
      <alignment vertical="center"/>
    </xf>
    <xf numFmtId="0" fontId="268" fillId="13" borderId="21" xfId="96" applyFont="1" applyFill="1" applyBorder="1" applyAlignment="1">
      <alignment vertical="top" wrapText="1"/>
    </xf>
    <xf numFmtId="0" fontId="268" fillId="13" borderId="0" xfId="96" applyFont="1" applyFill="1" applyAlignment="1">
      <alignment vertical="top" wrapText="1"/>
    </xf>
    <xf numFmtId="0" fontId="268" fillId="13" borderId="22" xfId="96" applyFont="1" applyFill="1" applyBorder="1" applyAlignment="1">
      <alignment vertical="top" wrapText="1"/>
    </xf>
    <xf numFmtId="0" fontId="81" fillId="25" borderId="21" xfId="96" applyFont="1" applyFill="1" applyBorder="1" applyAlignment="1">
      <alignment horizontal="center" vertical="top"/>
    </xf>
    <xf numFmtId="0" fontId="81" fillId="25" borderId="6" xfId="96" applyFont="1" applyFill="1" applyBorder="1" applyAlignment="1">
      <alignment horizontal="center" vertical="top"/>
    </xf>
    <xf numFmtId="0" fontId="81" fillId="25" borderId="151" xfId="96" applyFont="1" applyFill="1" applyBorder="1" applyAlignment="1">
      <alignment horizontal="center" vertical="top"/>
    </xf>
    <xf numFmtId="0" fontId="81" fillId="16" borderId="21" xfId="96" applyFont="1" applyFill="1" applyBorder="1" applyAlignment="1">
      <alignment horizontal="center" vertical="top"/>
    </xf>
    <xf numFmtId="0" fontId="81" fillId="16" borderId="151" xfId="96" applyFont="1" applyFill="1" applyBorder="1" applyAlignment="1">
      <alignment horizontal="center" vertical="top"/>
    </xf>
    <xf numFmtId="0" fontId="10" fillId="4" borderId="21" xfId="96" applyFill="1" applyBorder="1" applyAlignment="1">
      <alignment horizontal="center" vertical="top" wrapText="1"/>
    </xf>
    <xf numFmtId="0" fontId="10" fillId="4" borderId="0" xfId="96" applyFill="1" applyAlignment="1">
      <alignment horizontal="center" vertical="top"/>
    </xf>
    <xf numFmtId="0" fontId="10" fillId="4" borderId="22" xfId="96" applyFill="1" applyBorder="1" applyAlignment="1">
      <alignment horizontal="center" vertical="top"/>
    </xf>
    <xf numFmtId="0" fontId="81" fillId="6" borderId="37" xfId="96" applyFont="1" applyFill="1" applyBorder="1" applyAlignment="1">
      <alignment horizontal="center" vertical="top" wrapText="1"/>
    </xf>
    <xf numFmtId="0" fontId="10" fillId="40" borderId="0" xfId="96" applyFill="1" applyAlignment="1">
      <alignment horizontal="center" vertical="top"/>
    </xf>
    <xf numFmtId="0" fontId="167" fillId="40" borderId="6" xfId="96" applyFont="1" applyFill="1" applyBorder="1" applyAlignment="1">
      <alignment horizontal="center" vertical="top"/>
    </xf>
    <xf numFmtId="0" fontId="167" fillId="40" borderId="7" xfId="96" applyFont="1" applyFill="1" applyBorder="1" applyAlignment="1">
      <alignment horizontal="center" vertical="top"/>
    </xf>
    <xf numFmtId="0" fontId="167" fillId="40" borderId="0" xfId="96" applyFont="1" applyFill="1" applyAlignment="1">
      <alignment horizontal="center" vertical="top"/>
    </xf>
    <xf numFmtId="0" fontId="10" fillId="5" borderId="0" xfId="96" applyFill="1" applyAlignment="1">
      <alignment horizontal="center"/>
    </xf>
    <xf numFmtId="0" fontId="268" fillId="38" borderId="26" xfId="96" applyFont="1" applyFill="1" applyBorder="1" applyAlignment="1">
      <alignment horizontal="center" wrapText="1"/>
    </xf>
    <xf numFmtId="0" fontId="268" fillId="38" borderId="28" xfId="96" applyFont="1" applyFill="1" applyBorder="1" applyAlignment="1">
      <alignment horizontal="center" wrapText="1"/>
    </xf>
    <xf numFmtId="0" fontId="268" fillId="38" borderId="23" xfId="96" applyFont="1" applyFill="1" applyBorder="1" applyAlignment="1">
      <alignment horizontal="center"/>
    </xf>
    <xf numFmtId="0" fontId="268" fillId="38" borderId="24" xfId="96" applyFont="1" applyFill="1" applyBorder="1" applyAlignment="1">
      <alignment horizontal="center"/>
    </xf>
    <xf numFmtId="0" fontId="268" fillId="38" borderId="25" xfId="96" applyFont="1" applyFill="1" applyBorder="1" applyAlignment="1">
      <alignment horizontal="center"/>
    </xf>
    <xf numFmtId="0" fontId="10" fillId="13" borderId="23" xfId="96" applyFill="1" applyBorder="1" applyAlignment="1">
      <alignment horizontal="center" vertical="top" wrapText="1"/>
    </xf>
    <xf numFmtId="0" fontId="10" fillId="13" borderId="24" xfId="96" applyFill="1" applyBorder="1" applyAlignment="1">
      <alignment horizontal="center" vertical="top" wrapText="1"/>
    </xf>
    <xf numFmtId="0" fontId="10" fillId="13" borderId="25" xfId="96" applyFill="1" applyBorder="1" applyAlignment="1">
      <alignment horizontal="center" vertical="top" wrapText="1"/>
    </xf>
    <xf numFmtId="0" fontId="10" fillId="25" borderId="23" xfId="96" applyFill="1" applyBorder="1" applyAlignment="1">
      <alignment horizontal="center" vertical="top"/>
    </xf>
    <xf numFmtId="0" fontId="10" fillId="25" borderId="131" xfId="96" applyFill="1" applyBorder="1" applyAlignment="1">
      <alignment horizontal="center" vertical="top"/>
    </xf>
    <xf numFmtId="0" fontId="10" fillId="25" borderId="152" xfId="96" applyFill="1" applyBorder="1" applyAlignment="1">
      <alignment horizontal="center" vertical="top"/>
    </xf>
    <xf numFmtId="0" fontId="10" fillId="16" borderId="23" xfId="96" applyFill="1" applyBorder="1" applyAlignment="1">
      <alignment horizontal="center" vertical="top"/>
    </xf>
    <xf numFmtId="0" fontId="10" fillId="16" borderId="152" xfId="96" applyFill="1" applyBorder="1" applyAlignment="1">
      <alignment horizontal="center" vertical="top"/>
    </xf>
    <xf numFmtId="0" fontId="10" fillId="16" borderId="23" xfId="96" applyFill="1" applyBorder="1" applyAlignment="1">
      <alignment horizontal="center" vertical="top" wrapText="1"/>
    </xf>
    <xf numFmtId="0" fontId="10" fillId="16" borderId="152" xfId="96" applyFill="1" applyBorder="1" applyAlignment="1">
      <alignment horizontal="center" vertical="top" wrapText="1"/>
    </xf>
    <xf numFmtId="0" fontId="81" fillId="4" borderId="23" xfId="96" applyFont="1" applyFill="1" applyBorder="1" applyAlignment="1">
      <alignment horizontal="center" wrapText="1"/>
    </xf>
    <xf numFmtId="0" fontId="10" fillId="4" borderId="24" xfId="96" applyFill="1" applyBorder="1" applyAlignment="1">
      <alignment horizontal="center" wrapText="1"/>
    </xf>
    <xf numFmtId="0" fontId="81" fillId="4" borderId="24" xfId="96" applyFont="1" applyFill="1" applyBorder="1" applyAlignment="1">
      <alignment horizontal="center"/>
    </xf>
    <xf numFmtId="0" fontId="10" fillId="4" borderId="25" xfId="96" applyFill="1" applyBorder="1" applyAlignment="1">
      <alignment horizontal="center" vertical="top"/>
    </xf>
    <xf numFmtId="0" fontId="10" fillId="4" borderId="24" xfId="96" applyFill="1" applyBorder="1" applyAlignment="1">
      <alignment horizontal="center" vertical="top" wrapText="1"/>
    </xf>
    <xf numFmtId="0" fontId="10" fillId="4" borderId="131" xfId="96" applyFill="1" applyBorder="1" applyAlignment="1">
      <alignment horizontal="center" vertical="top" wrapText="1"/>
    </xf>
    <xf numFmtId="0" fontId="10" fillId="4" borderId="152" xfId="96" applyFill="1" applyBorder="1" applyAlignment="1">
      <alignment horizontal="center" vertical="top" wrapText="1"/>
    </xf>
    <xf numFmtId="0" fontId="10" fillId="4" borderId="23" xfId="96" applyFill="1" applyBorder="1" applyAlignment="1">
      <alignment horizontal="center" vertical="top" wrapText="1"/>
    </xf>
    <xf numFmtId="0" fontId="81" fillId="6" borderId="36" xfId="96" applyFont="1" applyFill="1" applyBorder="1" applyAlignment="1">
      <alignment horizontal="center" vertical="top" wrapText="1"/>
    </xf>
    <xf numFmtId="0" fontId="268" fillId="39" borderId="0" xfId="96" applyFont="1" applyFill="1" applyAlignment="1">
      <alignment horizontal="center" vertical="top"/>
    </xf>
    <xf numFmtId="0" fontId="10" fillId="6" borderId="0" xfId="96" applyFill="1" applyAlignment="1">
      <alignment horizontal="center" vertical="top" wrapText="1"/>
    </xf>
    <xf numFmtId="0" fontId="10" fillId="0" borderId="0" xfId="96" applyAlignment="1">
      <alignment horizontal="center" vertical="top"/>
    </xf>
    <xf numFmtId="0" fontId="167" fillId="0" borderId="6" xfId="96" applyFont="1" applyBorder="1" applyAlignment="1">
      <alignment horizontal="center" vertical="top"/>
    </xf>
    <xf numFmtId="0" fontId="167" fillId="0" borderId="7" xfId="96" applyFont="1" applyBorder="1" applyAlignment="1">
      <alignment horizontal="center" vertical="top"/>
    </xf>
    <xf numFmtId="0" fontId="167" fillId="0" borderId="6" xfId="96" applyFont="1" applyBorder="1" applyAlignment="1">
      <alignment horizontal="center" vertical="top" wrapText="1"/>
    </xf>
    <xf numFmtId="0" fontId="167" fillId="0" borderId="0" xfId="96" applyFont="1" applyAlignment="1">
      <alignment horizontal="center" vertical="top" wrapText="1"/>
    </xf>
    <xf numFmtId="0" fontId="10" fillId="5" borderId="0" xfId="96" applyFill="1" applyAlignment="1">
      <alignment vertical="top"/>
    </xf>
    <xf numFmtId="0" fontId="270" fillId="5" borderId="0" xfId="96" applyFont="1" applyFill="1" applyAlignment="1">
      <alignment vertical="top" wrapText="1"/>
    </xf>
    <xf numFmtId="0" fontId="10" fillId="5" borderId="0" xfId="96" applyFill="1" applyAlignment="1">
      <alignment vertical="top" wrapText="1"/>
    </xf>
    <xf numFmtId="171" fontId="10" fillId="0" borderId="0" xfId="96" applyNumberFormat="1" applyAlignment="1">
      <alignment vertical="top"/>
    </xf>
    <xf numFmtId="171" fontId="10"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10" fillId="6" borderId="0" xfId="96" applyFill="1" applyAlignment="1">
      <alignment vertical="top"/>
    </xf>
    <xf numFmtId="171" fontId="0" fillId="0" borderId="0" xfId="1" applyNumberFormat="1" applyFont="1" applyFill="1" applyAlignment="1">
      <alignment vertical="top"/>
    </xf>
    <xf numFmtId="0" fontId="107" fillId="0" borderId="0" xfId="96" applyFont="1" applyAlignment="1">
      <alignment vertical="top" wrapText="1"/>
    </xf>
    <xf numFmtId="0" fontId="10" fillId="0" borderId="0" xfId="96" applyAlignment="1">
      <alignment horizontal="left" vertical="top"/>
    </xf>
    <xf numFmtId="172" fontId="0" fillId="0" borderId="12" xfId="2" applyNumberFormat="1" applyFont="1" applyBorder="1" applyAlignment="1">
      <alignment vertical="top"/>
    </xf>
    <xf numFmtId="0" fontId="167" fillId="0" borderId="6" xfId="96" applyFont="1" applyBorder="1" applyAlignment="1">
      <alignment vertical="top"/>
    </xf>
    <xf numFmtId="0" fontId="167" fillId="0" borderId="7" xfId="96" applyFont="1" applyBorder="1" applyAlignment="1">
      <alignment vertical="top"/>
    </xf>
    <xf numFmtId="0" fontId="10" fillId="0" borderId="10" xfId="96" applyBorder="1" applyAlignment="1">
      <alignment horizontal="center" vertical="top"/>
    </xf>
    <xf numFmtId="0" fontId="10"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10" fillId="6" borderId="0" xfId="96" applyFill="1" applyAlignment="1">
      <alignment vertical="top" wrapText="1"/>
    </xf>
    <xf numFmtId="3" fontId="10" fillId="0" borderId="0" xfId="96" applyNumberFormat="1" applyAlignment="1">
      <alignment vertical="top"/>
    </xf>
    <xf numFmtId="0" fontId="10" fillId="41" borderId="0" xfId="96" applyFill="1" applyAlignment="1">
      <alignment horizontal="right" vertical="top"/>
    </xf>
    <xf numFmtId="172" fontId="0" fillId="41" borderId="15" xfId="2" applyNumberFormat="1" applyFont="1" applyFill="1" applyBorder="1" applyAlignment="1">
      <alignment vertical="top"/>
    </xf>
    <xf numFmtId="172" fontId="167" fillId="2" borderId="13" xfId="2" applyNumberFormat="1" applyFont="1" applyFill="1" applyBorder="1" applyAlignment="1">
      <alignment vertical="top"/>
    </xf>
    <xf numFmtId="172" fontId="167" fillId="2" borderId="14" xfId="2" applyNumberFormat="1" applyFont="1" applyFill="1" applyBorder="1" applyAlignment="1">
      <alignment vertical="top"/>
    </xf>
    <xf numFmtId="172" fontId="167" fillId="2" borderId="15" xfId="2" applyNumberFormat="1" applyFont="1" applyFill="1" applyBorder="1" applyAlignment="1">
      <alignment vertical="top"/>
    </xf>
    <xf numFmtId="171" fontId="10" fillId="13" borderId="0" xfId="96" applyNumberFormat="1" applyFill="1" applyAlignment="1">
      <alignment vertical="top" wrapText="1"/>
    </xf>
    <xf numFmtId="0" fontId="167" fillId="0" borderId="0" xfId="96" applyFont="1" applyAlignment="1">
      <alignment vertical="top" wrapText="1"/>
    </xf>
    <xf numFmtId="43" fontId="0" fillId="0" borderId="0" xfId="1" applyFont="1" applyFill="1" applyAlignment="1">
      <alignment vertical="top"/>
    </xf>
    <xf numFmtId="0" fontId="107" fillId="0" borderId="0" xfId="96" applyFont="1" applyAlignment="1">
      <alignment wrapText="1"/>
    </xf>
    <xf numFmtId="0" fontId="81" fillId="0" borderId="153" xfId="96" applyFont="1" applyBorder="1" applyAlignment="1">
      <alignment horizontal="center" vertical="top" wrapText="1"/>
    </xf>
    <xf numFmtId="0" fontId="81" fillId="0" borderId="3" xfId="96" applyFont="1" applyBorder="1" applyAlignment="1">
      <alignment horizontal="center" vertical="top" wrapText="1"/>
    </xf>
    <xf numFmtId="0" fontId="81" fillId="0" borderId="2" xfId="96" applyFont="1" applyBorder="1" applyAlignment="1">
      <alignment horizontal="center" vertical="top" wrapText="1"/>
    </xf>
    <xf numFmtId="0" fontId="81" fillId="0" borderId="55" xfId="96" applyFont="1" applyBorder="1" applyAlignment="1">
      <alignment horizontal="center" vertical="top" wrapText="1"/>
    </xf>
    <xf numFmtId="0" fontId="81" fillId="0" borderId="21" xfId="96" applyFont="1" applyBorder="1" applyAlignment="1">
      <alignment horizontal="center" vertical="top" wrapText="1"/>
    </xf>
    <xf numFmtId="0" fontId="81" fillId="0" borderId="0" xfId="96" applyFont="1" applyAlignment="1">
      <alignment horizontal="center" vertical="top" wrapText="1"/>
    </xf>
    <xf numFmtId="0" fontId="168" fillId="0" borderId="22" xfId="96" applyFont="1" applyBorder="1" applyAlignment="1">
      <alignment horizontal="center" vertical="top" wrapText="1"/>
    </xf>
    <xf numFmtId="219" fontId="167" fillId="0" borderId="0" xfId="96" applyNumberFormat="1" applyFont="1" applyAlignment="1">
      <alignment vertical="top"/>
    </xf>
    <xf numFmtId="171" fontId="107" fillId="0" borderId="0" xfId="96" applyNumberFormat="1" applyFont="1" applyAlignment="1">
      <alignment vertical="top"/>
    </xf>
    <xf numFmtId="0" fontId="107" fillId="6" borderId="0" xfId="96" applyFont="1" applyFill="1" applyAlignment="1">
      <alignment vertical="top" wrapText="1"/>
    </xf>
    <xf numFmtId="0" fontId="107" fillId="6" borderId="0" xfId="96" applyFont="1" applyFill="1" applyAlignment="1">
      <alignment vertical="top"/>
    </xf>
    <xf numFmtId="171" fontId="107" fillId="0" borderId="0" xfId="1" applyNumberFormat="1" applyFont="1" applyFill="1" applyAlignment="1">
      <alignment vertical="top"/>
    </xf>
    <xf numFmtId="0" fontId="10" fillId="0" borderId="21" xfId="96" applyBorder="1" applyAlignment="1">
      <alignment vertical="top"/>
    </xf>
    <xf numFmtId="0" fontId="10" fillId="0" borderId="6" xfId="96" applyBorder="1" applyAlignment="1">
      <alignment vertical="top"/>
    </xf>
    <xf numFmtId="0" fontId="10" fillId="0" borderId="22" xfId="96" applyBorder="1" applyAlignment="1">
      <alignment vertical="top"/>
    </xf>
    <xf numFmtId="0" fontId="167" fillId="0" borderId="22" xfId="96" applyFont="1" applyBorder="1" applyAlignment="1">
      <alignment vertical="top"/>
    </xf>
    <xf numFmtId="215" fontId="167" fillId="0" borderId="0" xfId="96" applyNumberFormat="1" applyFont="1" applyAlignment="1">
      <alignment vertical="top"/>
    </xf>
    <xf numFmtId="172" fontId="3" fillId="41" borderId="102" xfId="2" applyNumberFormat="1" applyFont="1" applyFill="1" applyBorder="1" applyAlignment="1">
      <alignment vertical="top"/>
    </xf>
    <xf numFmtId="172" fontId="3" fillId="20" borderId="51" xfId="2" applyNumberFormat="1" applyFont="1" applyFill="1" applyBorder="1" applyAlignment="1">
      <alignment vertical="top"/>
    </xf>
    <xf numFmtId="172" fontId="3" fillId="41" borderId="154" xfId="2" applyNumberFormat="1" applyFont="1" applyFill="1" applyBorder="1" applyAlignment="1">
      <alignment vertical="top"/>
    </xf>
    <xf numFmtId="172" fontId="3" fillId="20" borderId="103" xfId="2" applyNumberFormat="1" applyFont="1" applyFill="1" applyBorder="1" applyAlignment="1">
      <alignment vertical="top"/>
    </xf>
    <xf numFmtId="172" fontId="3" fillId="5" borderId="102" xfId="2" applyNumberFormat="1" applyFont="1" applyFill="1" applyBorder="1" applyAlignment="1">
      <alignment vertical="top"/>
    </xf>
    <xf numFmtId="172" fontId="3" fillId="5" borderId="51" xfId="2" applyNumberFormat="1" applyFont="1" applyFill="1" applyBorder="1" applyAlignment="1">
      <alignment vertical="top"/>
    </xf>
    <xf numFmtId="172" fontId="3" fillId="5" borderId="154" xfId="2" applyNumberFormat="1" applyFont="1" applyFill="1" applyBorder="1" applyAlignment="1">
      <alignment vertical="top"/>
    </xf>
    <xf numFmtId="172" fontId="167" fillId="5" borderId="103" xfId="2" applyNumberFormat="1" applyFont="1" applyFill="1" applyBorder="1" applyAlignment="1">
      <alignment vertical="top"/>
    </xf>
    <xf numFmtId="0" fontId="10" fillId="41" borderId="0" xfId="96" applyFill="1" applyAlignment="1">
      <alignment horizontal="center" vertical="top" wrapText="1"/>
    </xf>
    <xf numFmtId="0" fontId="10" fillId="20" borderId="0" xfId="96" applyFill="1" applyAlignment="1">
      <alignment horizontal="center" vertical="top" wrapText="1"/>
    </xf>
    <xf numFmtId="0" fontId="10" fillId="5" borderId="0" xfId="96" applyFill="1" applyAlignment="1">
      <alignment horizontal="center" vertical="top" wrapText="1"/>
    </xf>
    <xf numFmtId="172" fontId="80" fillId="0" borderId="0" xfId="2" applyNumberFormat="1" applyFont="1" applyAlignment="1">
      <alignment vertical="top"/>
    </xf>
    <xf numFmtId="171" fontId="80" fillId="0" borderId="0" xfId="1" applyNumberFormat="1" applyFont="1" applyAlignment="1">
      <alignment vertical="top"/>
    </xf>
    <xf numFmtId="171" fontId="232" fillId="0" borderId="0" xfId="1" applyNumberFormat="1" applyFont="1" applyAlignment="1">
      <alignment vertical="top"/>
    </xf>
    <xf numFmtId="0" fontId="81" fillId="41" borderId="139" xfId="96" applyFont="1" applyFill="1" applyBorder="1" applyAlignment="1">
      <alignment horizontal="center" vertical="top"/>
    </xf>
    <xf numFmtId="0" fontId="81" fillId="20" borderId="139" xfId="96" applyFont="1" applyFill="1" applyBorder="1" applyAlignment="1">
      <alignment horizontal="center" vertical="top"/>
    </xf>
    <xf numFmtId="172" fontId="81" fillId="41" borderId="36" xfId="96" applyNumberFormat="1" applyFont="1" applyFill="1" applyBorder="1" applyAlignment="1">
      <alignment vertical="top"/>
    </xf>
    <xf numFmtId="172" fontId="81" fillId="20" borderId="36" xfId="96" applyNumberFormat="1" applyFont="1" applyFill="1" applyBorder="1" applyAlignment="1">
      <alignment vertical="top"/>
    </xf>
    <xf numFmtId="0" fontId="187" fillId="0" borderId="0" xfId="96" applyFont="1" applyAlignment="1">
      <alignment vertical="top"/>
    </xf>
    <xf numFmtId="0" fontId="187" fillId="0" borderId="0" xfId="96" applyFont="1" applyAlignment="1">
      <alignment horizontal="right" vertical="top"/>
    </xf>
    <xf numFmtId="172" fontId="10" fillId="0" borderId="0" xfId="96" applyNumberFormat="1" applyAlignment="1">
      <alignment vertical="top"/>
    </xf>
    <xf numFmtId="0" fontId="81" fillId="0" borderId="0" xfId="96" applyFont="1" applyAlignment="1">
      <alignment horizontal="center" vertical="top"/>
    </xf>
    <xf numFmtId="0" fontId="81" fillId="5" borderId="128" xfId="96" applyFont="1" applyFill="1" applyBorder="1" applyAlignment="1">
      <alignment horizontal="center" vertical="top"/>
    </xf>
    <xf numFmtId="0" fontId="81" fillId="5" borderId="155" xfId="96" applyFont="1" applyFill="1" applyBorder="1" applyAlignment="1">
      <alignment horizontal="center" vertical="top"/>
    </xf>
    <xf numFmtId="0" fontId="271" fillId="0" borderId="0" xfId="96" applyFont="1" applyAlignment="1">
      <alignment vertical="top"/>
    </xf>
    <xf numFmtId="172" fontId="10" fillId="0" borderId="21" xfId="96" applyNumberFormat="1" applyBorder="1" applyAlignment="1">
      <alignment vertical="top"/>
    </xf>
    <xf numFmtId="172" fontId="10" fillId="0" borderId="22" xfId="96" applyNumberFormat="1" applyBorder="1" applyAlignment="1">
      <alignment vertical="top"/>
    </xf>
    <xf numFmtId="0" fontId="10" fillId="0" borderId="21" xfId="96" applyBorder="1" applyAlignment="1">
      <alignment horizontal="center" vertical="top"/>
    </xf>
    <xf numFmtId="0" fontId="10" fillId="0" borderId="22" xfId="96" applyBorder="1" applyAlignment="1">
      <alignment horizontal="center" vertical="top"/>
    </xf>
    <xf numFmtId="0" fontId="10" fillId="0" borderId="23" xfId="96" applyBorder="1" applyAlignment="1">
      <alignment horizontal="center" vertical="top"/>
    </xf>
    <xf numFmtId="0" fontId="10" fillId="0" borderId="25" xfId="96" applyBorder="1" applyAlignment="1">
      <alignment horizontal="center" vertical="top"/>
    </xf>
    <xf numFmtId="0" fontId="143" fillId="0" borderId="0" xfId="96" applyFont="1" applyAlignment="1">
      <alignment vertical="top" wrapText="1"/>
    </xf>
    <xf numFmtId="0" fontId="10" fillId="9" borderId="0" xfId="96" applyFill="1" applyAlignment="1">
      <alignment vertical="top"/>
    </xf>
    <xf numFmtId="0" fontId="10" fillId="4" borderId="0" xfId="16" applyFont="1" applyFill="1" applyAlignment="1">
      <alignment horizontal="left" indent="1"/>
    </xf>
    <xf numFmtId="0" fontId="107" fillId="4" borderId="0" xfId="16" applyFont="1" applyFill="1"/>
    <xf numFmtId="0" fontId="107" fillId="4" borderId="22" xfId="16" applyFont="1" applyFill="1" applyBorder="1"/>
    <xf numFmtId="171" fontId="10"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10" fillId="4" borderId="24" xfId="16" applyFont="1" applyFill="1" applyBorder="1" applyAlignment="1">
      <alignment horizontal="left" indent="1"/>
    </xf>
    <xf numFmtId="44" fontId="269" fillId="4" borderId="0" xfId="2" applyFont="1" applyFill="1" applyBorder="1"/>
    <xf numFmtId="220" fontId="269" fillId="4" borderId="0" xfId="2" applyNumberFormat="1" applyFont="1" applyFill="1" applyBorder="1"/>
    <xf numFmtId="220" fontId="269" fillId="4" borderId="0" xfId="2" applyNumberFormat="1" applyFont="1" applyFill="1" applyBorder="1" applyAlignment="1">
      <alignment horizontal="center"/>
    </xf>
    <xf numFmtId="0" fontId="81" fillId="0" borderId="0" xfId="96" applyFont="1" applyAlignment="1">
      <alignment vertical="top" wrapText="1"/>
    </xf>
    <xf numFmtId="171" fontId="81" fillId="0" borderId="0" xfId="96" applyNumberFormat="1" applyFont="1" applyAlignment="1">
      <alignment vertical="top"/>
    </xf>
    <xf numFmtId="171" fontId="81" fillId="13" borderId="0" xfId="96" applyNumberFormat="1" applyFont="1" applyFill="1" applyAlignment="1">
      <alignment vertical="top"/>
    </xf>
    <xf numFmtId="3" fontId="81" fillId="25" borderId="0" xfId="96" applyNumberFormat="1" applyFont="1" applyFill="1" applyAlignment="1">
      <alignment vertical="top"/>
    </xf>
    <xf numFmtId="3" fontId="81" fillId="16" borderId="0" xfId="96" applyNumberFormat="1" applyFont="1" applyFill="1" applyAlignment="1">
      <alignment vertical="top"/>
    </xf>
    <xf numFmtId="0" fontId="81" fillId="0" borderId="0" xfId="96" applyFont="1" applyAlignment="1">
      <alignment vertical="top"/>
    </xf>
    <xf numFmtId="171" fontId="81" fillId="7" borderId="3" xfId="96" applyNumberFormat="1" applyFont="1" applyFill="1" applyBorder="1" applyAlignment="1">
      <alignment vertical="top"/>
    </xf>
    <xf numFmtId="171" fontId="81" fillId="20" borderId="3" xfId="96" applyNumberFormat="1" applyFont="1" applyFill="1" applyBorder="1" applyAlignment="1">
      <alignment vertical="top"/>
    </xf>
    <xf numFmtId="171" fontId="81" fillId="5" borderId="0" xfId="96" applyNumberFormat="1" applyFont="1" applyFill="1" applyAlignment="1">
      <alignment vertical="top"/>
    </xf>
    <xf numFmtId="0" fontId="10" fillId="7" borderId="0" xfId="96" applyFill="1" applyAlignment="1">
      <alignment horizontal="center" vertical="top" wrapText="1"/>
    </xf>
    <xf numFmtId="0" fontId="183" fillId="0" borderId="0" xfId="96" applyFont="1"/>
    <xf numFmtId="0" fontId="10" fillId="4" borderId="13" xfId="96" applyFill="1" applyBorder="1" applyAlignment="1">
      <alignment horizontal="center"/>
    </xf>
    <xf numFmtId="0" fontId="10" fillId="4" borderId="15" xfId="96" applyFill="1" applyBorder="1" applyAlignment="1">
      <alignment horizontal="center"/>
    </xf>
    <xf numFmtId="0" fontId="10" fillId="4" borderId="14" xfId="96" applyFill="1" applyBorder="1" applyAlignment="1">
      <alignment horizontal="center"/>
    </xf>
    <xf numFmtId="0" fontId="81" fillId="7" borderId="139" xfId="96" applyFont="1" applyFill="1" applyBorder="1" applyAlignment="1">
      <alignment horizontal="center" vertical="top"/>
    </xf>
    <xf numFmtId="0" fontId="10" fillId="0" borderId="7" xfId="96" applyBorder="1" applyAlignment="1">
      <alignment vertical="top"/>
    </xf>
    <xf numFmtId="0" fontId="81" fillId="7" borderId="37" xfId="96" applyFont="1" applyFill="1" applyBorder="1" applyAlignment="1">
      <alignment horizontal="center" vertical="top"/>
    </xf>
    <xf numFmtId="0" fontId="81" fillId="20" borderId="37" xfId="96" applyFont="1" applyFill="1" applyBorder="1" applyAlignment="1">
      <alignment horizontal="center" vertical="top"/>
    </xf>
    <xf numFmtId="0" fontId="10" fillId="0" borderId="7" xfId="96" applyBorder="1" applyAlignment="1">
      <alignment vertical="top" wrapText="1"/>
    </xf>
    <xf numFmtId="172" fontId="81"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10" fillId="0" borderId="0" xfId="96" applyNumberFormat="1" applyAlignment="1">
      <alignment vertical="top"/>
    </xf>
    <xf numFmtId="215" fontId="10" fillId="0" borderId="0" xfId="96" applyNumberFormat="1" applyAlignment="1">
      <alignment vertical="top"/>
    </xf>
    <xf numFmtId="178" fontId="10" fillId="0" borderId="7" xfId="96" applyNumberFormat="1" applyBorder="1" applyAlignment="1">
      <alignment vertical="top" wrapText="1"/>
    </xf>
    <xf numFmtId="215" fontId="0" fillId="0" borderId="7" xfId="7" applyNumberFormat="1" applyFont="1" applyBorder="1"/>
    <xf numFmtId="0" fontId="272" fillId="0" borderId="0" xfId="96" applyFont="1" applyAlignment="1">
      <alignment vertical="top"/>
    </xf>
    <xf numFmtId="0" fontId="108" fillId="0" borderId="0" xfId="96" applyFont="1" applyAlignment="1">
      <alignment horizontal="right" vertical="top" wrapText="1"/>
    </xf>
    <xf numFmtId="3" fontId="10"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7" fillId="0" borderId="0" xfId="96" applyFont="1" applyAlignment="1">
      <alignment horizontal="center" vertical="top"/>
    </xf>
    <xf numFmtId="0" fontId="10"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10" fillId="0" borderId="0" xfId="96" applyAlignment="1">
      <alignment horizontal="right" vertical="top" wrapText="1"/>
    </xf>
    <xf numFmtId="0" fontId="10" fillId="0" borderId="9" xfId="96" applyBorder="1" applyAlignment="1">
      <alignment vertical="top"/>
    </xf>
    <xf numFmtId="0" fontId="10" fillId="0" borderId="10" xfId="96" applyBorder="1" applyAlignment="1">
      <alignment vertical="top"/>
    </xf>
    <xf numFmtId="0" fontId="10" fillId="0" borderId="11" xfId="96" applyBorder="1" applyAlignment="1">
      <alignment vertical="top"/>
    </xf>
    <xf numFmtId="0" fontId="273" fillId="0" borderId="0" xfId="96" applyFont="1" applyAlignment="1">
      <alignment vertical="top"/>
    </xf>
    <xf numFmtId="171" fontId="273" fillId="0" borderId="0" xfId="96" applyNumberFormat="1" applyFont="1" applyAlignment="1">
      <alignment vertical="top"/>
    </xf>
    <xf numFmtId="172" fontId="10" fillId="0" borderId="10" xfId="96" applyNumberFormat="1" applyBorder="1" applyAlignment="1">
      <alignment vertical="top"/>
    </xf>
    <xf numFmtId="3" fontId="273" fillId="0" borderId="0" xfId="96" quotePrefix="1" applyNumberFormat="1" applyFont="1" applyAlignment="1">
      <alignment horizontal="center" vertical="top"/>
    </xf>
    <xf numFmtId="172" fontId="273" fillId="0" borderId="0" xfId="2" quotePrefix="1" applyNumberFormat="1" applyFont="1" applyFill="1" applyBorder="1" applyAlignment="1">
      <alignment horizontal="center" vertical="top"/>
    </xf>
    <xf numFmtId="0" fontId="273" fillId="0" borderId="0" xfId="96" applyFont="1" applyAlignment="1">
      <alignment horizontal="right" vertical="top"/>
    </xf>
    <xf numFmtId="172" fontId="273" fillId="0" borderId="0" xfId="2" applyNumberFormat="1" applyFont="1" applyFill="1" applyBorder="1" applyAlignment="1">
      <alignment horizontal="center" vertical="top"/>
    </xf>
    <xf numFmtId="172" fontId="274" fillId="0" borderId="0" xfId="96" applyNumberFormat="1" applyFont="1" applyAlignment="1">
      <alignment vertical="top"/>
    </xf>
    <xf numFmtId="172" fontId="273" fillId="0" borderId="0" xfId="96" applyNumberFormat="1" applyFont="1" applyAlignment="1">
      <alignment vertical="top"/>
    </xf>
    <xf numFmtId="43" fontId="10"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80" fillId="4" borderId="119" xfId="227" applyFont="1" applyFill="1"/>
    <xf numFmtId="0" fontId="107" fillId="4" borderId="0" xfId="0" applyFont="1" applyFill="1"/>
    <xf numFmtId="0" fontId="107" fillId="4" borderId="25" xfId="0" applyFont="1" applyFill="1" applyBorder="1"/>
    <xf numFmtId="0" fontId="107" fillId="4" borderId="24" xfId="0" applyFont="1" applyFill="1" applyBorder="1"/>
    <xf numFmtId="0" fontId="107" fillId="4" borderId="23" xfId="0" applyFont="1" applyFill="1" applyBorder="1"/>
    <xf numFmtId="0" fontId="107" fillId="4" borderId="22" xfId="0" applyFont="1" applyFill="1" applyBorder="1"/>
    <xf numFmtId="0" fontId="107" fillId="4" borderId="21" xfId="0" applyFont="1" applyFill="1" applyBorder="1"/>
    <xf numFmtId="172" fontId="107" fillId="4" borderId="0" xfId="0" applyNumberFormat="1" applyFont="1" applyFill="1"/>
    <xf numFmtId="172" fontId="80" fillId="4" borderId="0" xfId="0" applyNumberFormat="1" applyFont="1" applyFill="1"/>
    <xf numFmtId="172" fontId="107" fillId="4" borderId="0" xfId="2" applyNumberFormat="1" applyFont="1" applyFill="1" applyBorder="1"/>
    <xf numFmtId="172" fontId="107" fillId="4" borderId="10" xfId="0" applyNumberFormat="1" applyFont="1" applyFill="1" applyBorder="1" applyAlignment="1">
      <alignment horizontal="center" wrapText="1"/>
    </xf>
    <xf numFmtId="0" fontId="107" fillId="4" borderId="10" xfId="0" applyFont="1" applyFill="1" applyBorder="1"/>
    <xf numFmtId="0" fontId="180" fillId="4" borderId="0" xfId="0" applyFont="1" applyFill="1"/>
    <xf numFmtId="0" fontId="107" fillId="4" borderId="10" xfId="0" applyFont="1" applyFill="1" applyBorder="1" applyAlignment="1">
      <alignment horizontal="center" wrapText="1"/>
    </xf>
    <xf numFmtId="171" fontId="180" fillId="4" borderId="156" xfId="227" applyNumberFormat="1" applyFont="1" applyFill="1" applyBorder="1"/>
    <xf numFmtId="171" fontId="180" fillId="4" borderId="119" xfId="227" applyNumberFormat="1" applyFont="1" applyFill="1"/>
    <xf numFmtId="171" fontId="107" fillId="4" borderId="22" xfId="0" applyNumberFormat="1" applyFont="1" applyFill="1" applyBorder="1"/>
    <xf numFmtId="171" fontId="107" fillId="4" borderId="0" xfId="0" applyNumberFormat="1" applyFont="1" applyFill="1"/>
    <xf numFmtId="171" fontId="180" fillId="4" borderId="155" xfId="0" applyNumberFormat="1" applyFont="1" applyFill="1" applyBorder="1"/>
    <xf numFmtId="171" fontId="180" fillId="4" borderId="15" xfId="0" applyNumberFormat="1" applyFont="1" applyFill="1" applyBorder="1"/>
    <xf numFmtId="0" fontId="180" fillId="4" borderId="15" xfId="0" applyFont="1" applyFill="1" applyBorder="1"/>
    <xf numFmtId="171" fontId="107" fillId="4" borderId="22" xfId="233" applyNumberFormat="1" applyFont="1" applyFill="1" applyBorder="1"/>
    <xf numFmtId="171" fontId="107" fillId="4" borderId="0" xfId="233" applyNumberFormat="1" applyFont="1" applyFill="1" applyBorder="1"/>
    <xf numFmtId="14" fontId="107" fillId="4" borderId="22" xfId="0" applyNumberFormat="1" applyFont="1" applyFill="1" applyBorder="1"/>
    <xf numFmtId="14" fontId="107" fillId="4" borderId="0" xfId="0" applyNumberFormat="1" applyFont="1" applyFill="1"/>
    <xf numFmtId="0" fontId="180" fillId="4" borderId="21" xfId="0" applyFont="1" applyFill="1" applyBorder="1"/>
    <xf numFmtId="0" fontId="137" fillId="4" borderId="0" xfId="0" applyFont="1" applyFill="1"/>
    <xf numFmtId="9" fontId="107" fillId="4" borderId="22" xfId="231" applyFont="1" applyFill="1" applyBorder="1"/>
    <xf numFmtId="9" fontId="107" fillId="4" borderId="0" xfId="231" applyFont="1" applyFill="1" applyBorder="1"/>
    <xf numFmtId="43" fontId="107" fillId="4" borderId="0" xfId="233" applyFont="1" applyFill="1" applyBorder="1"/>
    <xf numFmtId="9" fontId="107" fillId="4" borderId="20" xfId="231" applyFont="1" applyFill="1" applyBorder="1"/>
    <xf numFmtId="9" fontId="107" fillId="4" borderId="19" xfId="231" applyFont="1" applyFill="1" applyBorder="1"/>
    <xf numFmtId="0" fontId="107" fillId="4" borderId="19" xfId="0" applyFont="1" applyFill="1" applyBorder="1"/>
    <xf numFmtId="0" fontId="180" fillId="4" borderId="19" xfId="0" applyFont="1" applyFill="1" applyBorder="1"/>
    <xf numFmtId="0" fontId="180" fillId="4" borderId="18" xfId="0" applyFont="1" applyFill="1" applyBorder="1" applyAlignment="1">
      <alignment horizontal="center"/>
    </xf>
    <xf numFmtId="9" fontId="107" fillId="4" borderId="25" xfId="231" applyFont="1" applyFill="1" applyBorder="1"/>
    <xf numFmtId="9" fontId="107" fillId="4" borderId="24" xfId="231" applyFont="1" applyFill="1" applyBorder="1"/>
    <xf numFmtId="9" fontId="269" fillId="4" borderId="22" xfId="231" applyFont="1" applyFill="1" applyBorder="1"/>
    <xf numFmtId="9" fontId="269" fillId="4" borderId="0" xfId="231" applyFont="1" applyFill="1" applyBorder="1"/>
    <xf numFmtId="0" fontId="107" fillId="4" borderId="20" xfId="0" applyFont="1" applyFill="1" applyBorder="1"/>
    <xf numFmtId="0" fontId="137" fillId="4" borderId="19" xfId="0" applyFont="1" applyFill="1" applyBorder="1"/>
    <xf numFmtId="43" fontId="107" fillId="4" borderId="25" xfId="233" applyFont="1" applyFill="1" applyBorder="1"/>
    <xf numFmtId="43" fontId="107" fillId="4" borderId="24" xfId="233" applyFont="1" applyFill="1" applyBorder="1"/>
    <xf numFmtId="43" fontId="107" fillId="4" borderId="22" xfId="233" applyFont="1" applyFill="1" applyBorder="1"/>
    <xf numFmtId="171" fontId="269" fillId="4" borderId="0" xfId="233" applyNumberFormat="1" applyFont="1" applyFill="1" applyBorder="1"/>
    <xf numFmtId="171" fontId="107" fillId="4" borderId="25" xfId="233" applyNumberFormat="1" applyFont="1" applyFill="1" applyBorder="1"/>
    <xf numFmtId="171" fontId="107" fillId="4" borderId="24" xfId="233" applyNumberFormat="1" applyFont="1" applyFill="1" applyBorder="1"/>
    <xf numFmtId="3" fontId="107" fillId="4" borderId="0" xfId="0" applyNumberFormat="1" applyFont="1" applyFill="1"/>
    <xf numFmtId="171" fontId="81" fillId="4" borderId="119" xfId="227" applyNumberFormat="1" applyFill="1"/>
    <xf numFmtId="0" fontId="81" fillId="4" borderId="119" xfId="227" applyFill="1"/>
    <xf numFmtId="0" fontId="107" fillId="4" borderId="10" xfId="0" applyFont="1" applyFill="1" applyBorder="1" applyAlignment="1">
      <alignment horizontal="center"/>
    </xf>
    <xf numFmtId="0" fontId="180" fillId="4" borderId="21" xfId="0" applyFont="1" applyFill="1" applyBorder="1" applyAlignment="1">
      <alignment horizontal="center"/>
    </xf>
    <xf numFmtId="14" fontId="180" fillId="4" borderId="19" xfId="0" applyNumberFormat="1" applyFont="1" applyFill="1" applyBorder="1"/>
    <xf numFmtId="0" fontId="107" fillId="4" borderId="18" xfId="0" applyFont="1" applyFill="1" applyBorder="1"/>
    <xf numFmtId="0" fontId="236" fillId="4" borderId="0" xfId="0" applyFont="1" applyFill="1"/>
    <xf numFmtId="0" fontId="81" fillId="0" borderId="0" xfId="0" applyFont="1" applyAlignment="1">
      <alignment horizontal="center"/>
    </xf>
    <xf numFmtId="0" fontId="39" fillId="0" borderId="0" xfId="0" applyFont="1" applyAlignment="1">
      <alignment horizontal="center"/>
    </xf>
    <xf numFmtId="37" fontId="87" fillId="0" borderId="41" xfId="0" applyNumberFormat="1" applyFont="1" applyBorder="1"/>
    <xf numFmtId="0" fontId="275" fillId="0" borderId="0" xfId="0" applyFont="1"/>
    <xf numFmtId="37" fontId="275" fillId="0" borderId="0" xfId="0" applyNumberFormat="1" applyFont="1"/>
    <xf numFmtId="0" fontId="0" fillId="7" borderId="0" xfId="0" applyFill="1"/>
    <xf numFmtId="171" fontId="89" fillId="7" borderId="0" xfId="30" applyNumberFormat="1" applyFont="1" applyFill="1"/>
    <xf numFmtId="0" fontId="0" fillId="7" borderId="0" xfId="0" applyFill="1" applyAlignment="1">
      <alignment horizontal="center"/>
    </xf>
    <xf numFmtId="37" fontId="0" fillId="7" borderId="0" xfId="0" applyNumberFormat="1" applyFill="1"/>
    <xf numFmtId="0" fontId="0" fillId="7" borderId="0" xfId="0" applyFill="1" applyAlignment="1">
      <alignment wrapText="1"/>
    </xf>
    <xf numFmtId="0" fontId="236" fillId="0" borderId="0" xfId="0" applyFont="1"/>
    <xf numFmtId="0" fontId="30" fillId="0" borderId="0" xfId="0" applyFont="1" applyAlignment="1">
      <alignment horizontal="right"/>
    </xf>
    <xf numFmtId="171" fontId="4" fillId="7" borderId="0" xfId="92" applyNumberFormat="1" applyFont="1" applyFill="1"/>
    <xf numFmtId="171" fontId="107" fillId="7" borderId="0" xfId="21" applyNumberFormat="1" applyFont="1" applyFill="1" applyBorder="1"/>
    <xf numFmtId="0" fontId="2" fillId="0" borderId="0" xfId="0" applyFont="1"/>
    <xf numFmtId="171" fontId="2" fillId="0" borderId="0" xfId="16" applyNumberFormat="1" applyFont="1"/>
    <xf numFmtId="10" fontId="23" fillId="7" borderId="10" xfId="131" applyNumberFormat="1" applyFont="1" applyFill="1" applyBorder="1"/>
    <xf numFmtId="0" fontId="17" fillId="7" borderId="0" xfId="237" applyFont="1" applyFill="1"/>
    <xf numFmtId="10" fontId="23" fillId="0" borderId="0" xfId="131" applyNumberFormat="1" applyFont="1" applyFill="1" applyBorder="1"/>
    <xf numFmtId="10" fontId="17" fillId="5" borderId="16" xfId="131" applyNumberFormat="1" applyFont="1" applyFill="1" applyBorder="1"/>
    <xf numFmtId="0" fontId="124" fillId="7" borderId="0" xfId="0" applyFont="1" applyFill="1"/>
    <xf numFmtId="172" fontId="0" fillId="7" borderId="0" xfId="0" applyNumberFormat="1" applyFill="1"/>
    <xf numFmtId="172" fontId="0" fillId="0" borderId="0" xfId="64" applyNumberFormat="1" applyFont="1" applyFill="1" applyBorder="1"/>
    <xf numFmtId="167" fontId="107" fillId="7" borderId="0" xfId="71" applyNumberFormat="1" applyFont="1" applyFill="1" applyBorder="1"/>
    <xf numFmtId="37" fontId="107" fillId="7" borderId="0" xfId="238" applyNumberFormat="1" applyFont="1" applyFill="1"/>
    <xf numFmtId="37" fontId="180" fillId="0" borderId="0" xfId="0" applyNumberFormat="1" applyFont="1" applyBorder="1"/>
    <xf numFmtId="37" fontId="180" fillId="0" borderId="0" xfId="0" applyNumberFormat="1" applyFont="1" applyBorder="1" applyAlignment="1">
      <alignment horizontal="center" vertical="center"/>
    </xf>
    <xf numFmtId="0" fontId="180" fillId="0" borderId="0" xfId="238" applyFont="1" applyBorder="1"/>
    <xf numFmtId="37" fontId="180" fillId="0" borderId="0" xfId="0" applyNumberFormat="1" applyFont="1" applyBorder="1" applyAlignment="1">
      <alignment horizontal="center" vertical="center" wrapText="1"/>
    </xf>
    <xf numFmtId="9" fontId="107" fillId="0" borderId="0" xfId="71" applyFont="1" applyFill="1" applyBorder="1"/>
    <xf numFmtId="9" fontId="107" fillId="0" borderId="15" xfId="71" applyFont="1" applyFill="1" applyBorder="1"/>
    <xf numFmtId="9" fontId="107" fillId="7" borderId="0" xfId="71" applyFont="1" applyFill="1" applyBorder="1"/>
    <xf numFmtId="37" fontId="183" fillId="7" borderId="0" xfId="0" applyNumberFormat="1" applyFont="1" applyFill="1" applyAlignment="1">
      <alignment horizontal="center"/>
    </xf>
    <xf numFmtId="37" fontId="183" fillId="0" borderId="19" xfId="0" applyNumberFormat="1" applyFont="1" applyBorder="1" applyAlignment="1">
      <alignment horizontal="center"/>
    </xf>
    <xf numFmtId="37" fontId="107" fillId="0" borderId="22" xfId="0" applyNumberFormat="1" applyFont="1" applyBorder="1"/>
    <xf numFmtId="172" fontId="107" fillId="0" borderId="157" xfId="72" applyNumberFormat="1" applyFont="1" applyFill="1" applyBorder="1"/>
    <xf numFmtId="37" fontId="180" fillId="7" borderId="17" xfId="0" applyNumberFormat="1" applyFont="1" applyFill="1" applyBorder="1"/>
    <xf numFmtId="0" fontId="107" fillId="0" borderId="23" xfId="134" applyFont="1" applyBorder="1"/>
    <xf numFmtId="37" fontId="107" fillId="0" borderId="24" xfId="0" applyNumberFormat="1" applyFont="1" applyBorder="1"/>
    <xf numFmtId="37" fontId="107" fillId="0" borderId="25" xfId="0" applyNumberFormat="1" applyFont="1" applyBorder="1"/>
    <xf numFmtId="37" fontId="107" fillId="0" borderId="0" xfId="0" applyNumberFormat="1" applyFont="1" applyBorder="1"/>
    <xf numFmtId="0" fontId="107" fillId="0" borderId="0" xfId="134" applyFont="1" applyBorder="1"/>
    <xf numFmtId="9" fontId="107" fillId="0" borderId="0" xfId="71" applyFont="1" applyFill="1"/>
    <xf numFmtId="172" fontId="2" fillId="0" borderId="0" xfId="43" applyNumberFormat="1" applyFont="1" applyFill="1" applyBorder="1"/>
    <xf numFmtId="172" fontId="2" fillId="0" borderId="0" xfId="86" applyNumberFormat="1" applyFont="1" applyFill="1" applyBorder="1"/>
    <xf numFmtId="0" fontId="107" fillId="0" borderId="0" xfId="0" applyFont="1"/>
    <xf numFmtId="0" fontId="2" fillId="16" borderId="0" xfId="0" applyFont="1" applyFill="1"/>
    <xf numFmtId="0" fontId="81" fillId="16" borderId="0" xfId="0" applyFont="1" applyFill="1" applyAlignment="1">
      <alignment horizontal="center"/>
    </xf>
    <xf numFmtId="0" fontId="81" fillId="16" borderId="0" xfId="0" applyFont="1" applyFill="1" applyAlignment="1">
      <alignment horizontal="center" wrapText="1"/>
    </xf>
    <xf numFmtId="0" fontId="81" fillId="16" borderId="0" xfId="0" applyFont="1" applyFill="1" applyAlignment="1">
      <alignment horizontal="center" vertical="center" wrapText="1"/>
    </xf>
    <xf numFmtId="0" fontId="231" fillId="0" borderId="0" xfId="0" applyFont="1" applyAlignment="1">
      <alignment horizontal="right"/>
    </xf>
    <xf numFmtId="0" fontId="2" fillId="0" borderId="0" xfId="0" applyFont="1" applyAlignment="1">
      <alignment horizontal="left"/>
    </xf>
    <xf numFmtId="172" fontId="2" fillId="16" borderId="0" xfId="86" applyNumberFormat="1" applyFont="1" applyFill="1"/>
    <xf numFmtId="172" fontId="107" fillId="0" borderId="0" xfId="0" applyNumberFormat="1" applyFont="1"/>
    <xf numFmtId="37" fontId="107" fillId="0" borderId="18" xfId="0" applyNumberFormat="1" applyFont="1" applyBorder="1"/>
    <xf numFmtId="0" fontId="107" fillId="0" borderId="19" xfId="0" applyFont="1" applyBorder="1" applyAlignment="1">
      <alignment horizontal="right"/>
    </xf>
    <xf numFmtId="172" fontId="107" fillId="0" borderId="158" xfId="72" applyNumberFormat="1" applyFont="1" applyFill="1" applyBorder="1"/>
    <xf numFmtId="0" fontId="107" fillId="0" borderId="19" xfId="0" applyFont="1" applyBorder="1"/>
    <xf numFmtId="171" fontId="107" fillId="0" borderId="19" xfId="76" applyNumberFormat="1" applyFont="1" applyBorder="1"/>
    <xf numFmtId="172" fontId="107" fillId="0" borderId="159" xfId="72" applyNumberFormat="1" applyFont="1" applyFill="1" applyBorder="1"/>
    <xf numFmtId="37" fontId="107" fillId="0" borderId="23" xfId="0" applyNumberFormat="1" applyFont="1" applyBorder="1"/>
    <xf numFmtId="0" fontId="107" fillId="0" borderId="24" xfId="0" applyFont="1" applyBorder="1" applyAlignment="1">
      <alignment horizontal="right"/>
    </xf>
    <xf numFmtId="172" fontId="107" fillId="0" borderId="24" xfId="0" applyNumberFormat="1" applyFont="1" applyBorder="1"/>
    <xf numFmtId="0" fontId="107" fillId="0" borderId="24" xfId="0" applyFont="1" applyBorder="1"/>
    <xf numFmtId="171" fontId="107" fillId="0" borderId="24" xfId="76" applyNumberFormat="1" applyFont="1" applyBorder="1"/>
    <xf numFmtId="172" fontId="107" fillId="0" borderId="25" xfId="0" applyNumberFormat="1" applyFont="1" applyBorder="1"/>
    <xf numFmtId="0" fontId="107" fillId="0" borderId="18" xfId="0" applyFont="1" applyBorder="1"/>
    <xf numFmtId="37" fontId="107" fillId="0" borderId="19" xfId="0" applyNumberFormat="1" applyFont="1" applyBorder="1"/>
    <xf numFmtId="0" fontId="107" fillId="0" borderId="23" xfId="0" applyFont="1" applyBorder="1"/>
    <xf numFmtId="39" fontId="107" fillId="0" borderId="15" xfId="238" applyNumberFormat="1" applyFont="1" applyBorder="1" applyAlignment="1">
      <alignment horizontal="right"/>
    </xf>
    <xf numFmtId="44" fontId="107" fillId="0" borderId="0" xfId="86" applyNumberFormat="1" applyFont="1" applyFill="1" applyBorder="1"/>
    <xf numFmtId="179" fontId="107" fillId="0" borderId="0" xfId="239" applyNumberFormat="1" applyFont="1" applyFill="1" applyBorder="1"/>
    <xf numFmtId="172" fontId="2" fillId="7" borderId="0" xfId="43" applyNumberFormat="1" applyFont="1" applyFill="1" applyBorder="1"/>
    <xf numFmtId="172" fontId="2" fillId="7" borderId="0" xfId="86" applyNumberFormat="1" applyFont="1" applyFill="1" applyBorder="1"/>
    <xf numFmtId="0" fontId="183" fillId="7" borderId="0" xfId="0" applyFont="1" applyFill="1"/>
    <xf numFmtId="0" fontId="81" fillId="0" borderId="0" xfId="16" applyFont="1" applyBorder="1" applyAlignment="1">
      <alignment horizontal="center"/>
    </xf>
    <xf numFmtId="171" fontId="4" fillId="0" borderId="0" xfId="16" applyNumberFormat="1" applyFont="1" applyBorder="1"/>
    <xf numFmtId="0" fontId="4" fillId="0" borderId="0" xfId="16" applyFont="1" applyBorder="1"/>
    <xf numFmtId="0" fontId="2" fillId="0" borderId="0" xfId="16" applyFont="1" applyAlignment="1">
      <alignment horizontal="center"/>
    </xf>
    <xf numFmtId="0" fontId="2" fillId="0" borderId="0" xfId="16" applyFont="1"/>
    <xf numFmtId="171" fontId="2" fillId="0" borderId="0" xfId="21" applyNumberFormat="1" applyFont="1"/>
    <xf numFmtId="171" fontId="2" fillId="7" borderId="0" xfId="16" applyNumberFormat="1" applyFont="1" applyFill="1"/>
    <xf numFmtId="171" fontId="46" fillId="7" borderId="0" xfId="66" applyNumberFormat="1" applyFont="1" applyFill="1"/>
    <xf numFmtId="171" fontId="46" fillId="42" borderId="0" xfId="66" applyNumberFormat="1" applyFont="1" applyFill="1"/>
    <xf numFmtId="0" fontId="46" fillId="42" borderId="0" xfId="114" applyFont="1" applyFill="1"/>
    <xf numFmtId="171" fontId="46" fillId="43" borderId="0" xfId="66" applyNumberFormat="1" applyFont="1" applyFill="1"/>
    <xf numFmtId="171" fontId="269" fillId="7" borderId="0" xfId="1" applyNumberFormat="1" applyFont="1" applyFill="1" applyBorder="1"/>
    <xf numFmtId="171" fontId="269" fillId="7" borderId="22" xfId="1" applyNumberFormat="1" applyFont="1" applyFill="1" applyBorder="1"/>
    <xf numFmtId="171" fontId="107" fillId="4" borderId="0" xfId="16" applyNumberFormat="1" applyFont="1" applyFill="1"/>
    <xf numFmtId="0" fontId="269" fillId="7" borderId="0" xfId="16" applyFont="1" applyFill="1"/>
    <xf numFmtId="0" fontId="269" fillId="7" borderId="22" xfId="16" applyFont="1" applyFill="1" applyBorder="1"/>
    <xf numFmtId="0" fontId="180" fillId="7" borderId="0" xfId="0" applyFont="1" applyFill="1"/>
    <xf numFmtId="172" fontId="107" fillId="7" borderId="0" xfId="0" applyNumberFormat="1" applyFont="1" applyFill="1"/>
    <xf numFmtId="0" fontId="107" fillId="7" borderId="10" xfId="0" applyFont="1" applyFill="1" applyBorder="1"/>
    <xf numFmtId="172" fontId="107" fillId="7" borderId="10" xfId="0" applyNumberFormat="1" applyFont="1" applyFill="1" applyBorder="1" applyAlignment="1">
      <alignment horizontal="center" wrapText="1"/>
    </xf>
    <xf numFmtId="0" fontId="107" fillId="7" borderId="0" xfId="0" applyFont="1" applyFill="1"/>
    <xf numFmtId="172" fontId="107" fillId="7" borderId="0" xfId="2" applyNumberFormat="1" applyFont="1" applyFill="1" applyBorder="1"/>
    <xf numFmtId="172" fontId="80" fillId="7" borderId="0" xfId="0" applyNumberFormat="1" applyFont="1" applyFill="1"/>
    <xf numFmtId="0" fontId="30" fillId="7" borderId="0" xfId="0" applyFont="1" applyFill="1"/>
    <xf numFmtId="0" fontId="39" fillId="7" borderId="0" xfId="0" applyFont="1" applyFill="1" applyAlignment="1">
      <alignment horizontal="right"/>
    </xf>
    <xf numFmtId="10" fontId="257" fillId="7" borderId="12" xfId="7" applyNumberFormat="1" applyFont="1" applyFill="1" applyBorder="1"/>
    <xf numFmtId="10" fontId="256" fillId="0" borderId="0" xfId="7" applyNumberFormat="1" applyFont="1" applyFill="1"/>
    <xf numFmtId="10" fontId="39" fillId="0" borderId="0" xfId="7" applyNumberFormat="1" applyFont="1"/>
    <xf numFmtId="10" fontId="39" fillId="0" borderId="0" xfId="7" applyNumberFormat="1" applyFont="1" applyFill="1"/>
    <xf numFmtId="10" fontId="254" fillId="7" borderId="0" xfId="0" applyNumberFormat="1" applyFont="1" applyFill="1"/>
    <xf numFmtId="10" fontId="257" fillId="7" borderId="0" xfId="0" applyNumberFormat="1" applyFont="1" applyFill="1"/>
    <xf numFmtId="10" fontId="251" fillId="0" borderId="0" xfId="7" applyNumberFormat="1" applyFont="1"/>
    <xf numFmtId="171" fontId="39" fillId="0" borderId="0" xfId="1" applyNumberFormat="1" applyFont="1" applyBorder="1"/>
    <xf numFmtId="171" fontId="39" fillId="0" borderId="0" xfId="1" applyNumberFormat="1" applyFont="1"/>
    <xf numFmtId="0" fontId="277" fillId="0" borderId="0" xfId="0" applyFont="1"/>
    <xf numFmtId="49" fontId="39" fillId="0" borderId="10" xfId="1" applyNumberFormat="1" applyFont="1" applyBorder="1" applyAlignment="1">
      <alignment horizontal="center"/>
    </xf>
    <xf numFmtId="0" fontId="257" fillId="0" borderId="0" xfId="0" applyFont="1" applyAlignment="1">
      <alignment horizontal="center"/>
    </xf>
    <xf numFmtId="171" fontId="257" fillId="0" borderId="17" xfId="0" applyNumberFormat="1" applyFont="1" applyBorder="1"/>
    <xf numFmtId="171" fontId="257" fillId="0" borderId="17" xfId="0" applyNumberFormat="1" applyFont="1" applyBorder="1" applyAlignment="1">
      <alignment horizontal="center"/>
    </xf>
    <xf numFmtId="166" fontId="30" fillId="5" borderId="0" xfId="29" applyNumberFormat="1" applyFont="1" applyFill="1" applyProtection="1">
      <protection locked="0"/>
    </xf>
    <xf numFmtId="166" fontId="30" fillId="0" borderId="0" xfId="0" applyNumberFormat="1" applyFont="1"/>
    <xf numFmtId="171" fontId="39" fillId="0" borderId="0" xfId="0" applyNumberFormat="1" applyFont="1"/>
    <xf numFmtId="0" fontId="278" fillId="0" borderId="0" xfId="0" applyFont="1" applyAlignment="1">
      <alignment horizontal="center"/>
    </xf>
    <xf numFmtId="166" fontId="278" fillId="0" borderId="0" xfId="0" applyNumberFormat="1" applyFont="1"/>
    <xf numFmtId="0" fontId="279" fillId="0" borderId="0" xfId="0" applyFont="1"/>
    <xf numFmtId="0" fontId="257" fillId="7" borderId="0" xfId="0" applyFont="1" applyFill="1" applyAlignment="1">
      <alignment horizontal="right"/>
    </xf>
    <xf numFmtId="166" fontId="30" fillId="7" borderId="0" xfId="0" applyNumberFormat="1" applyFont="1" applyFill="1"/>
    <xf numFmtId="0" fontId="280" fillId="0" borderId="0" xfId="0" applyFont="1"/>
    <xf numFmtId="166" fontId="31" fillId="0" borderId="0" xfId="0" quotePrefix="1" applyNumberFormat="1" applyFont="1" applyAlignment="1" applyProtection="1">
      <alignment horizontal="right"/>
      <protection locked="0"/>
    </xf>
    <xf numFmtId="172" fontId="30" fillId="0" borderId="0" xfId="2" applyNumberFormat="1" applyFont="1" applyProtection="1">
      <protection locked="0"/>
    </xf>
    <xf numFmtId="172" fontId="30" fillId="0" borderId="10" xfId="2" applyNumberFormat="1" applyFont="1" applyBorder="1" applyProtection="1">
      <protection locked="0"/>
    </xf>
    <xf numFmtId="0" fontId="39" fillId="0" borderId="0" xfId="0" applyFont="1" applyAlignment="1">
      <alignment horizontal="right"/>
    </xf>
    <xf numFmtId="166" fontId="31" fillId="2" borderId="41" xfId="0" applyNumberFormat="1" applyFont="1" applyFill="1" applyBorder="1"/>
    <xf numFmtId="0" fontId="281" fillId="0" borderId="0" xfId="0" applyFont="1" applyAlignment="1">
      <alignment horizontal="right"/>
    </xf>
    <xf numFmtId="167" fontId="281" fillId="0" borderId="0" xfId="7" applyNumberFormat="1" applyFont="1" applyAlignment="1">
      <alignment horizontal="left"/>
    </xf>
    <xf numFmtId="0" fontId="278" fillId="0" borderId="0" xfId="0" applyFont="1" applyAlignment="1">
      <alignment horizontal="left"/>
    </xf>
    <xf numFmtId="0" fontId="30" fillId="7" borderId="26" xfId="0" applyFont="1" applyFill="1" applyBorder="1"/>
    <xf numFmtId="0" fontId="257" fillId="7" borderId="26" xfId="0" applyFont="1" applyFill="1" applyBorder="1"/>
    <xf numFmtId="0" fontId="257" fillId="7" borderId="27" xfId="0" applyFont="1" applyFill="1" applyBorder="1"/>
    <xf numFmtId="0" fontId="257" fillId="7" borderId="27" xfId="0" applyFont="1" applyFill="1" applyBorder="1" applyAlignment="1">
      <alignment horizontal="right"/>
    </xf>
    <xf numFmtId="172" fontId="257" fillId="7" borderId="28" xfId="0" applyNumberFormat="1" applyFont="1" applyFill="1" applyBorder="1"/>
    <xf numFmtId="172" fontId="30" fillId="0" borderId="10" xfId="2" applyNumberFormat="1" applyFont="1" applyBorder="1"/>
    <xf numFmtId="172" fontId="39" fillId="0" borderId="0" xfId="2" applyNumberFormat="1" applyFont="1" applyFill="1" applyBorder="1"/>
    <xf numFmtId="10" fontId="256" fillId="0" borderId="0" xfId="7" applyNumberFormat="1" applyFont="1" applyFill="1" applyBorder="1"/>
    <xf numFmtId="10" fontId="39" fillId="0" borderId="0" xfId="7" applyNumberFormat="1" applyFont="1" applyFill="1" applyBorder="1"/>
    <xf numFmtId="172" fontId="257" fillId="0" borderId="0" xfId="2" applyNumberFormat="1" applyFont="1" applyBorder="1" applyAlignment="1">
      <alignment horizontal="center"/>
    </xf>
    <xf numFmtId="10" fontId="251" fillId="0" borderId="0" xfId="7" applyNumberFormat="1" applyFont="1" applyFill="1" applyBorder="1"/>
    <xf numFmtId="172" fontId="257" fillId="0" borderId="10" xfId="2" applyNumberFormat="1" applyFont="1" applyBorder="1" applyAlignment="1">
      <alignment horizontal="center"/>
    </xf>
    <xf numFmtId="166" fontId="254" fillId="0" borderId="0" xfId="29" applyNumberFormat="1" applyFont="1" applyProtection="1">
      <protection locked="0"/>
    </xf>
    <xf numFmtId="166" fontId="31" fillId="0" borderId="0" xfId="29" applyNumberFormat="1" applyFont="1" applyProtection="1">
      <protection locked="0"/>
    </xf>
    <xf numFmtId="166" fontId="254" fillId="0" borderId="0" xfId="29" applyNumberFormat="1" applyFont="1"/>
    <xf numFmtId="166" fontId="31" fillId="0" borderId="3" xfId="0" applyNumberFormat="1" applyFont="1" applyBorder="1"/>
    <xf numFmtId="166" fontId="251" fillId="0" borderId="0" xfId="29" applyNumberFormat="1" applyFont="1"/>
    <xf numFmtId="166" fontId="251" fillId="0" borderId="0" xfId="29" applyNumberFormat="1" applyFont="1" applyProtection="1">
      <protection locked="0"/>
    </xf>
    <xf numFmtId="0" fontId="251" fillId="0" borderId="0" xfId="29" applyFont="1" applyProtection="1">
      <protection locked="0"/>
    </xf>
    <xf numFmtId="166" fontId="278" fillId="0" borderId="0" xfId="0" applyNumberFormat="1" applyFont="1" applyAlignment="1">
      <alignment horizontal="center"/>
    </xf>
    <xf numFmtId="0" fontId="253" fillId="7" borderId="26" xfId="0" applyFont="1" applyFill="1" applyBorder="1"/>
    <xf numFmtId="166" fontId="30" fillId="7" borderId="27" xfId="0" quotePrefix="1" applyNumberFormat="1" applyFont="1" applyFill="1" applyBorder="1" applyAlignment="1" applyProtection="1">
      <alignment horizontal="right"/>
      <protection locked="0"/>
    </xf>
    <xf numFmtId="0" fontId="39" fillId="7" borderId="27" xfId="0" applyFont="1" applyFill="1" applyBorder="1"/>
    <xf numFmtId="166" fontId="31" fillId="7" borderId="28" xfId="0" applyNumberFormat="1" applyFont="1" applyFill="1" applyBorder="1"/>
    <xf numFmtId="0" fontId="39" fillId="9" borderId="0" xfId="0" applyFont="1" applyFill="1"/>
    <xf numFmtId="1" fontId="30" fillId="0" borderId="39" xfId="0" applyNumberFormat="1" applyFont="1" applyBorder="1" applyAlignment="1" applyProtection="1">
      <alignment horizontal="left"/>
      <protection locked="0"/>
    </xf>
    <xf numFmtId="0" fontId="30" fillId="0" borderId="0" xfId="0" applyFont="1" applyAlignment="1">
      <alignment horizontal="left"/>
    </xf>
    <xf numFmtId="166" fontId="254" fillId="0" borderId="3" xfId="29" applyNumberFormat="1" applyFont="1" applyBorder="1" applyProtection="1">
      <protection locked="0"/>
    </xf>
    <xf numFmtId="166" fontId="254" fillId="0" borderId="3" xfId="29" applyNumberFormat="1" applyFont="1" applyBorder="1"/>
    <xf numFmtId="0" fontId="39" fillId="7" borderId="0" xfId="0" applyFont="1" applyFill="1"/>
    <xf numFmtId="43" fontId="251" fillId="0" borderId="0" xfId="0" applyNumberFormat="1" applyFont="1"/>
    <xf numFmtId="0" fontId="124" fillId="14" borderId="0" xfId="0" applyFont="1" applyFill="1" applyAlignment="1">
      <alignment wrapText="1"/>
    </xf>
    <xf numFmtId="0" fontId="124" fillId="14" borderId="99" xfId="0" applyFont="1" applyFill="1" applyBorder="1" applyAlignment="1">
      <alignment wrapText="1"/>
    </xf>
    <xf numFmtId="172" fontId="0" fillId="7" borderId="26" xfId="0" applyNumberFormat="1" applyFill="1" applyBorder="1"/>
    <xf numFmtId="172" fontId="0" fillId="7" borderId="28" xfId="0" applyNumberFormat="1" applyFill="1" applyBorder="1"/>
    <xf numFmtId="171" fontId="124" fillId="14" borderId="101" xfId="1" applyNumberFormat="1" applyFont="1" applyFill="1" applyBorder="1"/>
    <xf numFmtId="3" fontId="12" fillId="0" borderId="1" xfId="22" applyNumberFormat="1" applyFont="1" applyFill="1" applyBorder="1" applyAlignment="1">
      <alignment horizontal="center"/>
    </xf>
    <xf numFmtId="3" fontId="12" fillId="0" borderId="5" xfId="22" applyNumberFormat="1" applyFont="1" applyFill="1" applyBorder="1" applyAlignment="1">
      <alignment horizontal="center"/>
    </xf>
    <xf numFmtId="3" fontId="12" fillId="0" borderId="8" xfId="22" applyNumberFormat="1" applyFont="1" applyFill="1" applyBorder="1" applyAlignment="1">
      <alignment horizontal="center"/>
    </xf>
    <xf numFmtId="2" fontId="12" fillId="0" borderId="0" xfId="10" applyNumberFormat="1" applyFont="1" applyFill="1" applyAlignment="1" applyProtection="1">
      <alignment horizontal="center"/>
    </xf>
    <xf numFmtId="15" fontId="32" fillId="5" borderId="13" xfId="0" quotePrefix="1" applyNumberFormat="1" applyFont="1" applyFill="1" applyBorder="1" applyAlignment="1">
      <alignment horizontal="center"/>
    </xf>
    <xf numFmtId="15" fontId="32" fillId="5" borderId="15" xfId="0" quotePrefix="1" applyNumberFormat="1" applyFont="1" applyFill="1" applyBorder="1" applyAlignment="1">
      <alignment horizontal="center"/>
    </xf>
    <xf numFmtId="41" fontId="32" fillId="5" borderId="15" xfId="0" quotePrefix="1" applyNumberFormat="1" applyFont="1" applyFill="1" applyBorder="1" applyAlignment="1">
      <alignment horizontal="center"/>
    </xf>
    <xf numFmtId="41" fontId="32" fillId="5" borderId="14" xfId="0" quotePrefix="1" applyNumberFormat="1" applyFont="1" applyFill="1" applyBorder="1" applyAlignment="1">
      <alignment horizontal="center"/>
    </xf>
    <xf numFmtId="41" fontId="14" fillId="0" borderId="13" xfId="0" applyNumberFormat="1" applyFont="1" applyBorder="1" applyAlignment="1">
      <alignment horizontal="center" wrapText="1"/>
    </xf>
    <xf numFmtId="41" fontId="14" fillId="0" borderId="14" xfId="0" applyNumberFormat="1" applyFont="1" applyBorder="1" applyAlignment="1">
      <alignment horizontal="center" wrapText="1"/>
    </xf>
    <xf numFmtId="41" fontId="14" fillId="0" borderId="13" xfId="0" applyNumberFormat="1" applyFont="1" applyBorder="1" applyAlignment="1">
      <alignment horizontal="center"/>
    </xf>
    <xf numFmtId="41" fontId="14" fillId="0" borderId="15" xfId="0" applyNumberFormat="1" applyFont="1" applyBorder="1" applyAlignment="1">
      <alignment horizontal="center"/>
    </xf>
    <xf numFmtId="41" fontId="14" fillId="0" borderId="14" xfId="0" applyNumberFormat="1" applyFont="1" applyBorder="1" applyAlignment="1">
      <alignment horizontal="center"/>
    </xf>
    <xf numFmtId="15" fontId="32" fillId="5" borderId="14" xfId="0" quotePrefix="1" applyNumberFormat="1" applyFont="1" applyFill="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4" borderId="18" xfId="0" applyFont="1" applyFill="1" applyBorder="1" applyAlignment="1">
      <alignment horizontal="center"/>
    </xf>
    <xf numFmtId="0" fontId="31" fillId="4" borderId="19" xfId="0" applyFont="1" applyFill="1" applyBorder="1" applyAlignment="1">
      <alignment horizontal="center"/>
    </xf>
    <xf numFmtId="0" fontId="31" fillId="4" borderId="20" xfId="0" applyFont="1" applyFill="1" applyBorder="1" applyAlignment="1">
      <alignment horizontal="center"/>
    </xf>
    <xf numFmtId="0" fontId="31" fillId="4" borderId="21" xfId="0" applyFont="1" applyFill="1" applyBorder="1" applyAlignment="1">
      <alignment horizontal="center"/>
    </xf>
    <xf numFmtId="0" fontId="31" fillId="4" borderId="0" xfId="0" applyFont="1" applyFill="1" applyBorder="1" applyAlignment="1">
      <alignment horizontal="center"/>
    </xf>
    <xf numFmtId="0" fontId="31" fillId="4" borderId="22" xfId="0" applyFont="1" applyFill="1" applyBorder="1" applyAlignment="1">
      <alignment horizontal="center"/>
    </xf>
    <xf numFmtId="0" fontId="31" fillId="0" borderId="0" xfId="0" applyFont="1" applyAlignment="1">
      <alignment horizontal="center"/>
    </xf>
    <xf numFmtId="37" fontId="18" fillId="0" borderId="34" xfId="20" applyNumberFormat="1" applyFont="1" applyFill="1" applyBorder="1" applyAlignment="1">
      <alignment horizontal="center" wrapText="1"/>
    </xf>
    <xf numFmtId="37" fontId="18" fillId="0" borderId="35" xfId="20" applyNumberFormat="1" applyFont="1" applyFill="1" applyBorder="1" applyAlignment="1">
      <alignment horizontal="center" wrapText="1"/>
    </xf>
    <xf numFmtId="0" fontId="31" fillId="0" borderId="21"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31" fillId="0" borderId="2" xfId="0" applyFont="1" applyBorder="1" applyAlignment="1">
      <alignment horizontal="center"/>
    </xf>
    <xf numFmtId="0" fontId="31" fillId="0" borderId="4" xfId="0" applyFont="1" applyBorder="1" applyAlignment="1">
      <alignment horizontal="center"/>
    </xf>
    <xf numFmtId="0" fontId="31" fillId="0" borderId="9" xfId="0" applyFont="1" applyBorder="1" applyAlignment="1">
      <alignment horizontal="center"/>
    </xf>
    <xf numFmtId="0" fontId="31" fillId="0" borderId="11" xfId="0" applyFont="1" applyBorder="1" applyAlignment="1">
      <alignment horizontal="center"/>
    </xf>
    <xf numFmtId="0" fontId="31" fillId="5" borderId="4" xfId="0" applyFont="1" applyFill="1" applyBorder="1" applyAlignment="1">
      <alignment horizontal="center" wrapText="1"/>
    </xf>
    <xf numFmtId="0" fontId="31" fillId="5" borderId="7" xfId="0" applyFont="1" applyFill="1" applyBorder="1" applyAlignment="1">
      <alignment horizontal="center" wrapText="1"/>
    </xf>
    <xf numFmtId="0" fontId="31" fillId="0" borderId="0" xfId="5" applyNumberFormat="1" applyFont="1" applyAlignment="1">
      <alignment horizontal="center"/>
    </xf>
    <xf numFmtId="41" fontId="18" fillId="0" borderId="0" xfId="5" applyNumberFormat="1" applyFont="1" applyFill="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17" fillId="0" borderId="10" xfId="0" applyFont="1" applyBorder="1" applyAlignment="1">
      <alignment horizontal="center"/>
    </xf>
    <xf numFmtId="169" fontId="17" fillId="0" borderId="0" xfId="17" applyNumberFormat="1" applyFont="1" applyAlignment="1">
      <alignment horizontal="left" wrapText="1"/>
    </xf>
    <xf numFmtId="0" fontId="12" fillId="0" borderId="0" xfId="0" applyFont="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8" fillId="0" borderId="0" xfId="0" applyNumberFormat="1" applyFont="1" applyAlignment="1">
      <alignment horizontal="center"/>
    </xf>
    <xf numFmtId="0" fontId="70" fillId="0" borderId="10" xfId="0" applyFont="1" applyBorder="1" applyAlignment="1">
      <alignment horizontal="left" wrapText="1"/>
    </xf>
    <xf numFmtId="0" fontId="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8" fillId="0" borderId="96" xfId="0" applyFont="1" applyBorder="1" applyAlignment="1">
      <alignment horizontal="center"/>
    </xf>
    <xf numFmtId="0" fontId="18" fillId="0" borderId="95" xfId="0" applyFont="1" applyBorder="1" applyAlignment="1">
      <alignment horizontal="center"/>
    </xf>
    <xf numFmtId="0" fontId="103"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1" fillId="0" borderId="0" xfId="0" applyFont="1" applyAlignment="1">
      <alignment horizontal="center"/>
    </xf>
    <xf numFmtId="0" fontId="108" fillId="0" borderId="0" xfId="0" applyFont="1" applyAlignment="1">
      <alignment horizontal="center"/>
    </xf>
    <xf numFmtId="0" fontId="81" fillId="0" borderId="26" xfId="0" applyFont="1" applyBorder="1" applyAlignment="1">
      <alignment horizontal="center" wrapText="1"/>
    </xf>
    <xf numFmtId="0" fontId="81" fillId="0" borderId="27" xfId="0" applyFont="1" applyBorder="1" applyAlignment="1">
      <alignment horizontal="center" wrapText="1"/>
    </xf>
    <xf numFmtId="0" fontId="81" fillId="0" borderId="28" xfId="0" applyFont="1" applyBorder="1" applyAlignment="1">
      <alignment horizontal="center" wrapText="1"/>
    </xf>
    <xf numFmtId="0" fontId="17" fillId="0" borderId="0" xfId="0" applyFont="1" applyAlignment="1">
      <alignment horizontal="left" wrapText="1"/>
    </xf>
    <xf numFmtId="3" fontId="14" fillId="0" borderId="0" xfId="0" applyNumberFormat="1" applyFont="1" applyAlignment="1">
      <alignment horizontal="center"/>
    </xf>
    <xf numFmtId="3" fontId="18" fillId="0" borderId="0" xfId="0" applyNumberFormat="1" applyFont="1" applyAlignment="1">
      <alignment horizontal="center"/>
    </xf>
    <xf numFmtId="0" fontId="70" fillId="0" borderId="26" xfId="0" applyFont="1" applyBorder="1" applyAlignment="1">
      <alignment horizontal="center"/>
    </xf>
    <xf numFmtId="0" fontId="70" fillId="0" borderId="27" xfId="0" applyFont="1" applyBorder="1" applyAlignment="1">
      <alignment horizontal="center"/>
    </xf>
    <xf numFmtId="0" fontId="70" fillId="0" borderId="28" xfId="0" applyFont="1" applyBorder="1" applyAlignment="1">
      <alignment horizontal="center"/>
    </xf>
    <xf numFmtId="0" fontId="81" fillId="0" borderId="26" xfId="16" applyFont="1" applyBorder="1" applyAlignment="1">
      <alignment horizontal="center"/>
    </xf>
    <xf numFmtId="0" fontId="81" fillId="0" borderId="27" xfId="16" applyFont="1" applyBorder="1" applyAlignment="1">
      <alignment horizontal="center"/>
    </xf>
    <xf numFmtId="0" fontId="81" fillId="0" borderId="28" xfId="16" applyFont="1" applyBorder="1" applyAlignment="1">
      <alignment horizontal="center"/>
    </xf>
    <xf numFmtId="0" fontId="10" fillId="6" borderId="10" xfId="0" applyFont="1" applyFill="1" applyBorder="1" applyAlignment="1">
      <alignment horizontal="center"/>
    </xf>
    <xf numFmtId="0" fontId="10" fillId="6" borderId="9" xfId="0" applyFont="1" applyFill="1" applyBorder="1" applyAlignment="1">
      <alignment horizontal="center"/>
    </xf>
    <xf numFmtId="0" fontId="81" fillId="12" borderId="0" xfId="0" applyFont="1" applyFill="1" applyAlignment="1">
      <alignment horizontal="center"/>
    </xf>
    <xf numFmtId="0" fontId="81" fillId="13" borderId="31" xfId="0" applyFont="1" applyFill="1" applyBorder="1" applyAlignment="1">
      <alignment horizontal="center"/>
    </xf>
    <xf numFmtId="0" fontId="81" fillId="13" borderId="32" xfId="0" applyFont="1" applyFill="1" applyBorder="1" applyAlignment="1">
      <alignment horizontal="center"/>
    </xf>
    <xf numFmtId="0" fontId="81"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10" fillId="0" borderId="26" xfId="1" applyBorder="1" applyAlignment="1">
      <alignment horizontal="center"/>
    </xf>
    <xf numFmtId="43" fontId="10" fillId="0" borderId="27" xfId="1" applyBorder="1" applyAlignment="1">
      <alignment horizontal="center"/>
    </xf>
    <xf numFmtId="43" fontId="10" fillId="0" borderId="28" xfId="1" applyBorder="1" applyAlignment="1">
      <alignment horizontal="center"/>
    </xf>
    <xf numFmtId="0" fontId="143" fillId="0" borderId="0" xfId="0" applyFont="1" applyAlignment="1">
      <alignment horizontal="left" vertical="top" wrapText="1"/>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0" xfId="102" applyFont="1" applyAlignment="1">
      <alignment horizontal="center"/>
    </xf>
    <xf numFmtId="0" fontId="101" fillId="0" borderId="26" xfId="102" applyFont="1" applyBorder="1" applyAlignment="1">
      <alignment horizontal="center" vertical="top"/>
    </xf>
    <xf numFmtId="0" fontId="101" fillId="0" borderId="27" xfId="102" applyFont="1" applyBorder="1" applyAlignment="1">
      <alignment horizontal="center" vertical="top"/>
    </xf>
    <xf numFmtId="0" fontId="101" fillId="0" borderId="28" xfId="102" applyFont="1" applyBorder="1" applyAlignment="1">
      <alignment horizontal="center" vertical="top"/>
    </xf>
    <xf numFmtId="0" fontId="70" fillId="0" borderId="0" xfId="29" applyFont="1" applyAlignment="1">
      <alignment horizontal="center"/>
    </xf>
    <xf numFmtId="0" fontId="102" fillId="0" borderId="0" xfId="29" applyFont="1" applyAlignment="1">
      <alignment horizontal="center"/>
    </xf>
    <xf numFmtId="0" fontId="150" fillId="0" borderId="0" xfId="0" applyFont="1" applyAlignment="1">
      <alignment horizontal="left" wrapText="1"/>
    </xf>
    <xf numFmtId="0" fontId="150" fillId="0" borderId="0" xfId="0" applyFont="1" applyAlignment="1">
      <alignment horizontal="center" vertical="center" wrapText="1"/>
    </xf>
    <xf numFmtId="1" fontId="18" fillId="0" borderId="0" xfId="0" applyNumberFormat="1" applyFont="1" applyAlignment="1">
      <alignment horizontal="center"/>
    </xf>
    <xf numFmtId="194" fontId="35" fillId="0" borderId="0" xfId="0" applyNumberFormat="1" applyFont="1" applyAlignment="1">
      <alignment horizontal="left" wrapText="1"/>
    </xf>
    <xf numFmtId="0" fontId="14" fillId="0" borderId="0" xfId="224" applyFont="1" applyAlignment="1">
      <alignment horizontal="center"/>
    </xf>
    <xf numFmtId="0" fontId="14" fillId="0" borderId="0" xfId="0" applyFont="1" applyAlignment="1">
      <alignment horizontal="center" wrapText="1"/>
    </xf>
    <xf numFmtId="0" fontId="31" fillId="0" borderId="0" xfId="17" applyFont="1" applyAlignment="1">
      <alignment horizontal="center" wrapText="1"/>
    </xf>
    <xf numFmtId="0" fontId="17" fillId="0" borderId="0" xfId="17" applyFont="1" applyAlignment="1">
      <alignment horizontal="center" wrapText="1"/>
    </xf>
    <xf numFmtId="0" fontId="17" fillId="0" borderId="0" xfId="17" applyFont="1" applyAlignment="1">
      <alignment horizontal="left" wrapText="1"/>
    </xf>
    <xf numFmtId="0" fontId="70" fillId="0" borderId="21" xfId="17" applyFont="1" applyBorder="1" applyAlignment="1">
      <alignment horizontal="center"/>
    </xf>
    <xf numFmtId="0" fontId="70" fillId="0" borderId="0" xfId="17" applyFont="1" applyAlignment="1">
      <alignment horizontal="center"/>
    </xf>
    <xf numFmtId="0" fontId="132" fillId="0" borderId="0" xfId="17" applyFont="1" applyAlignment="1">
      <alignment horizontal="center"/>
    </xf>
    <xf numFmtId="0" fontId="160" fillId="0" borderId="0" xfId="54" applyFont="1" applyAlignment="1">
      <alignment horizontal="left"/>
    </xf>
    <xf numFmtId="49" fontId="132" fillId="0" borderId="0" xfId="17" applyNumberFormat="1" applyFont="1" applyAlignment="1">
      <alignment horizontal="center"/>
    </xf>
    <xf numFmtId="0" fontId="176"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3" fillId="0" borderId="64" xfId="17" applyNumberFormat="1" applyFont="1" applyBorder="1" applyAlignment="1">
      <alignment vertical="center" wrapText="1"/>
    </xf>
    <xf numFmtId="202" fontId="93" fillId="0" borderId="0" xfId="17" applyNumberFormat="1" applyFont="1" applyAlignment="1">
      <alignment vertical="center" wrapText="1"/>
    </xf>
    <xf numFmtId="0" fontId="93" fillId="0" borderId="64" xfId="17" applyFont="1" applyBorder="1" applyAlignment="1">
      <alignment horizontal="left" vertical="center" wrapText="1"/>
    </xf>
    <xf numFmtId="0" fontId="93" fillId="0" borderId="0" xfId="17" applyFont="1" applyAlignment="1">
      <alignment horizontal="left" vertical="center" wrapText="1"/>
    </xf>
    <xf numFmtId="0" fontId="184" fillId="0" borderId="0" xfId="114" applyFont="1" applyAlignment="1">
      <alignment horizontal="left" vertical="center"/>
    </xf>
    <xf numFmtId="0" fontId="4" fillId="0" borderId="0" xfId="114" applyFont="1"/>
    <xf numFmtId="0" fontId="81" fillId="5" borderId="13" xfId="96" applyFont="1" applyFill="1" applyBorder="1" applyAlignment="1">
      <alignment horizontal="center"/>
    </xf>
    <xf numFmtId="0" fontId="81" fillId="5" borderId="14" xfId="96" applyFont="1" applyFill="1" applyBorder="1" applyAlignment="1">
      <alignment horizontal="center"/>
    </xf>
    <xf numFmtId="0" fontId="17" fillId="0" borderId="26" xfId="13" applyFont="1" applyBorder="1" applyAlignment="1">
      <alignment horizontal="center"/>
    </xf>
    <xf numFmtId="0" fontId="17" fillId="0" borderId="27" xfId="13" applyFont="1" applyBorder="1" applyAlignment="1">
      <alignment horizontal="center"/>
    </xf>
    <xf numFmtId="0" fontId="17" fillId="0" borderId="28" xfId="13" applyFont="1" applyBorder="1" applyAlignment="1">
      <alignment horizontal="center"/>
    </xf>
    <xf numFmtId="4" fontId="18" fillId="0" borderId="0" xfId="13" applyNumberFormat="1" applyFont="1" applyBorder="1" applyAlignment="1">
      <alignment horizontal="center"/>
    </xf>
    <xf numFmtId="4" fontId="19" fillId="0" borderId="0" xfId="13" applyNumberFormat="1" applyFont="1" applyBorder="1" applyAlignment="1">
      <alignment horizontal="center"/>
    </xf>
    <xf numFmtId="4" fontId="17" fillId="0" borderId="0" xfId="13" applyNumberFormat="1" applyFont="1" applyBorder="1" applyAlignment="1">
      <alignment horizontal="center"/>
    </xf>
    <xf numFmtId="171" fontId="46" fillId="4" borderId="0" xfId="114" applyNumberFormat="1" applyFont="1" applyFill="1" applyAlignment="1">
      <alignment horizontal="left" wrapText="1"/>
    </xf>
    <xf numFmtId="0" fontId="191" fillId="9" borderId="26" xfId="0" applyFont="1" applyFill="1" applyBorder="1" applyAlignment="1">
      <alignment horizontal="center"/>
    </xf>
    <xf numFmtId="0" fontId="191" fillId="9" borderId="27" xfId="0" applyFont="1" applyFill="1" applyBorder="1" applyAlignment="1">
      <alignment horizontal="center"/>
    </xf>
    <xf numFmtId="0" fontId="191" fillId="9" borderId="28" xfId="0" applyFont="1" applyFill="1" applyBorder="1" applyAlignment="1">
      <alignment horizontal="center"/>
    </xf>
    <xf numFmtId="0" fontId="191" fillId="9" borderId="27" xfId="114" applyFont="1" applyFill="1" applyBorder="1" applyAlignment="1">
      <alignment horizontal="center"/>
    </xf>
    <xf numFmtId="0" fontId="191" fillId="9" borderId="28" xfId="114" applyFont="1" applyFill="1" applyBorder="1" applyAlignment="1">
      <alignment horizontal="center"/>
    </xf>
    <xf numFmtId="0" fontId="55" fillId="0" borderId="0" xfId="0" applyFont="1" applyAlignment="1">
      <alignment horizontal="center" wrapText="1"/>
    </xf>
    <xf numFmtId="0" fontId="10" fillId="0" borderId="6" xfId="0" applyFont="1" applyBorder="1" applyAlignment="1">
      <alignment horizontal="left" wrapText="1"/>
    </xf>
    <xf numFmtId="0" fontId="0" fillId="0" borderId="6" xfId="0" applyBorder="1" applyAlignment="1">
      <alignment horizontal="left" wrapText="1"/>
    </xf>
    <xf numFmtId="0" fontId="10" fillId="0" borderId="6" xfId="0" applyFont="1" applyBorder="1" applyAlignment="1">
      <alignment horizontal="left" vertical="top" wrapText="1"/>
    </xf>
    <xf numFmtId="0" fontId="205" fillId="0" borderId="0" xfId="0" applyFont="1" applyAlignment="1">
      <alignment wrapText="1"/>
    </xf>
    <xf numFmtId="3" fontId="47" fillId="0" borderId="6" xfId="36" applyNumberFormat="1" applyFont="1" applyBorder="1" applyAlignment="1">
      <alignment horizontal="center"/>
    </xf>
    <xf numFmtId="3" fontId="47" fillId="0" borderId="0" xfId="36" applyNumberFormat="1" applyFont="1" applyAlignment="1">
      <alignment horizontal="center"/>
    </xf>
    <xf numFmtId="0" fontId="81" fillId="0" borderId="0" xfId="0" applyFont="1" applyAlignment="1">
      <alignment horizontal="left" wrapText="1"/>
    </xf>
    <xf numFmtId="0" fontId="81" fillId="6" borderId="26" xfId="0" applyFont="1" applyFill="1" applyBorder="1" applyAlignment="1">
      <alignment horizontal="center"/>
    </xf>
    <xf numFmtId="0" fontId="81" fillId="6" borderId="27" xfId="0" applyFont="1" applyFill="1" applyBorder="1" applyAlignment="1">
      <alignment horizontal="center"/>
    </xf>
    <xf numFmtId="0" fontId="81" fillId="6" borderId="28" xfId="0" applyFont="1" applyFill="1" applyBorder="1" applyAlignment="1">
      <alignment horizontal="center"/>
    </xf>
    <xf numFmtId="0" fontId="168" fillId="0" borderId="0" xfId="0" applyFont="1" applyAlignment="1">
      <alignment horizontal="center" wrapText="1"/>
    </xf>
    <xf numFmtId="0" fontId="124" fillId="16" borderId="39" xfId="0" applyFont="1" applyFill="1" applyBorder="1" applyAlignment="1">
      <alignment horizontal="center" vertical="center"/>
    </xf>
    <xf numFmtId="0" fontId="124" fillId="16" borderId="13" xfId="0" applyFont="1" applyFill="1" applyBorder="1" applyAlignment="1">
      <alignment horizontal="center"/>
    </xf>
    <xf numFmtId="0" fontId="124" fillId="16" borderId="15" xfId="0" applyFont="1" applyFill="1" applyBorder="1" applyAlignment="1">
      <alignment horizontal="center"/>
    </xf>
    <xf numFmtId="0" fontId="124" fillId="16" borderId="14" xfId="0" applyFont="1" applyFill="1" applyBorder="1" applyAlignment="1">
      <alignment horizontal="center"/>
    </xf>
    <xf numFmtId="0" fontId="189" fillId="16" borderId="13" xfId="0" applyFont="1" applyFill="1" applyBorder="1" applyAlignment="1">
      <alignment horizontal="center"/>
    </xf>
    <xf numFmtId="0" fontId="189" fillId="16" borderId="15" xfId="0" applyFont="1" applyFill="1" applyBorder="1" applyAlignment="1">
      <alignment horizontal="center"/>
    </xf>
    <xf numFmtId="0" fontId="189" fillId="16" borderId="14" xfId="0" applyFont="1" applyFill="1" applyBorder="1" applyAlignment="1">
      <alignment horizontal="center"/>
    </xf>
    <xf numFmtId="37" fontId="180" fillId="0" borderId="13" xfId="0" applyNumberFormat="1" applyFont="1" applyBorder="1" applyAlignment="1">
      <alignment horizontal="center" vertical="center" wrapText="1"/>
    </xf>
    <xf numFmtId="37" fontId="180" fillId="0" borderId="14" xfId="0" applyNumberFormat="1" applyFont="1" applyBorder="1" applyAlignment="1">
      <alignment horizontal="center" vertical="center" wrapText="1"/>
    </xf>
    <xf numFmtId="37" fontId="181" fillId="7" borderId="32" xfId="0" applyNumberFormat="1" applyFont="1" applyFill="1" applyBorder="1" applyAlignment="1">
      <alignment horizontal="left" vertical="top" wrapText="1"/>
    </xf>
    <xf numFmtId="37" fontId="181" fillId="7" borderId="33" xfId="0" applyNumberFormat="1" applyFont="1" applyFill="1" applyBorder="1" applyAlignment="1">
      <alignment horizontal="left" vertical="top" wrapText="1"/>
    </xf>
    <xf numFmtId="172" fontId="180" fillId="0" borderId="0" xfId="96" applyNumberFormat="1" applyFont="1" applyAlignment="1">
      <alignment horizontal="center"/>
    </xf>
    <xf numFmtId="0" fontId="183" fillId="0" borderId="0" xfId="96" applyFont="1" applyAlignment="1">
      <alignment horizontal="left" vertical="top" wrapText="1"/>
    </xf>
    <xf numFmtId="0" fontId="180" fillId="0" borderId="0" xfId="96" applyFont="1" applyAlignment="1">
      <alignment horizontal="center"/>
    </xf>
    <xf numFmtId="0" fontId="107" fillId="0" borderId="0" xfId="96" applyFont="1" applyAlignment="1">
      <alignment horizontal="left" vertical="top" wrapText="1"/>
    </xf>
    <xf numFmtId="0" fontId="107" fillId="0" borderId="39" xfId="96" applyFont="1" applyBorder="1" applyAlignment="1">
      <alignment horizontal="center"/>
    </xf>
    <xf numFmtId="0" fontId="137" fillId="0" borderId="0" xfId="96" applyFont="1" applyAlignment="1">
      <alignment horizontal="center" wrapText="1"/>
    </xf>
    <xf numFmtId="0" fontId="107" fillId="0" borderId="0" xfId="75" applyFont="1" applyAlignment="1">
      <alignment horizontal="left" vertical="top" wrapText="1"/>
    </xf>
    <xf numFmtId="0" fontId="230" fillId="0" borderId="13" xfId="75" applyFont="1" applyBorder="1" applyAlignment="1">
      <alignment horizontal="center" vertical="top"/>
    </xf>
    <xf numFmtId="0" fontId="230" fillId="0" borderId="15" xfId="75" applyFont="1" applyBorder="1" applyAlignment="1">
      <alignment horizontal="center" vertical="top"/>
    </xf>
    <xf numFmtId="0" fontId="230" fillId="0" borderId="14" xfId="75" applyFont="1" applyBorder="1" applyAlignment="1">
      <alignment horizontal="center" vertical="top"/>
    </xf>
    <xf numFmtId="0" fontId="209" fillId="26" borderId="23" xfId="96" applyFont="1" applyFill="1" applyBorder="1" applyAlignment="1">
      <alignment horizontal="right"/>
    </xf>
    <xf numFmtId="0" fontId="209" fillId="26" borderId="24" xfId="96" applyFont="1" applyFill="1" applyBorder="1" applyAlignment="1">
      <alignment horizontal="right"/>
    </xf>
    <xf numFmtId="0" fontId="209" fillId="26" borderId="124" xfId="96" applyFont="1" applyFill="1" applyBorder="1" applyAlignment="1">
      <alignment horizontal="center" vertical="center" wrapText="1"/>
    </xf>
    <xf numFmtId="0" fontId="209" fillId="26" borderId="2" xfId="96" applyFont="1" applyFill="1" applyBorder="1" applyAlignment="1">
      <alignment horizontal="center" vertical="center" wrapText="1"/>
    </xf>
    <xf numFmtId="0" fontId="209" fillId="26" borderId="123" xfId="96" applyFont="1" applyFill="1" applyBorder="1" applyAlignment="1">
      <alignment horizontal="center" vertical="center" wrapText="1"/>
    </xf>
    <xf numFmtId="0" fontId="209" fillId="26" borderId="5" xfId="96" applyFont="1" applyFill="1" applyBorder="1" applyAlignment="1">
      <alignment horizontal="center" vertical="center" wrapText="1"/>
    </xf>
    <xf numFmtId="0" fontId="180" fillId="6" borderId="13" xfId="96" applyFont="1" applyFill="1" applyBorder="1" applyAlignment="1">
      <alignment horizontal="center" vertical="center"/>
    </xf>
    <xf numFmtId="0" fontId="180" fillId="6" borderId="14" xfId="96" applyFont="1" applyFill="1" applyBorder="1" applyAlignment="1">
      <alignment horizontal="center" vertical="center"/>
    </xf>
    <xf numFmtId="0" fontId="209" fillId="26" borderId="121" xfId="96" applyFont="1" applyFill="1" applyBorder="1" applyAlignment="1">
      <alignment horizontal="center" vertical="center" wrapText="1"/>
    </xf>
    <xf numFmtId="0" fontId="209" fillId="26" borderId="125" xfId="96" applyFont="1" applyFill="1" applyBorder="1" applyAlignment="1">
      <alignment horizontal="center" vertical="center" wrapText="1"/>
    </xf>
    <xf numFmtId="0" fontId="209" fillId="26" borderId="122" xfId="96" applyFont="1" applyFill="1" applyBorder="1" applyAlignment="1">
      <alignment horizontal="center" vertical="center" wrapText="1"/>
    </xf>
    <xf numFmtId="0" fontId="209" fillId="26" borderId="1" xfId="96" applyFont="1" applyFill="1" applyBorder="1" applyAlignment="1">
      <alignment horizontal="center" vertical="center" wrapText="1"/>
    </xf>
    <xf numFmtId="0" fontId="81" fillId="5" borderId="13" xfId="96" applyFont="1" applyFill="1" applyBorder="1" applyAlignment="1">
      <alignment horizontal="center" vertical="center"/>
    </xf>
    <xf numFmtId="0" fontId="81" fillId="5" borderId="14" xfId="96" applyFont="1" applyFill="1" applyBorder="1" applyAlignment="1">
      <alignment horizontal="center" vertical="center"/>
    </xf>
    <xf numFmtId="0" fontId="205" fillId="0" borderId="0" xfId="96" applyFont="1" applyAlignment="1">
      <alignment horizontal="center" wrapText="1"/>
    </xf>
    <xf numFmtId="0" fontId="205" fillId="0" borderId="10" xfId="96" applyFont="1" applyBorder="1" applyAlignment="1">
      <alignment horizontal="center" wrapText="1"/>
    </xf>
    <xf numFmtId="0" fontId="205" fillId="0" borderId="13" xfId="96" applyFont="1" applyBorder="1" applyAlignment="1">
      <alignment horizontal="center"/>
    </xf>
    <xf numFmtId="0" fontId="205" fillId="0" borderId="15" xfId="96" applyFont="1" applyBorder="1" applyAlignment="1">
      <alignment horizontal="center"/>
    </xf>
    <xf numFmtId="0" fontId="205" fillId="0" borderId="14" xfId="96" applyFont="1" applyBorder="1" applyAlignment="1">
      <alignment horizontal="center"/>
    </xf>
    <xf numFmtId="0" fontId="55" fillId="0" borderId="0" xfId="96" applyFont="1" applyAlignment="1">
      <alignment horizontal="right" wrapText="1"/>
    </xf>
    <xf numFmtId="0" fontId="205" fillId="7" borderId="19" xfId="96" applyFont="1" applyFill="1" applyBorder="1" applyAlignment="1">
      <alignment horizontal="center" vertical="center" wrapText="1"/>
    </xf>
    <xf numFmtId="0" fontId="205" fillId="7" borderId="0" xfId="96" applyFont="1" applyFill="1" applyAlignment="1">
      <alignment horizontal="center" vertical="center" wrapText="1"/>
    </xf>
    <xf numFmtId="0" fontId="205" fillId="5" borderId="19" xfId="96" applyFont="1" applyFill="1" applyBorder="1" applyAlignment="1">
      <alignment horizontal="left" vertical="top" wrapText="1"/>
    </xf>
    <xf numFmtId="0" fontId="205" fillId="5" borderId="0" xfId="96" applyFont="1" applyFill="1" applyAlignment="1">
      <alignment horizontal="left" vertical="top" wrapText="1"/>
    </xf>
    <xf numFmtId="171" fontId="238" fillId="0" borderId="0" xfId="66" applyNumberFormat="1" applyFont="1" applyBorder="1" applyAlignment="1">
      <alignment horizontal="center"/>
    </xf>
    <xf numFmtId="0" fontId="70" fillId="0" borderId="0" xfId="17" applyFont="1" applyAlignment="1">
      <alignment horizontal="center" vertical="top" wrapText="1"/>
    </xf>
    <xf numFmtId="0" fontId="70" fillId="0" borderId="24" xfId="17" applyFont="1" applyBorder="1" applyAlignment="1">
      <alignment horizontal="center" vertical="top" wrapText="1"/>
    </xf>
    <xf numFmtId="0" fontId="205" fillId="0" borderId="0" xfId="17" applyFont="1" applyAlignment="1">
      <alignment horizontal="left" vertical="top" wrapText="1"/>
    </xf>
    <xf numFmtId="0" fontId="205" fillId="0" borderId="22" xfId="17" applyFont="1" applyBorder="1" applyAlignment="1">
      <alignment horizontal="left" vertical="top" wrapText="1"/>
    </xf>
    <xf numFmtId="0" fontId="205" fillId="0" borderId="13" xfId="96" applyFont="1" applyBorder="1" applyAlignment="1">
      <alignment horizontal="center" wrapText="1"/>
    </xf>
    <xf numFmtId="0" fontId="205" fillId="0" borderId="15" xfId="96" applyFont="1" applyBorder="1" applyAlignment="1">
      <alignment horizontal="center" wrapText="1"/>
    </xf>
    <xf numFmtId="0" fontId="205" fillId="0" borderId="14" xfId="96" applyFont="1" applyBorder="1" applyAlignment="1">
      <alignment horizontal="center" wrapText="1"/>
    </xf>
    <xf numFmtId="0" fontId="70" fillId="0" borderId="0" xfId="17" applyFont="1" applyAlignment="1">
      <alignment horizontal="center" wrapText="1"/>
    </xf>
    <xf numFmtId="0" fontId="183" fillId="0" borderId="0" xfId="240" applyFont="1" applyAlignment="1">
      <alignment horizontal="center"/>
    </xf>
    <xf numFmtId="0" fontId="70" fillId="0" borderId="18" xfId="17" applyFont="1" applyBorder="1" applyAlignment="1">
      <alignment horizontal="center" vertical="top" wrapText="1"/>
    </xf>
    <xf numFmtId="0" fontId="70" fillId="0" borderId="19" xfId="17" applyFont="1" applyBorder="1" applyAlignment="1">
      <alignment horizontal="center" vertical="top" wrapText="1"/>
    </xf>
    <xf numFmtId="0" fontId="180" fillId="0" borderId="0" xfId="241" applyFont="1" applyAlignment="1">
      <alignment horizontal="center" wrapText="1"/>
    </xf>
    <xf numFmtId="0" fontId="180" fillId="0" borderId="0" xfId="241" applyFont="1" applyAlignment="1">
      <alignment horizontal="right" wrapText="1"/>
    </xf>
    <xf numFmtId="0" fontId="39" fillId="0" borderId="0" xfId="0" applyFont="1" applyAlignment="1">
      <alignment horizontal="center"/>
    </xf>
    <xf numFmtId="0" fontId="39" fillId="0" borderId="18" xfId="0" applyFont="1" applyBorder="1" applyAlignment="1">
      <alignment horizontal="center"/>
    </xf>
    <xf numFmtId="0" fontId="39" fillId="0" borderId="19" xfId="0" applyFont="1" applyBorder="1" applyAlignment="1">
      <alignment horizontal="center"/>
    </xf>
    <xf numFmtId="0" fontId="39" fillId="0" borderId="20" xfId="0" applyFont="1" applyBorder="1" applyAlignment="1">
      <alignment horizontal="center"/>
    </xf>
    <xf numFmtId="0" fontId="170" fillId="0" borderId="13" xfId="75" applyFont="1" applyBorder="1" applyAlignment="1">
      <alignment horizontal="center"/>
    </xf>
    <xf numFmtId="0" fontId="170" fillId="0" borderId="14" xfId="75" applyFont="1" applyBorder="1" applyAlignment="1">
      <alignment horizontal="center"/>
    </xf>
    <xf numFmtId="0" fontId="258" fillId="0" borderId="18" xfId="0" applyFont="1" applyBorder="1" applyAlignment="1">
      <alignment horizontal="center"/>
    </xf>
    <xf numFmtId="0" fontId="258" fillId="0" borderId="19" xfId="0" applyFont="1" applyBorder="1" applyAlignment="1">
      <alignment horizontal="center"/>
    </xf>
    <xf numFmtId="0" fontId="258" fillId="0" borderId="20" xfId="0" applyFont="1" applyBorder="1" applyAlignment="1">
      <alignment horizontal="center"/>
    </xf>
    <xf numFmtId="0" fontId="81" fillId="0" borderId="0" xfId="96" applyFont="1" applyAlignment="1">
      <alignment horizontal="center" textRotation="90"/>
    </xf>
    <xf numFmtId="0" fontId="108" fillId="30" borderId="0" xfId="96" applyFont="1" applyFill="1" applyAlignment="1">
      <alignment horizontal="center"/>
    </xf>
    <xf numFmtId="0" fontId="81" fillId="30" borderId="0" xfId="96" applyFont="1" applyFill="1" applyAlignment="1">
      <alignment horizontal="center"/>
    </xf>
    <xf numFmtId="0" fontId="109" fillId="0" borderId="6" xfId="96" applyFont="1" applyBorder="1" applyAlignment="1">
      <alignment horizontal="center"/>
    </xf>
    <xf numFmtId="0" fontId="109" fillId="0" borderId="7" xfId="96" applyFont="1" applyBorder="1" applyAlignment="1">
      <alignment horizontal="center"/>
    </xf>
    <xf numFmtId="0" fontId="18" fillId="0" borderId="0" xfId="96" applyFont="1" applyAlignment="1">
      <alignment horizontal="left" wrapText="1"/>
    </xf>
    <xf numFmtId="0" fontId="18" fillId="0" borderId="0" xfId="96" applyFont="1" applyAlignment="1">
      <alignment horizontal="center"/>
    </xf>
    <xf numFmtId="171" fontId="10" fillId="13" borderId="0" xfId="96" applyNumberFormat="1" applyFill="1" applyAlignment="1">
      <alignment horizontal="center" vertical="center" wrapText="1"/>
    </xf>
    <xf numFmtId="0" fontId="10" fillId="0" borderId="0" xfId="96" applyAlignment="1">
      <alignment horizontal="left" vertical="top" wrapText="1"/>
    </xf>
    <xf numFmtId="0" fontId="232" fillId="0" borderId="0" xfId="96" applyFont="1" applyAlignment="1">
      <alignment horizontal="left" vertical="top"/>
    </xf>
    <xf numFmtId="0" fontId="232" fillId="0" borderId="22" xfId="96" applyFont="1" applyBorder="1" applyAlignment="1">
      <alignment horizontal="left" vertical="top"/>
    </xf>
    <xf numFmtId="0" fontId="81" fillId="5" borderId="18" xfId="96" applyFont="1" applyFill="1" applyBorder="1" applyAlignment="1">
      <alignment horizontal="center" vertical="top"/>
    </xf>
    <xf numFmtId="0" fontId="81" fillId="5" borderId="20" xfId="96" applyFont="1" applyFill="1" applyBorder="1" applyAlignment="1">
      <alignment horizontal="center" vertical="top"/>
    </xf>
    <xf numFmtId="0" fontId="81" fillId="5" borderId="21" xfId="96" applyFont="1" applyFill="1" applyBorder="1" applyAlignment="1">
      <alignment horizontal="center" vertical="top"/>
    </xf>
    <xf numFmtId="0" fontId="81" fillId="5" borderId="22" xfId="96" applyFont="1" applyFill="1" applyBorder="1" applyAlignment="1">
      <alignment horizontal="center" vertical="top"/>
    </xf>
    <xf numFmtId="0" fontId="270" fillId="39" borderId="0" xfId="96" applyFont="1" applyFill="1" applyAlignment="1">
      <alignment horizontal="center" vertical="top"/>
    </xf>
    <xf numFmtId="0" fontId="10" fillId="0" borderId="15" xfId="96" applyBorder="1" applyAlignment="1">
      <alignment horizontal="center" vertical="top"/>
    </xf>
    <xf numFmtId="0" fontId="10" fillId="40" borderId="2" xfId="96" applyFill="1" applyBorder="1" applyAlignment="1">
      <alignment horizontal="center" vertical="top"/>
    </xf>
    <xf numFmtId="0" fontId="10" fillId="40" borderId="3" xfId="96" applyFill="1" applyBorder="1" applyAlignment="1">
      <alignment horizontal="center" vertical="top"/>
    </xf>
    <xf numFmtId="0" fontId="10" fillId="40" borderId="4" xfId="96" applyFill="1" applyBorder="1" applyAlignment="1">
      <alignment horizontal="center" vertical="top"/>
    </xf>
    <xf numFmtId="0" fontId="10" fillId="40" borderId="31" xfId="96" applyFill="1" applyBorder="1" applyAlignment="1">
      <alignment horizontal="center" vertical="top"/>
    </xf>
    <xf numFmtId="0" fontId="10" fillId="40" borderId="32" xfId="96" applyFill="1" applyBorder="1" applyAlignment="1">
      <alignment horizontal="center" vertical="top"/>
    </xf>
    <xf numFmtId="0" fontId="10" fillId="40" borderId="33" xfId="96" applyFill="1" applyBorder="1" applyAlignment="1">
      <alignment horizontal="center" vertical="top"/>
    </xf>
    <xf numFmtId="0" fontId="10" fillId="5" borderId="31" xfId="96" applyFill="1" applyBorder="1" applyAlignment="1">
      <alignment horizontal="center" vertical="top"/>
    </xf>
    <xf numFmtId="0" fontId="10" fillId="5" borderId="32" xfId="96" applyFill="1" applyBorder="1" applyAlignment="1">
      <alignment horizontal="center" vertical="top"/>
    </xf>
    <xf numFmtId="0" fontId="10" fillId="5" borderId="33" xfId="96" applyFill="1" applyBorder="1" applyAlignment="1">
      <alignment horizontal="center" vertical="top"/>
    </xf>
    <xf numFmtId="0" fontId="10" fillId="0" borderId="3" xfId="96" applyBorder="1" applyAlignment="1">
      <alignment horizontal="center" vertical="top" wrapText="1"/>
    </xf>
    <xf numFmtId="0" fontId="10" fillId="0" borderId="0" xfId="96" applyAlignment="1">
      <alignment horizontal="center" vertical="top" wrapText="1"/>
    </xf>
    <xf numFmtId="0" fontId="268" fillId="6" borderId="0" xfId="96" applyFont="1" applyFill="1" applyAlignment="1">
      <alignment horizontal="center" vertical="top" wrapText="1"/>
    </xf>
    <xf numFmtId="0" fontId="268" fillId="6" borderId="10" xfId="96" applyFont="1" applyFill="1" applyBorder="1" applyAlignment="1">
      <alignment horizontal="center" vertical="top" wrapText="1"/>
    </xf>
    <xf numFmtId="0" fontId="10" fillId="40" borderId="13" xfId="96" applyFill="1" applyBorder="1" applyAlignment="1">
      <alignment horizontal="center" vertical="top"/>
    </xf>
    <xf numFmtId="0" fontId="10" fillId="40" borderId="15" xfId="96" applyFill="1" applyBorder="1" applyAlignment="1">
      <alignment horizontal="center" vertical="top"/>
    </xf>
    <xf numFmtId="0" fontId="10" fillId="40" borderId="14" xfId="96" applyFill="1" applyBorder="1" applyAlignment="1">
      <alignment horizontal="center" vertical="top"/>
    </xf>
    <xf numFmtId="0" fontId="81" fillId="16" borderId="26" xfId="96" applyFont="1" applyFill="1" applyBorder="1" applyAlignment="1">
      <alignment horizontal="center" vertical="top"/>
    </xf>
    <xf numFmtId="0" fontId="81" fillId="16" borderId="28" xfId="96" applyFont="1" applyFill="1" applyBorder="1" applyAlignment="1">
      <alignment horizontal="center" vertical="top"/>
    </xf>
    <xf numFmtId="0" fontId="10" fillId="4" borderId="23" xfId="96" applyFill="1" applyBorder="1" applyAlignment="1">
      <alignment horizontal="center" vertical="top"/>
    </xf>
    <xf numFmtId="0" fontId="10" fillId="4" borderId="24" xfId="96" applyFill="1" applyBorder="1" applyAlignment="1">
      <alignment horizontal="center" vertical="top"/>
    </xf>
    <xf numFmtId="0" fontId="10" fillId="4" borderId="25" xfId="96" applyFill="1" applyBorder="1" applyAlignment="1">
      <alignment horizontal="center" vertical="top"/>
    </xf>
    <xf numFmtId="0" fontId="108" fillId="0" borderId="0" xfId="96" applyFont="1" applyAlignment="1">
      <alignment horizontal="center" vertical="top" wrapText="1"/>
    </xf>
    <xf numFmtId="0" fontId="81" fillId="4" borderId="18" xfId="96" applyFont="1" applyFill="1" applyBorder="1" applyAlignment="1">
      <alignment horizontal="center" vertical="top"/>
    </xf>
    <xf numFmtId="0" fontId="81" fillId="4" borderId="19" xfId="96" applyFont="1" applyFill="1" applyBorder="1" applyAlignment="1">
      <alignment horizontal="center" vertical="top"/>
    </xf>
    <xf numFmtId="0" fontId="81" fillId="4" borderId="20" xfId="96" applyFont="1" applyFill="1" applyBorder="1" applyAlignment="1">
      <alignment horizontal="center" vertical="top"/>
    </xf>
    <xf numFmtId="0" fontId="10" fillId="17" borderId="0" xfId="96" applyFill="1" applyAlignment="1">
      <alignment horizontal="center" vertical="top" wrapText="1"/>
    </xf>
    <xf numFmtId="0" fontId="268" fillId="38" borderId="26" xfId="96" applyFont="1" applyFill="1" applyBorder="1" applyAlignment="1">
      <alignment horizontal="center" vertical="center"/>
    </xf>
    <xf numFmtId="0" fontId="268" fillId="38" borderId="27" xfId="96" applyFont="1" applyFill="1" applyBorder="1" applyAlignment="1">
      <alignment horizontal="center" vertical="center"/>
    </xf>
    <xf numFmtId="0" fontId="268" fillId="38" borderId="28" xfId="96" applyFont="1" applyFill="1" applyBorder="1" applyAlignment="1">
      <alignment horizontal="center" vertical="center"/>
    </xf>
    <xf numFmtId="0" fontId="268" fillId="13" borderId="26" xfId="96" applyFont="1" applyFill="1" applyBorder="1" applyAlignment="1">
      <alignment horizontal="center" vertical="top" wrapText="1"/>
    </xf>
    <xf numFmtId="0" fontId="268" fillId="13" borderId="27" xfId="96" applyFont="1" applyFill="1" applyBorder="1" applyAlignment="1">
      <alignment horizontal="center" vertical="top" wrapText="1"/>
    </xf>
    <xf numFmtId="0" fontId="268" fillId="13" borderId="28" xfId="96" applyFont="1" applyFill="1" applyBorder="1" applyAlignment="1">
      <alignment horizontal="center" vertical="top" wrapText="1"/>
    </xf>
    <xf numFmtId="0" fontId="81" fillId="25" borderId="26" xfId="96" applyFont="1" applyFill="1" applyBorder="1" applyAlignment="1">
      <alignment horizontal="center" vertical="top"/>
    </xf>
    <xf numFmtId="0" fontId="81" fillId="25" borderId="27" xfId="96" applyFont="1" applyFill="1" applyBorder="1" applyAlignment="1">
      <alignment horizontal="center" vertical="top"/>
    </xf>
    <xf numFmtId="0" fontId="81" fillId="25" borderId="28" xfId="96" applyFont="1" applyFill="1" applyBorder="1" applyAlignment="1">
      <alignment horizontal="center" vertical="top"/>
    </xf>
    <xf numFmtId="0" fontId="28" fillId="0" borderId="0" xfId="0" applyFont="1" applyAlignment="1">
      <alignment horizontal="center"/>
    </xf>
    <xf numFmtId="0" fontId="18" fillId="0" borderId="0" xfId="0" applyFont="1" applyFill="1" applyAlignment="1">
      <alignment horizontal="center"/>
    </xf>
    <xf numFmtId="41" fontId="12" fillId="0" borderId="9" xfId="22" applyNumberFormat="1" applyFont="1" applyBorder="1" applyAlignment="1">
      <alignment horizontal="center" wrapText="1"/>
    </xf>
    <xf numFmtId="3" fontId="17" fillId="0" borderId="0" xfId="6" applyNumberFormat="1" applyFont="1" applyAlignment="1">
      <alignment horizontal="center"/>
    </xf>
    <xf numFmtId="41" fontId="282" fillId="0" borderId="0" xfId="22" applyNumberFormat="1" applyFont="1" applyAlignment="1">
      <alignment horizontal="center" wrapText="1"/>
    </xf>
    <xf numFmtId="3" fontId="67" fillId="0" borderId="0" xfId="6" applyNumberFormat="1" applyFont="1" applyAlignment="1">
      <alignment horizontal="center"/>
    </xf>
    <xf numFmtId="3" fontId="12" fillId="0" borderId="0" xfId="22" applyNumberFormat="1" applyFont="1" applyAlignment="1">
      <alignment horizontal="center" wrapText="1"/>
    </xf>
    <xf numFmtId="0" fontId="17" fillId="0" borderId="0" xfId="20" applyFont="1" applyAlignment="1">
      <alignment horizontal="center" wrapText="1"/>
    </xf>
    <xf numFmtId="3" fontId="12" fillId="0" borderId="10" xfId="22" applyNumberFormat="1" applyFont="1" applyBorder="1" applyAlignment="1">
      <alignment horizontal="center" wrapText="1"/>
    </xf>
    <xf numFmtId="3" fontId="17" fillId="0" borderId="0" xfId="6" applyNumberFormat="1" applyFont="1" applyAlignment="1">
      <alignment horizontal="center" wrapText="1"/>
    </xf>
    <xf numFmtId="0" fontId="12" fillId="0" borderId="0" xfId="20" applyFont="1" applyAlignment="1">
      <alignment horizontal="center" wrapText="1"/>
    </xf>
    <xf numFmtId="167" fontId="107" fillId="0" borderId="0" xfId="7" applyNumberFormat="1" applyFont="1" applyFill="1" applyBorder="1"/>
    <xf numFmtId="43" fontId="107" fillId="0" borderId="0" xfId="0" applyNumberFormat="1" applyFont="1"/>
    <xf numFmtId="9" fontId="224" fillId="0" borderId="0" xfId="7" applyFont="1" applyFill="1" applyBorder="1"/>
    <xf numFmtId="171" fontId="107" fillId="0" borderId="0" xfId="0" applyNumberFormat="1" applyFont="1"/>
    <xf numFmtId="0" fontId="180" fillId="0" borderId="6" xfId="0" applyFont="1" applyBorder="1"/>
    <xf numFmtId="171" fontId="180" fillId="0" borderId="16" xfId="1" applyNumberFormat="1" applyFont="1" applyFill="1" applyBorder="1"/>
    <xf numFmtId="171" fontId="107" fillId="0" borderId="16" xfId="1" applyNumberFormat="1" applyFont="1" applyFill="1" applyBorder="1"/>
    <xf numFmtId="0" fontId="137" fillId="0" borderId="6" xfId="0" applyFont="1" applyBorder="1"/>
    <xf numFmtId="171" fontId="1" fillId="0" borderId="0" xfId="1" applyNumberFormat="1" applyFont="1" applyFill="1"/>
    <xf numFmtId="171" fontId="107" fillId="0" borderId="0" xfId="1" applyNumberFormat="1" applyFont="1" applyFill="1" applyBorder="1"/>
    <xf numFmtId="0" fontId="137" fillId="0" borderId="6" xfId="0" applyFont="1" applyBorder="1" applyAlignment="1">
      <alignment horizontal="left"/>
    </xf>
    <xf numFmtId="0" fontId="137" fillId="0" borderId="6" xfId="0" quotePrefix="1" applyFont="1" applyBorder="1" applyAlignment="1">
      <alignment horizontal="left"/>
    </xf>
    <xf numFmtId="0" fontId="137" fillId="0" borderId="0" xfId="0" applyFont="1" applyAlignment="1">
      <alignment horizontal="center"/>
    </xf>
    <xf numFmtId="167" fontId="283" fillId="0" borderId="0" xfId="7" applyNumberFormat="1" applyFont="1" applyFill="1" applyBorder="1" applyAlignment="1">
      <alignment horizontal="center"/>
    </xf>
    <xf numFmtId="0" fontId="180" fillId="0" borderId="0" xfId="0" applyFont="1"/>
    <xf numFmtId="0" fontId="284" fillId="0" borderId="0" xfId="0" quotePrefix="1" applyFont="1" applyAlignment="1">
      <alignment horizontal="left"/>
    </xf>
    <xf numFmtId="0" fontId="284" fillId="0" borderId="6" xfId="0" quotePrefix="1" applyFont="1" applyBorder="1" applyAlignment="1">
      <alignment horizontal="left"/>
    </xf>
    <xf numFmtId="205" fontId="180" fillId="0" borderId="0" xfId="0" applyNumberFormat="1" applyFont="1"/>
    <xf numFmtId="205" fontId="107" fillId="0" borderId="0" xfId="7" applyNumberFormat="1" applyFont="1" applyFill="1" applyBorder="1"/>
    <xf numFmtId="3" fontId="180" fillId="0" borderId="0" xfId="0" applyNumberFormat="1" applyFont="1"/>
    <xf numFmtId="205" fontId="107" fillId="0" borderId="0" xfId="0" applyNumberFormat="1" applyFont="1"/>
    <xf numFmtId="3" fontId="107" fillId="0" borderId="0" xfId="0" applyNumberFormat="1" applyFont="1"/>
    <xf numFmtId="3" fontId="180" fillId="0" borderId="16" xfId="0" applyNumberFormat="1" applyFont="1" applyBorder="1"/>
    <xf numFmtId="205" fontId="107" fillId="0" borderId="16" xfId="7" applyNumberFormat="1" applyFont="1" applyFill="1" applyBorder="1"/>
    <xf numFmtId="178" fontId="107" fillId="0" borderId="0" xfId="0" applyNumberFormat="1" applyFont="1" applyAlignment="1">
      <alignment horizontal="right"/>
    </xf>
    <xf numFmtId="167" fontId="224" fillId="0" borderId="0" xfId="7" applyNumberFormat="1" applyFont="1" applyFill="1" applyBorder="1"/>
    <xf numFmtId="3" fontId="107" fillId="0" borderId="0" xfId="0" applyNumberFormat="1" applyFont="1" applyAlignment="1">
      <alignment horizontal="right"/>
    </xf>
    <xf numFmtId="167" fontId="107" fillId="0" borderId="0" xfId="7" applyNumberFormat="1" applyFont="1" applyFill="1" applyBorder="1" applyAlignment="1">
      <alignment horizontal="right"/>
    </xf>
    <xf numFmtId="0" fontId="285" fillId="0" borderId="6" xfId="0" applyFont="1" applyBorder="1"/>
    <xf numFmtId="216" fontId="107" fillId="0" borderId="0" xfId="1" applyNumberFormat="1" applyFont="1" applyFill="1" applyBorder="1"/>
    <xf numFmtId="181" fontId="107" fillId="0" borderId="0" xfId="1" applyNumberFormat="1" applyFont="1" applyFill="1" applyBorder="1"/>
    <xf numFmtId="3" fontId="107" fillId="0" borderId="10" xfId="0" applyNumberFormat="1" applyFont="1" applyBorder="1" applyAlignment="1">
      <alignment horizontal="right"/>
    </xf>
    <xf numFmtId="167" fontId="107" fillId="0" borderId="10" xfId="7" applyNumberFormat="1" applyFont="1" applyFill="1" applyBorder="1" applyAlignment="1">
      <alignment horizontal="right"/>
    </xf>
    <xf numFmtId="179" fontId="107" fillId="0" borderId="10" xfId="0" applyNumberFormat="1" applyFont="1" applyBorder="1" applyAlignment="1">
      <alignment horizontal="right"/>
    </xf>
    <xf numFmtId="171" fontId="224" fillId="0" borderId="0" xfId="1" applyNumberFormat="1" applyFont="1" applyFill="1" applyBorder="1"/>
    <xf numFmtId="216" fontId="180" fillId="0" borderId="16" xfId="1" applyNumberFormat="1" applyFont="1" applyFill="1" applyBorder="1"/>
    <xf numFmtId="216" fontId="180" fillId="7" borderId="16" xfId="1" applyNumberFormat="1" applyFont="1" applyFill="1" applyBorder="1"/>
    <xf numFmtId="216" fontId="107" fillId="0" borderId="16" xfId="1" applyNumberFormat="1" applyFont="1" applyFill="1" applyBorder="1"/>
    <xf numFmtId="3" fontId="107" fillId="0" borderId="0" xfId="7" applyNumberFormat="1" applyFont="1" applyFill="1" applyBorder="1"/>
    <xf numFmtId="205" fontId="107" fillId="0" borderId="0" xfId="0" applyNumberFormat="1" applyFont="1" applyAlignment="1">
      <alignment horizontal="right"/>
    </xf>
    <xf numFmtId="170" fontId="107" fillId="0" borderId="10" xfId="7" applyNumberFormat="1" applyFont="1" applyFill="1" applyBorder="1" applyAlignment="1">
      <alignment horizontal="right"/>
    </xf>
    <xf numFmtId="179" fontId="107" fillId="0" borderId="10" xfId="7" applyNumberFormat="1" applyFont="1" applyFill="1" applyBorder="1" applyAlignment="1">
      <alignment horizontal="right"/>
    </xf>
    <xf numFmtId="170" fontId="107" fillId="0" borderId="10" xfId="0" applyNumberFormat="1" applyFont="1" applyBorder="1" applyAlignment="1">
      <alignment horizontal="right"/>
    </xf>
    <xf numFmtId="170" fontId="107" fillId="0" borderId="0" xfId="0" applyNumberFormat="1" applyFont="1" applyAlignment="1">
      <alignment horizontal="right"/>
    </xf>
    <xf numFmtId="170" fontId="107" fillId="0" borderId="0" xfId="7" applyNumberFormat="1" applyFont="1" applyFill="1" applyBorder="1" applyAlignment="1">
      <alignment horizontal="right"/>
    </xf>
    <xf numFmtId="179" fontId="107" fillId="0" borderId="0" xfId="0" applyNumberFormat="1" applyFont="1" applyAlignment="1">
      <alignment horizontal="right"/>
    </xf>
    <xf numFmtId="3" fontId="107" fillId="0" borderId="0" xfId="1" applyNumberFormat="1" applyFont="1" applyFill="1" applyBorder="1"/>
    <xf numFmtId="3" fontId="107" fillId="0" borderId="16" xfId="7" applyNumberFormat="1" applyFont="1" applyFill="1" applyBorder="1"/>
    <xf numFmtId="167" fontId="224" fillId="0" borderId="10" xfId="7" applyNumberFormat="1" applyFont="1" applyFill="1" applyBorder="1"/>
    <xf numFmtId="205" fontId="107" fillId="0" borderId="0" xfId="27" applyNumberFormat="1" applyFont="1"/>
    <xf numFmtId="178" fontId="107" fillId="0" borderId="0" xfId="27" applyNumberFormat="1" applyFont="1" applyAlignment="1">
      <alignment horizontal="right"/>
    </xf>
    <xf numFmtId="3" fontId="107" fillId="0" borderId="0" xfId="27" applyNumberFormat="1" applyFont="1" applyAlignment="1">
      <alignment horizontal="right"/>
    </xf>
    <xf numFmtId="215" fontId="107" fillId="0" borderId="10" xfId="27" applyNumberFormat="1" applyFont="1" applyBorder="1" applyAlignment="1">
      <alignment horizontal="right"/>
    </xf>
    <xf numFmtId="215" fontId="107" fillId="0" borderId="10" xfId="0" applyNumberFormat="1" applyFont="1" applyBorder="1" applyAlignment="1">
      <alignment horizontal="right"/>
    </xf>
    <xf numFmtId="3" fontId="107" fillId="0" borderId="10" xfId="27" applyNumberFormat="1" applyFont="1" applyBorder="1" applyAlignment="1">
      <alignment horizontal="right"/>
    </xf>
    <xf numFmtId="179" fontId="107" fillId="0" borderId="10" xfId="27" applyNumberFormat="1" applyFont="1" applyBorder="1" applyAlignment="1">
      <alignment horizontal="right"/>
    </xf>
    <xf numFmtId="3" fontId="107" fillId="0" borderId="0" xfId="27" applyNumberFormat="1" applyFont="1"/>
    <xf numFmtId="0" fontId="180" fillId="0" borderId="6" xfId="0" applyFont="1" applyBorder="1" applyAlignment="1">
      <alignment horizontal="left"/>
    </xf>
    <xf numFmtId="0" fontId="107" fillId="0" borderId="0" xfId="0" applyFont="1" applyAlignment="1">
      <alignment horizontal="center"/>
    </xf>
    <xf numFmtId="167" fontId="107" fillId="0" borderId="0" xfId="7" applyNumberFormat="1" applyFont="1" applyFill="1" applyBorder="1" applyAlignment="1">
      <alignment horizontal="center"/>
    </xf>
    <xf numFmtId="205" fontId="180" fillId="0" borderId="16" xfId="0" applyNumberFormat="1" applyFont="1" applyBorder="1"/>
    <xf numFmtId="205" fontId="180" fillId="7" borderId="16" xfId="0" applyNumberFormat="1" applyFont="1" applyFill="1" applyBorder="1"/>
    <xf numFmtId="0" fontId="224" fillId="0" borderId="0" xfId="0" quotePrefix="1" applyFont="1" applyAlignment="1">
      <alignment horizontal="center"/>
    </xf>
    <xf numFmtId="167" fontId="224" fillId="0" borderId="0" xfId="7" quotePrefix="1" applyNumberFormat="1" applyFont="1" applyFill="1" applyBorder="1" applyAlignment="1">
      <alignment horizontal="center"/>
    </xf>
    <xf numFmtId="0" fontId="224" fillId="0" borderId="0" xfId="0" applyFont="1" applyAlignment="1">
      <alignment horizontal="center"/>
    </xf>
    <xf numFmtId="0" fontId="286" fillId="0" borderId="0" xfId="0" applyFont="1" applyAlignment="1">
      <alignment horizontal="center"/>
    </xf>
    <xf numFmtId="167" fontId="224" fillId="0" borderId="0" xfId="7" applyNumberFormat="1" applyFont="1" applyFill="1" applyBorder="1" applyAlignment="1">
      <alignment horizontal="center"/>
    </xf>
    <xf numFmtId="0" fontId="228" fillId="0" borderId="0" xfId="0" applyFont="1" applyAlignment="1">
      <alignment horizontal="center"/>
    </xf>
    <xf numFmtId="167" fontId="228" fillId="0" borderId="0" xfId="7" applyNumberFormat="1" applyFont="1" applyFill="1" applyBorder="1" applyAlignment="1">
      <alignment horizontal="center"/>
    </xf>
    <xf numFmtId="0" fontId="233" fillId="0" borderId="0" xfId="0" applyFont="1"/>
    <xf numFmtId="0" fontId="137" fillId="0" borderId="0" xfId="0" quotePrefix="1" applyFont="1" applyAlignment="1">
      <alignment horizontal="left"/>
    </xf>
    <xf numFmtId="0" fontId="236" fillId="0" borderId="0" xfId="17" applyFont="1" applyAlignment="1"/>
    <xf numFmtId="37" fontId="107" fillId="0" borderId="0" xfId="238" applyNumberFormat="1" applyFont="1" applyFill="1" applyAlignment="1">
      <alignment horizontal="right"/>
    </xf>
    <xf numFmtId="37" fontId="107" fillId="0" borderId="0" xfId="0" applyNumberFormat="1" applyFont="1" applyFill="1"/>
    <xf numFmtId="42" fontId="17" fillId="0" borderId="0" xfId="6" applyNumberFormat="1" applyFont="1" applyFill="1"/>
    <xf numFmtId="41" fontId="17" fillId="0" borderId="0" xfId="1" applyNumberFormat="1" applyFont="1" applyFill="1"/>
  </cellXfs>
  <cellStyles count="244">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5" xfId="243" xr:uid="{02E10A34-15A1-4C4F-9FF5-7D093F8B5E2B}"/>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CCCCF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Assumptions/Purpose of Adjustment: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purpose of this adjustment is to pro-form Company Medical and Retirement expenses from the base year 12-months-ending 06.30.2023 to that expected during the Rate Years, 2025 and 2026.  (Cost level data based on third party information as noted below. Updated information is used below based on 3rd Party information provided February 2024.)</a:t>
          </a:r>
          <a:endParaRPr lang="en-US">
            <a:effectLst/>
          </a:endParaRPr>
        </a:p>
        <a:p>
          <a:r>
            <a:rPr lang="en-US" sz="1100" b="0" baseline="0">
              <a:solidFill>
                <a:schemeClr val="dk1"/>
              </a:solidFill>
              <a:effectLst/>
              <a:latin typeface="+mn-lt"/>
              <a:ea typeface="+mn-ea"/>
              <a:cs typeface="+mn-cs"/>
            </a:rPr>
            <a:t>  </a:t>
          </a:r>
          <a:endParaRPr lang="en-US">
            <a:effectLst/>
          </a:endParaRPr>
        </a:p>
        <a:p>
          <a:pPr eaLnBrk="1" fontAlgn="auto" latinLnBrk="0" hangingPunct="1"/>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Cost level data based on third party information as noted below. Updated information is used below based on 3rd Party information provided February 2024.)</a:t>
          </a:r>
        </a:p>
        <a:p>
          <a:pPr eaLnBrk="1" fontAlgn="auto" latinLnBrk="0" hangingPunct="1"/>
          <a:endParaRPr lang="en-US">
            <a:effectLst/>
          </a:endParaRPr>
        </a:p>
        <a:p>
          <a:r>
            <a:rPr lang="en-US" sz="1100" b="0" baseline="0">
              <a:solidFill>
                <a:schemeClr val="dk1"/>
              </a:solidFill>
              <a:effectLst/>
              <a:latin typeface="+mn-lt"/>
              <a:ea typeface="+mn-ea"/>
              <a:cs typeface="+mn-cs"/>
            </a:rPr>
            <a:t>The Retirement portion of the adjustment is based on information provided by third-party Consultants (Willis Towers Watson401(K)).  Updated information is used below based on 3rd Party information provided February 2024.)  The 401K expense is based on forecasted O&amp;M expense increases.</a:t>
          </a:r>
        </a:p>
        <a:p>
          <a:endParaRPr lang="en-US">
            <a:effectLst/>
          </a:endParaRPr>
        </a:p>
        <a:p>
          <a:r>
            <a:rPr lang="en-US" sz="1100" b="0" baseline="0">
              <a:solidFill>
                <a:schemeClr val="dk1"/>
              </a:solidFill>
              <a:effectLst/>
              <a:latin typeface="+mn-lt"/>
              <a:ea typeface="+mn-ea"/>
              <a:cs typeface="+mn-cs"/>
            </a:rPr>
            <a:t>The labor expense spread is based on 12-months-ending 06.30.2023 actual labor expense by service and jurisdiction.</a:t>
          </a:r>
          <a:endParaRPr lang="en-US">
            <a:effectLst/>
          </a:endParaRPr>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024%20WA%20Elec%20and%20Gas%20GRC/Adjustments/3.14,%205.06%20PF%20Misc%20O&amp;M%20Exp/For%20Rebuttal%20-%20Misc%20O&amp;M%20Adj%20-%20Revise%20PC-DR-297%20Attachment%20A%20-%20Pro%20Forma%20Misc%20O&amp;M%20-%2012.3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Electric-Reb"/>
      <sheetName val="Electric-06.2023 vs 12.2023"/>
      <sheetName val="Natural Gas -Reb"/>
      <sheetName val="Nat Gas - 06.2023 vs 12.2023"/>
      <sheetName val="Electric-PC DR 297"/>
      <sheetName val="Natural Gas-PC DR 297"/>
      <sheetName val="Sheet4"/>
      <sheetName val="Sheet2"/>
      <sheetName val="Sheet1"/>
    </sheetNames>
    <sheetDataSet>
      <sheetData sheetId="0"/>
      <sheetData sheetId="1"/>
      <sheetData sheetId="2">
        <row r="64">
          <cell r="H64">
            <v>530039.62140000984</v>
          </cell>
        </row>
      </sheetData>
      <sheetData sheetId="3"/>
      <sheetData sheetId="4">
        <row r="32">
          <cell r="H32">
            <v>2112.4879968001042</v>
          </cell>
        </row>
        <row r="55">
          <cell r="H55">
            <v>-129946</v>
          </cell>
        </row>
        <row r="83">
          <cell r="H83">
            <v>-144501.21611099876</v>
          </cell>
        </row>
        <row r="91">
          <cell r="H91">
            <v>-1049.411244190298</v>
          </cell>
        </row>
        <row r="98">
          <cell r="H98">
            <v>-109627.07217300002</v>
          </cell>
        </row>
        <row r="105">
          <cell r="H105">
            <v>-282</v>
          </cell>
        </row>
        <row r="121">
          <cell r="H121">
            <v>-84486.71069665812</v>
          </cell>
        </row>
      </sheetData>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9.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6953125" defaultRowHeight="12.5"/>
  <cols>
    <col min="1" max="16384" width="9.269531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G1048576"/>
  <sheetViews>
    <sheetView tabSelected="1" zoomScaleNormal="100" workbookViewId="0"/>
  </sheetViews>
  <sheetFormatPr defaultColWidth="9.26953125" defaultRowHeight="13"/>
  <cols>
    <col min="1" max="1" width="4.54296875" style="32" customWidth="1"/>
    <col min="2" max="3" width="1.54296875" style="31" customWidth="1"/>
    <col min="4" max="4" width="2.54296875" style="31" customWidth="1"/>
    <col min="5" max="5" width="22.54296875" style="78" customWidth="1"/>
    <col min="6" max="6" width="8.54296875" style="78" bestFit="1" customWidth="1"/>
    <col min="7" max="7" width="11.26953125" style="78" bestFit="1" customWidth="1"/>
    <col min="8" max="8" width="8.453125" style="78" bestFit="1" customWidth="1"/>
    <col min="9" max="9" width="11.26953125" style="78" bestFit="1" customWidth="1"/>
    <col min="10" max="10" width="15.81640625" style="78" bestFit="1" customWidth="1"/>
    <col min="11" max="11" width="14.453125" style="78" customWidth="1"/>
    <col min="12" max="12" width="14.453125" style="247" customWidth="1"/>
    <col min="13" max="13" width="9" style="247" customWidth="1"/>
    <col min="14" max="16" width="9.26953125" style="247"/>
    <col min="17" max="17" width="11.26953125" style="247" bestFit="1" customWidth="1"/>
    <col min="18" max="16384" width="9.26953125" style="247"/>
  </cols>
  <sheetData>
    <row r="1" spans="1:33" ht="14">
      <c r="A1" s="271" t="str">
        <f>'ROO INPUT 1.00'!A3:C3</f>
        <v>AVISTA UTILITIES</v>
      </c>
      <c r="D1" s="32"/>
      <c r="F1" s="261"/>
      <c r="G1" s="261"/>
      <c r="I1" s="261"/>
    </row>
    <row r="2" spans="1:33" ht="15" customHeight="1">
      <c r="A2" s="271" t="str">
        <f>'ADJ DETAIL INPUT'!A3</f>
        <v>WASHINGTON NATURAL GAS</v>
      </c>
      <c r="D2" s="32"/>
      <c r="G2" s="63"/>
      <c r="H2" s="64"/>
      <c r="I2" s="63"/>
      <c r="J2" s="64"/>
      <c r="K2" s="64"/>
      <c r="L2" s="250"/>
      <c r="M2" s="250"/>
      <c r="N2" s="250"/>
    </row>
    <row r="3" spans="1:33" ht="15" customHeight="1">
      <c r="A3" s="271" t="str">
        <f>'ROO INPUT 1.00'!A5:C5</f>
        <v>TWELVE MONTHS ENDED JUNE 30, 2023</v>
      </c>
      <c r="D3" s="32"/>
      <c r="G3" s="63"/>
      <c r="H3" s="64"/>
      <c r="I3" s="63"/>
      <c r="J3" s="64"/>
      <c r="K3" s="64"/>
      <c r="L3" s="250"/>
      <c r="M3" s="250"/>
      <c r="N3" s="250"/>
    </row>
    <row r="4" spans="1:33" ht="14">
      <c r="A4" s="271" t="str">
        <f>'ROO INPUT 1.00'!A6:C6</f>
        <v xml:space="preserve">(000'S OF DOLLARS)   </v>
      </c>
      <c r="D4" s="32"/>
      <c r="G4" s="399"/>
      <c r="H4" s="399"/>
    </row>
    <row r="5" spans="1:33" ht="14">
      <c r="A5" s="271" t="s">
        <v>641</v>
      </c>
      <c r="D5" s="32"/>
    </row>
    <row r="6" spans="1:33" ht="14">
      <c r="D6" s="32"/>
      <c r="F6" s="3839" t="s">
        <v>546</v>
      </c>
      <c r="G6" s="3840"/>
      <c r="H6" s="3840"/>
      <c r="I6" s="3841"/>
      <c r="J6" s="3841"/>
      <c r="K6" s="3841"/>
      <c r="L6" s="3842"/>
      <c r="AD6" s="250"/>
      <c r="AE6" s="250"/>
      <c r="AF6" s="250"/>
      <c r="AG6" s="250"/>
    </row>
    <row r="7" spans="1:33">
      <c r="A7" s="33"/>
      <c r="B7" s="33"/>
      <c r="C7" s="34"/>
      <c r="D7" s="34"/>
      <c r="E7" s="33"/>
      <c r="F7" s="3845" t="s">
        <v>647</v>
      </c>
      <c r="G7" s="3846"/>
      <c r="H7" s="3846"/>
      <c r="I7" s="3846"/>
      <c r="J7" s="3847"/>
      <c r="K7" s="3843" t="s">
        <v>547</v>
      </c>
      <c r="L7" s="3844"/>
      <c r="P7" s="250"/>
      <c r="Y7" s="250"/>
      <c r="Z7" s="250"/>
      <c r="AD7" s="250"/>
      <c r="AE7" s="250"/>
      <c r="AF7" s="250"/>
      <c r="AG7" s="250"/>
    </row>
    <row r="8" spans="1:33">
      <c r="A8" s="35"/>
      <c r="B8" s="36"/>
      <c r="C8" s="37"/>
      <c r="D8" s="38"/>
      <c r="E8" s="39"/>
      <c r="F8" s="13" t="s">
        <v>138</v>
      </c>
      <c r="G8" s="379" t="s">
        <v>24</v>
      </c>
      <c r="H8" s="400" t="s">
        <v>395</v>
      </c>
      <c r="I8" s="401" t="s">
        <v>24</v>
      </c>
      <c r="J8" s="442" t="s">
        <v>548</v>
      </c>
      <c r="K8" s="402" t="s">
        <v>139</v>
      </c>
      <c r="L8" s="442" t="s">
        <v>549</v>
      </c>
    </row>
    <row r="9" spans="1:33">
      <c r="A9" s="40" t="s">
        <v>6</v>
      </c>
      <c r="B9" s="41"/>
      <c r="C9" s="42"/>
      <c r="D9" s="43"/>
      <c r="E9" s="44"/>
      <c r="F9" s="14" t="s">
        <v>7</v>
      </c>
      <c r="G9" s="380" t="s">
        <v>472</v>
      </c>
      <c r="H9" s="403" t="s">
        <v>473</v>
      </c>
      <c r="I9" s="403" t="s">
        <v>14</v>
      </c>
      <c r="J9" s="403" t="s">
        <v>399</v>
      </c>
      <c r="K9" s="404" t="s">
        <v>140</v>
      </c>
      <c r="L9" s="14" t="s">
        <v>139</v>
      </c>
    </row>
    <row r="10" spans="1:33">
      <c r="A10" s="45" t="s">
        <v>15</v>
      </c>
      <c r="B10" s="46"/>
      <c r="C10" s="47"/>
      <c r="D10" s="48"/>
      <c r="E10" s="49" t="s">
        <v>16</v>
      </c>
      <c r="F10" s="15" t="s">
        <v>17</v>
      </c>
      <c r="G10" s="381" t="s">
        <v>116</v>
      </c>
      <c r="H10" s="405" t="s">
        <v>474</v>
      </c>
      <c r="I10" s="405" t="s">
        <v>116</v>
      </c>
      <c r="J10" s="405" t="s">
        <v>475</v>
      </c>
      <c r="K10" s="406" t="s">
        <v>141</v>
      </c>
      <c r="L10" s="15" t="s">
        <v>24</v>
      </c>
    </row>
    <row r="11" spans="1:33">
      <c r="A11" s="50"/>
      <c r="B11" s="50"/>
      <c r="C11" s="51"/>
      <c r="D11" s="51"/>
      <c r="E11" s="51" t="s">
        <v>25</v>
      </c>
      <c r="F11" s="16" t="s">
        <v>26</v>
      </c>
      <c r="G11" s="382" t="s">
        <v>27</v>
      </c>
      <c r="H11" s="382" t="s">
        <v>28</v>
      </c>
      <c r="I11" s="16" t="s">
        <v>29</v>
      </c>
      <c r="J11" s="16" t="s">
        <v>30</v>
      </c>
      <c r="K11" s="16" t="s">
        <v>529</v>
      </c>
      <c r="L11" s="16" t="s">
        <v>545</v>
      </c>
    </row>
    <row r="12" spans="1:33" ht="3.75" customHeight="1">
      <c r="A12" s="50"/>
      <c r="B12" s="50"/>
      <c r="C12" s="51"/>
      <c r="D12" s="51"/>
      <c r="E12" s="51"/>
      <c r="F12" s="16"/>
      <c r="G12" s="16"/>
      <c r="H12" s="16"/>
      <c r="I12" s="16"/>
      <c r="J12" s="16"/>
      <c r="K12" s="16"/>
      <c r="L12" s="16"/>
    </row>
    <row r="13" spans="1:33" ht="2.25" customHeight="1">
      <c r="A13" s="50"/>
      <c r="B13" s="50"/>
      <c r="C13" s="51"/>
      <c r="D13" s="51"/>
      <c r="E13" s="51"/>
      <c r="F13" s="16"/>
      <c r="G13" s="16"/>
      <c r="H13" s="16"/>
      <c r="I13" s="16"/>
      <c r="J13" s="16"/>
      <c r="K13" s="16"/>
      <c r="L13" s="16"/>
    </row>
    <row r="14" spans="1:33">
      <c r="A14" s="79"/>
      <c r="B14" s="1" t="s">
        <v>31</v>
      </c>
      <c r="C14" s="1"/>
      <c r="D14" s="1"/>
      <c r="E14" s="1"/>
      <c r="F14" s="28"/>
      <c r="G14" s="28"/>
      <c r="I14" s="28"/>
      <c r="L14" s="78"/>
      <c r="N14"/>
      <c r="O14"/>
    </row>
    <row r="15" spans="1:33">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16802</v>
      </c>
      <c r="L15" s="29">
        <f>J15+K15</f>
        <v>138385</v>
      </c>
      <c r="N15"/>
      <c r="O15"/>
    </row>
    <row r="16" spans="1:33">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N16"/>
      <c r="O16"/>
    </row>
    <row r="17" spans="1:15">
      <c r="A17" s="79">
        <v>3</v>
      </c>
      <c r="B17" s="1"/>
      <c r="C17" s="3" t="s">
        <v>34</v>
      </c>
      <c r="D17" s="3"/>
      <c r="E17" s="3"/>
      <c r="F17" s="174">
        <f>'ADJ DETAIL INPUT'!E16</f>
        <v>37118</v>
      </c>
      <c r="G17" s="174">
        <f>H17-F17</f>
        <v>-34031</v>
      </c>
      <c r="H17" s="174">
        <f>'ADJ DETAIL INPUT'!Y16</f>
        <v>3087</v>
      </c>
      <c r="I17" s="174">
        <f>J17-H17</f>
        <v>-2455</v>
      </c>
      <c r="J17" s="174">
        <f>'ADJ DETAIL INPUT'!AW16</f>
        <v>632</v>
      </c>
      <c r="K17" s="174"/>
      <c r="L17" s="174">
        <f>J17+K17</f>
        <v>632</v>
      </c>
      <c r="N17"/>
      <c r="O17"/>
    </row>
    <row r="18" spans="1:15">
      <c r="A18" s="79">
        <v>4</v>
      </c>
      <c r="B18" s="1" t="s">
        <v>35</v>
      </c>
      <c r="C18" s="3"/>
      <c r="D18" s="3"/>
      <c r="E18" s="3"/>
      <c r="F18" s="172">
        <f>SUM(F15:F17)</f>
        <v>288839</v>
      </c>
      <c r="G18" s="172">
        <f t="shared" ref="G18" si="0">SUM(G15:G17)</f>
        <v>-69323</v>
      </c>
      <c r="H18" s="172">
        <f t="shared" ref="H18" si="1">SUM(H15:H17)</f>
        <v>219516</v>
      </c>
      <c r="I18" s="172">
        <f t="shared" ref="I18:L18" si="2">SUM(I15:I17)</f>
        <v>-91908</v>
      </c>
      <c r="J18" s="172">
        <f t="shared" si="2"/>
        <v>127608</v>
      </c>
      <c r="K18" s="172">
        <f t="shared" si="2"/>
        <v>16802</v>
      </c>
      <c r="L18" s="172">
        <f t="shared" si="2"/>
        <v>144410</v>
      </c>
      <c r="N18"/>
      <c r="O18"/>
    </row>
    <row r="19" spans="1:15" ht="4.5" customHeight="1">
      <c r="A19" s="79"/>
      <c r="B19" s="1"/>
      <c r="C19" s="3"/>
      <c r="D19" s="3"/>
      <c r="E19" s="3"/>
      <c r="F19" s="172"/>
      <c r="G19" s="172"/>
      <c r="H19" s="172"/>
      <c r="I19" s="172"/>
      <c r="J19" s="172"/>
      <c r="K19" s="172"/>
      <c r="L19" s="172"/>
      <c r="N19"/>
      <c r="O19"/>
    </row>
    <row r="20" spans="1:15">
      <c r="A20" s="79"/>
      <c r="B20" s="1" t="s">
        <v>36</v>
      </c>
      <c r="C20" s="3"/>
      <c r="D20" s="3"/>
      <c r="E20" s="3"/>
      <c r="F20" s="172"/>
      <c r="G20" s="172"/>
      <c r="H20" s="172"/>
      <c r="I20" s="172"/>
      <c r="J20" s="172"/>
      <c r="K20" s="172"/>
      <c r="L20" s="172"/>
    </row>
    <row r="21" spans="1:15">
      <c r="A21" s="79"/>
      <c r="B21" s="1"/>
      <c r="C21" s="3" t="s">
        <v>203</v>
      </c>
      <c r="D21" s="3"/>
      <c r="E21" s="3"/>
      <c r="F21" s="172"/>
      <c r="G21" s="172"/>
      <c r="H21" s="172"/>
      <c r="I21" s="172"/>
      <c r="J21" s="172"/>
      <c r="K21" s="172"/>
      <c r="L21" s="172"/>
    </row>
    <row r="22" spans="1:15">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5">
      <c r="A23" s="79">
        <v>6</v>
      </c>
      <c r="B23" s="1"/>
      <c r="C23" s="3"/>
      <c r="D23" s="3" t="s">
        <v>38</v>
      </c>
      <c r="E23" s="3"/>
      <c r="F23" s="172">
        <f>'ADJ DETAIL INPUT'!E22</f>
        <v>869</v>
      </c>
      <c r="G23" s="172">
        <f>H23-F23</f>
        <v>0</v>
      </c>
      <c r="H23" s="172">
        <f>'ADJ DETAIL INPUT'!Y22</f>
        <v>869</v>
      </c>
      <c r="I23" s="172">
        <f>J23-H23</f>
        <v>74.519999999999982</v>
      </c>
      <c r="J23" s="172">
        <f>'ADJ DETAIL INPUT'!AW22</f>
        <v>943.52</v>
      </c>
      <c r="K23" s="172"/>
      <c r="L23" s="172">
        <f>J23+K23</f>
        <v>943.52</v>
      </c>
    </row>
    <row r="24" spans="1:15">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5">
      <c r="A25" s="79">
        <v>8</v>
      </c>
      <c r="B25" s="1"/>
      <c r="C25" s="3"/>
      <c r="D25" s="3"/>
      <c r="E25" s="3" t="s">
        <v>40</v>
      </c>
      <c r="F25" s="172">
        <f>SUM(F22:F24)</f>
        <v>149479</v>
      </c>
      <c r="G25" s="172">
        <f t="shared" ref="G25" si="3">SUM(G22:G24)</f>
        <v>-58240</v>
      </c>
      <c r="H25" s="172">
        <f t="shared" ref="H25" si="4">SUM(H22:H24)</f>
        <v>91239</v>
      </c>
      <c r="I25" s="172">
        <f t="shared" ref="I25:L25" si="5">SUM(I22:I24)</f>
        <v>-90295.48</v>
      </c>
      <c r="J25" s="172">
        <f t="shared" si="5"/>
        <v>943.52</v>
      </c>
      <c r="K25" s="172">
        <f t="shared" si="5"/>
        <v>0</v>
      </c>
      <c r="L25" s="172">
        <f t="shared" si="5"/>
        <v>943.52</v>
      </c>
    </row>
    <row r="26" spans="1:15" ht="5.25" customHeight="1">
      <c r="A26" s="79"/>
      <c r="B26" s="1"/>
      <c r="C26" s="3"/>
      <c r="D26" s="3"/>
      <c r="E26" s="3"/>
      <c r="F26" s="172"/>
      <c r="G26" s="172"/>
      <c r="H26" s="173"/>
      <c r="I26" s="172"/>
      <c r="J26" s="173"/>
      <c r="K26" s="172"/>
      <c r="L26" s="172"/>
    </row>
    <row r="27" spans="1:15">
      <c r="A27" s="79"/>
      <c r="B27" s="1"/>
      <c r="C27" s="3" t="s">
        <v>41</v>
      </c>
      <c r="D27" s="3"/>
      <c r="E27" s="3"/>
      <c r="F27" s="172"/>
      <c r="G27" s="172"/>
      <c r="H27" s="172"/>
      <c r="I27" s="172"/>
      <c r="J27" s="172"/>
      <c r="K27" s="172"/>
      <c r="L27" s="172"/>
    </row>
    <row r="28" spans="1:15">
      <c r="A28" s="79">
        <v>9</v>
      </c>
      <c r="B28" s="1"/>
      <c r="C28" s="3"/>
      <c r="D28" s="3" t="s">
        <v>42</v>
      </c>
      <c r="E28" s="3"/>
      <c r="F28" s="172">
        <f>'ADJ DETAIL INPUT'!E27</f>
        <v>2062</v>
      </c>
      <c r="G28" s="172">
        <f>H28-F28</f>
        <v>0</v>
      </c>
      <c r="H28" s="172">
        <f>'ADJ DETAIL INPUT'!Y27</f>
        <v>2062</v>
      </c>
      <c r="I28" s="172">
        <f>J28-H28</f>
        <v>-33.027999999999793</v>
      </c>
      <c r="J28" s="172">
        <f>'ADJ DETAIL INPUT'!AW27</f>
        <v>2028.9720000000002</v>
      </c>
      <c r="K28" s="172"/>
      <c r="L28" s="172">
        <f>J28+K28</f>
        <v>2028.9720000000002</v>
      </c>
    </row>
    <row r="29" spans="1:15">
      <c r="A29" s="79">
        <v>10</v>
      </c>
      <c r="B29" s="1"/>
      <c r="C29" s="3"/>
      <c r="D29" s="3" t="s">
        <v>43</v>
      </c>
      <c r="E29" s="3"/>
      <c r="F29" s="172">
        <f>'ADJ DETAIL INPUT'!E28</f>
        <v>512</v>
      </c>
      <c r="G29" s="172">
        <f>H29-F29</f>
        <v>0</v>
      </c>
      <c r="H29" s="172">
        <f>'ADJ DETAIL INPUT'!Y28</f>
        <v>512</v>
      </c>
      <c r="I29" s="172">
        <f>J29-H29</f>
        <v>49.200000000000045</v>
      </c>
      <c r="J29" s="172">
        <f>'ADJ DETAIL INPUT'!AW28</f>
        <v>561.20000000000005</v>
      </c>
      <c r="K29" s="172"/>
      <c r="L29" s="172">
        <f>J29+K29</f>
        <v>561.20000000000005</v>
      </c>
    </row>
    <row r="30" spans="1:15">
      <c r="A30" s="201">
        <v>11</v>
      </c>
      <c r="B30" s="1"/>
      <c r="C30" s="3"/>
      <c r="D30" s="3" t="s">
        <v>20</v>
      </c>
      <c r="E30" s="3"/>
      <c r="F30" s="174">
        <f>'ADJ DETAIL INPUT'!E29</f>
        <v>161</v>
      </c>
      <c r="G30" s="174">
        <f>H30-F30</f>
        <v>32</v>
      </c>
      <c r="H30" s="174">
        <f>'ADJ DETAIL INPUT'!Y29</f>
        <v>193</v>
      </c>
      <c r="I30" s="174">
        <f>J30-H30</f>
        <v>52</v>
      </c>
      <c r="J30" s="174">
        <f>'ADJ DETAIL INPUT'!AW29</f>
        <v>245</v>
      </c>
      <c r="K30" s="174"/>
      <c r="L30" s="174">
        <f>J30+K30</f>
        <v>245</v>
      </c>
    </row>
    <row r="31" spans="1:15">
      <c r="A31" s="79">
        <v>12</v>
      </c>
      <c r="B31" s="1"/>
      <c r="C31" s="3"/>
      <c r="D31" s="3"/>
      <c r="E31" s="3" t="s">
        <v>44</v>
      </c>
      <c r="F31" s="172">
        <f t="shared" ref="F31:L31" si="6">SUM(F28:F30)</f>
        <v>2735</v>
      </c>
      <c r="G31" s="172">
        <f t="shared" si="6"/>
        <v>32</v>
      </c>
      <c r="H31" s="172">
        <f t="shared" si="6"/>
        <v>2767</v>
      </c>
      <c r="I31" s="172">
        <f t="shared" si="6"/>
        <v>68.172000000000253</v>
      </c>
      <c r="J31" s="172">
        <f t="shared" si="6"/>
        <v>2835.1720000000005</v>
      </c>
      <c r="K31" s="172">
        <f t="shared" si="6"/>
        <v>0</v>
      </c>
      <c r="L31" s="172">
        <f t="shared" si="6"/>
        <v>2835.1720000000005</v>
      </c>
    </row>
    <row r="32" spans="1:15"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165.31900000000132</v>
      </c>
      <c r="J34" s="172">
        <f>'ADJ DETAIL INPUT'!AW33</f>
        <v>13076.319000000001</v>
      </c>
      <c r="K34" s="172"/>
      <c r="L34" s="172">
        <f>J34+K34</f>
        <v>13076.319000000001</v>
      </c>
    </row>
    <row r="35" spans="1:12">
      <c r="A35" s="79">
        <v>14</v>
      </c>
      <c r="B35" s="1"/>
      <c r="C35" s="3"/>
      <c r="D35" s="3" t="s">
        <v>43</v>
      </c>
      <c r="E35" s="3"/>
      <c r="F35" s="172">
        <f>'ADJ DETAIL INPUT'!E34</f>
        <v>16440</v>
      </c>
      <c r="G35" s="172">
        <f>H35-F35</f>
        <v>-11</v>
      </c>
      <c r="H35" s="172">
        <f>'ADJ DETAIL INPUT'!Y34</f>
        <v>16429</v>
      </c>
      <c r="I35" s="172">
        <f>J35-H35</f>
        <v>2134.2999999999993</v>
      </c>
      <c r="J35" s="172">
        <f>'ADJ DETAIL INPUT'!AW34</f>
        <v>18563.3</v>
      </c>
      <c r="K35" s="172"/>
      <c r="L35" s="172">
        <f>J35+K35</f>
        <v>18563.3</v>
      </c>
    </row>
    <row r="36" spans="1:12">
      <c r="A36" s="79">
        <v>15</v>
      </c>
      <c r="B36" s="1"/>
      <c r="C36" s="3"/>
      <c r="D36" s="3" t="s">
        <v>20</v>
      </c>
      <c r="E36" s="3"/>
      <c r="F36" s="175">
        <f>'ADJ DETAIL INPUT'!E35</f>
        <v>21003</v>
      </c>
      <c r="G36" s="174">
        <f>H36-F36</f>
        <v>-9457</v>
      </c>
      <c r="H36" s="174">
        <f>'ADJ DETAIL INPUT'!Y35</f>
        <v>11546</v>
      </c>
      <c r="I36" s="174">
        <f>J36-H36</f>
        <v>-2616</v>
      </c>
      <c r="J36" s="174">
        <f>'ADJ DETAIL INPUT'!AW35</f>
        <v>8930</v>
      </c>
      <c r="K36" s="174">
        <f>CF!I19</f>
        <v>644</v>
      </c>
      <c r="L36" s="174">
        <f>J36+K36</f>
        <v>9574</v>
      </c>
    </row>
    <row r="37" spans="1:12">
      <c r="A37" s="79">
        <v>16</v>
      </c>
      <c r="B37" s="1"/>
      <c r="C37" s="3"/>
      <c r="D37" s="3"/>
      <c r="E37" s="3" t="s">
        <v>46</v>
      </c>
      <c r="F37" s="172">
        <f>SUM(F34:F36)</f>
        <v>50359</v>
      </c>
      <c r="G37" s="172">
        <f t="shared" ref="G37" si="7">SUM(G34:G36)</f>
        <v>-9473</v>
      </c>
      <c r="H37" s="172">
        <f t="shared" ref="H37" si="8">SUM(H34:H36)</f>
        <v>40886</v>
      </c>
      <c r="I37" s="172">
        <f t="shared" ref="I37:L37" si="9">SUM(I34:I36)</f>
        <v>-316.3809999999994</v>
      </c>
      <c r="J37" s="172">
        <f t="shared" si="9"/>
        <v>40569.618999999999</v>
      </c>
      <c r="K37" s="172">
        <f t="shared" si="9"/>
        <v>644</v>
      </c>
      <c r="L37" s="172">
        <f t="shared" si="9"/>
        <v>41213.618999999999</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-88.654000000000451</v>
      </c>
      <c r="J39" s="172">
        <f>'ADJ DETAIL INPUT'!AW38</f>
        <v>4699.3459999999995</v>
      </c>
      <c r="K39" s="172">
        <f>CF!I15</f>
        <v>83</v>
      </c>
      <c r="L39" s="172">
        <f>J39+K39</f>
        <v>4782.3459999999995</v>
      </c>
    </row>
    <row r="40" spans="1:12">
      <c r="A40" s="79">
        <v>18</v>
      </c>
      <c r="B40" s="1" t="s">
        <v>48</v>
      </c>
      <c r="C40" s="3"/>
      <c r="D40" s="3"/>
      <c r="E40" s="3"/>
      <c r="F40" s="172">
        <f>'ADJ DETAIL INPUT'!E39</f>
        <v>14067</v>
      </c>
      <c r="G40" s="172">
        <f>H40-F40</f>
        <v>-13331</v>
      </c>
      <c r="H40" s="172">
        <f>'ADJ DETAIL INPUT'!Y39</f>
        <v>736</v>
      </c>
      <c r="I40" s="172">
        <f>J40-H40</f>
        <v>10.701000000000022</v>
      </c>
      <c r="J40" s="172">
        <f>'ADJ DETAIL INPUT'!AW39</f>
        <v>746.70100000000002</v>
      </c>
      <c r="K40" s="172"/>
      <c r="L40" s="172">
        <f>J40+K40</f>
        <v>746.70100000000002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103.28299999999945</v>
      </c>
      <c r="H44" s="172">
        <f>'ADJ DETAIL INPUT'!Y43</f>
        <v>24501.282999999999</v>
      </c>
      <c r="I44" s="172">
        <f>J44-H44</f>
        <v>1811.1669999999976</v>
      </c>
      <c r="J44" s="172">
        <f>'ADJ DETAIL INPUT'!AW43</f>
        <v>26312.449999999997</v>
      </c>
      <c r="K44" s="172">
        <f>CF!I17</f>
        <v>67</v>
      </c>
      <c r="L44" s="172">
        <f>J44+K44</f>
        <v>26379.449999999997</v>
      </c>
    </row>
    <row r="45" spans="1:12">
      <c r="A45" s="79">
        <v>21</v>
      </c>
      <c r="B45" s="1"/>
      <c r="C45" s="3" t="s">
        <v>188</v>
      </c>
      <c r="D45" s="3"/>
      <c r="E45" s="3"/>
      <c r="F45" s="172">
        <f>'ADJ DETAIL INPUT'!E44</f>
        <v>12802</v>
      </c>
      <c r="G45" s="172">
        <f>H45-F45</f>
        <v>0</v>
      </c>
      <c r="H45" s="172">
        <f>'ADJ DETAIL INPUT'!Y44</f>
        <v>12802</v>
      </c>
      <c r="I45" s="172">
        <f>J45-H45</f>
        <v>2713.2999999999993</v>
      </c>
      <c r="J45" s="172">
        <f>'ADJ DETAIL INPUT'!AW44</f>
        <v>15515.3</v>
      </c>
      <c r="K45" s="172"/>
      <c r="L45" s="172">
        <f>J45+K45</f>
        <v>15515.3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104.28299999999945</v>
      </c>
      <c r="H48" s="177">
        <f t="shared" ref="H48" si="11">SUM(H44:H47)</f>
        <v>40048.282999999996</v>
      </c>
      <c r="I48" s="177">
        <f t="shared" ref="I48:L48" si="12">SUM(I44:I47)</f>
        <v>2737.4669999999969</v>
      </c>
      <c r="J48" s="177">
        <f t="shared" si="12"/>
        <v>42785.75</v>
      </c>
      <c r="K48" s="177">
        <f t="shared" si="12"/>
        <v>67</v>
      </c>
      <c r="L48" s="177">
        <f t="shared" si="12"/>
        <v>42852.75</v>
      </c>
    </row>
    <row r="49" spans="1:17">
      <c r="A49" s="79">
        <v>25</v>
      </c>
      <c r="B49" s="1" t="s">
        <v>52</v>
      </c>
      <c r="C49" s="3"/>
      <c r="D49" s="3"/>
      <c r="E49" s="3"/>
      <c r="F49" s="174">
        <f t="shared" ref="F49:L49" si="13">F48+F37+F31+F25+F39+F40+F41</f>
        <v>260577</v>
      </c>
      <c r="G49" s="174">
        <f t="shared" si="13"/>
        <v>-80112.717000000004</v>
      </c>
      <c r="H49" s="174">
        <f t="shared" si="13"/>
        <v>180464.283</v>
      </c>
      <c r="I49" s="174">
        <f t="shared" si="13"/>
        <v>-87884.174999999988</v>
      </c>
      <c r="J49" s="174">
        <f t="shared" si="13"/>
        <v>92580.108000000022</v>
      </c>
      <c r="K49" s="174">
        <f t="shared" si="13"/>
        <v>794</v>
      </c>
      <c r="L49" s="174">
        <f t="shared" si="13"/>
        <v>93374.108000000022</v>
      </c>
    </row>
    <row r="50" spans="1:17" ht="8.25" customHeight="1">
      <c r="A50" s="79"/>
      <c r="B50" s="1"/>
      <c r="C50" s="3"/>
      <c r="D50" s="3"/>
      <c r="E50" s="3"/>
      <c r="F50" s="172"/>
      <c r="G50" s="172"/>
      <c r="H50" s="172"/>
      <c r="I50" s="172"/>
      <c r="J50" s="172"/>
      <c r="K50" s="172"/>
      <c r="L50" s="172"/>
    </row>
    <row r="51" spans="1:17">
      <c r="A51" s="79">
        <v>26</v>
      </c>
      <c r="B51" s="1" t="s">
        <v>53</v>
      </c>
      <c r="C51" s="3"/>
      <c r="D51" s="3"/>
      <c r="E51" s="3"/>
      <c r="F51" s="172">
        <f t="shared" ref="F51:L51" si="14">F18-F49</f>
        <v>28262</v>
      </c>
      <c r="G51" s="172">
        <f t="shared" si="14"/>
        <v>10789.717000000004</v>
      </c>
      <c r="H51" s="172">
        <f t="shared" si="14"/>
        <v>39051.717000000004</v>
      </c>
      <c r="I51" s="172">
        <f t="shared" si="14"/>
        <v>-4023.8250000000116</v>
      </c>
      <c r="J51" s="172">
        <f t="shared" si="14"/>
        <v>35027.891999999978</v>
      </c>
      <c r="K51" s="172">
        <f t="shared" si="14"/>
        <v>16008</v>
      </c>
      <c r="L51" s="172">
        <f t="shared" si="14"/>
        <v>51035.891999999978</v>
      </c>
    </row>
    <row r="52" spans="1:17" ht="6.75" customHeight="1">
      <c r="A52" s="79"/>
      <c r="B52" s="1"/>
      <c r="C52" s="3"/>
      <c r="D52" s="3"/>
      <c r="E52" s="3"/>
      <c r="F52" s="172"/>
      <c r="G52" s="172"/>
      <c r="H52" s="172"/>
      <c r="I52" s="172"/>
      <c r="J52" s="172"/>
      <c r="K52" s="172"/>
      <c r="L52" s="172"/>
    </row>
    <row r="53" spans="1:17">
      <c r="A53" s="79"/>
      <c r="B53" s="1" t="s">
        <v>54</v>
      </c>
      <c r="C53" s="3"/>
      <c r="D53" s="3"/>
      <c r="E53" s="3"/>
      <c r="F53" s="172"/>
      <c r="G53" s="172"/>
      <c r="H53" s="172"/>
      <c r="I53" s="172"/>
      <c r="J53" s="172"/>
      <c r="K53" s="172"/>
      <c r="L53" s="172"/>
    </row>
    <row r="54" spans="1:17">
      <c r="A54" s="79">
        <v>27</v>
      </c>
      <c r="B54" s="1"/>
      <c r="C54" s="3" t="s">
        <v>55</v>
      </c>
      <c r="D54" s="3"/>
      <c r="E54" s="3"/>
      <c r="F54" s="172">
        <f>'ADJ DETAIL INPUT'!E53</f>
        <v>-4387</v>
      </c>
      <c r="G54" s="172">
        <f>H54-F54</f>
        <v>2322.8405700000012</v>
      </c>
      <c r="H54" s="172">
        <f>'ADJ DETAIL INPUT'!Y53</f>
        <v>-2064.1594299999988</v>
      </c>
      <c r="I54" s="172">
        <f>J54-H54</f>
        <v>-845.00325000000021</v>
      </c>
      <c r="J54" s="172">
        <f>'ADJ DETAIL INPUT'!AW53</f>
        <v>-2909.162679999999</v>
      </c>
      <c r="K54" s="172">
        <f>CF!I25</f>
        <v>3362</v>
      </c>
      <c r="L54" s="172">
        <f>J54+K54</f>
        <v>452.837320000001</v>
      </c>
      <c r="Q54" s="57"/>
    </row>
    <row r="55" spans="1:17">
      <c r="A55" s="79">
        <v>28</v>
      </c>
      <c r="B55" s="1"/>
      <c r="C55" s="118" t="s">
        <v>170</v>
      </c>
      <c r="D55" s="3"/>
      <c r="E55" s="3"/>
      <c r="F55" s="172">
        <f>'ADJ DETAIL INPUT'!E54</f>
        <v>0</v>
      </c>
      <c r="G55" s="172">
        <f>H55-F55</f>
        <v>-66.518024999999994</v>
      </c>
      <c r="H55" s="172">
        <f>'ADJ DETAIL INPUT'!Y54</f>
        <v>-66.518024999999994</v>
      </c>
      <c r="I55" s="172">
        <f>J55-H55</f>
        <v>-244.23529830000004</v>
      </c>
      <c r="J55" s="172">
        <f>'ADJ DETAIL INPUT'!AW54</f>
        <v>-310.75332330000003</v>
      </c>
      <c r="K55" s="172"/>
      <c r="L55" s="172">
        <f>J55+K55</f>
        <v>-310.75332330000003</v>
      </c>
    </row>
    <row r="56" spans="1:17">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7">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7" ht="6" customHeight="1">
      <c r="A58" s="79"/>
      <c r="B58" s="1"/>
      <c r="C58" s="1"/>
      <c r="D58" s="1"/>
      <c r="E58" s="1"/>
      <c r="F58" s="172"/>
      <c r="G58" s="172"/>
      <c r="H58" s="172"/>
      <c r="I58" s="172"/>
      <c r="J58" s="172"/>
      <c r="K58" s="178"/>
      <c r="L58" s="172"/>
    </row>
    <row r="59" spans="1:17" ht="13.5" thickBot="1">
      <c r="A59" s="79">
        <v>31</v>
      </c>
      <c r="B59" s="2" t="s">
        <v>58</v>
      </c>
      <c r="C59" s="2"/>
      <c r="D59" s="2"/>
      <c r="E59" s="2"/>
      <c r="F59" s="179">
        <f t="shared" ref="F59:L59" si="15">F51-SUM(F54:F57)</f>
        <v>36392</v>
      </c>
      <c r="G59" s="179">
        <f t="shared" si="15"/>
        <v>-991.60554499999671</v>
      </c>
      <c r="H59" s="179">
        <f t="shared" si="15"/>
        <v>35400.394455000001</v>
      </c>
      <c r="I59" s="179">
        <f t="shared" si="15"/>
        <v>-3070.5864517000114</v>
      </c>
      <c r="J59" s="179">
        <f t="shared" si="15"/>
        <v>32329.808003299979</v>
      </c>
      <c r="K59" s="179">
        <f t="shared" si="15"/>
        <v>12646</v>
      </c>
      <c r="L59" s="179">
        <f t="shared" si="15"/>
        <v>44975.808003299979</v>
      </c>
    </row>
    <row r="60" spans="1:17" ht="7.5" customHeight="1" thickTop="1">
      <c r="A60" s="79"/>
      <c r="B60" s="1"/>
      <c r="C60" s="1"/>
      <c r="D60" s="1"/>
      <c r="E60" s="1"/>
      <c r="F60" s="172"/>
      <c r="G60" s="172"/>
      <c r="H60" s="172"/>
      <c r="I60" s="172"/>
      <c r="J60" s="172"/>
      <c r="K60" s="172"/>
      <c r="L60" s="172"/>
    </row>
    <row r="61" spans="1:17" hidden="1">
      <c r="A61" s="79"/>
      <c r="B61" s="1"/>
      <c r="C61" s="1"/>
      <c r="D61" s="1"/>
      <c r="E61" s="1"/>
      <c r="F61" s="172"/>
      <c r="G61" s="172"/>
      <c r="H61" s="172"/>
      <c r="I61" s="172"/>
      <c r="J61" s="172"/>
      <c r="K61" s="172"/>
      <c r="L61" s="172"/>
    </row>
    <row r="62" spans="1:17">
      <c r="A62" s="79"/>
      <c r="B62" s="1" t="s">
        <v>59</v>
      </c>
      <c r="C62" s="1"/>
      <c r="D62" s="1"/>
      <c r="E62" s="1"/>
      <c r="F62" s="172"/>
      <c r="G62" s="172"/>
      <c r="H62" s="172"/>
      <c r="I62" s="172"/>
      <c r="J62" s="172"/>
      <c r="K62" s="172"/>
      <c r="L62" s="172"/>
    </row>
    <row r="63" spans="1:17">
      <c r="A63" s="79">
        <v>32</v>
      </c>
      <c r="B63" s="3"/>
      <c r="C63" s="3" t="s">
        <v>41</v>
      </c>
      <c r="D63" s="3"/>
      <c r="E63" s="3"/>
      <c r="F63" s="172">
        <f>'ADJ DETAIL INPUT'!E62</f>
        <v>34499.699999999997</v>
      </c>
      <c r="G63" s="172">
        <f>H63-F63</f>
        <v>550</v>
      </c>
      <c r="H63" s="172">
        <f>'ADJ DETAIL INPUT'!Y62</f>
        <v>35049.699999999997</v>
      </c>
      <c r="I63" s="172">
        <f>J63-H63</f>
        <v>3073</v>
      </c>
      <c r="J63" s="172">
        <f>'ADJ DETAIL INPUT'!AW62</f>
        <v>38122.699999999997</v>
      </c>
      <c r="K63" s="172"/>
      <c r="L63" s="172">
        <f>J63+K63</f>
        <v>38122.699999999997</v>
      </c>
    </row>
    <row r="64" spans="1:17">
      <c r="A64" s="79">
        <v>33</v>
      </c>
      <c r="B64" s="3"/>
      <c r="C64" s="3" t="s">
        <v>60</v>
      </c>
      <c r="D64" s="3"/>
      <c r="E64" s="3"/>
      <c r="F64" s="172">
        <f>'ADJ DETAIL INPUT'!E63</f>
        <v>650522.69999999995</v>
      </c>
      <c r="G64" s="172">
        <f>H64-F64</f>
        <v>21260</v>
      </c>
      <c r="H64" s="172">
        <f>'ADJ DETAIL INPUT'!Y63</f>
        <v>671782.7</v>
      </c>
      <c r="I64" s="172">
        <f>J64-H64</f>
        <v>75212</v>
      </c>
      <c r="J64" s="172">
        <f>'ADJ DETAIL INPUT'!AW63</f>
        <v>746994.7</v>
      </c>
      <c r="K64" s="172"/>
      <c r="L64" s="172">
        <f>J64+K64</f>
        <v>746994.7</v>
      </c>
    </row>
    <row r="65" spans="1:12">
      <c r="A65" s="79">
        <v>34</v>
      </c>
      <c r="B65" s="3"/>
      <c r="C65" s="3" t="s">
        <v>61</v>
      </c>
      <c r="D65" s="3"/>
      <c r="E65" s="3"/>
      <c r="F65" s="174">
        <f>'ADJ DETAIL INPUT'!E64</f>
        <v>161473</v>
      </c>
      <c r="G65" s="174">
        <f>H65-F65</f>
        <v>2797</v>
      </c>
      <c r="H65" s="174">
        <f>'ADJ DETAIL INPUT'!Y64</f>
        <v>164270</v>
      </c>
      <c r="I65" s="174">
        <f>J65-H65</f>
        <v>7822</v>
      </c>
      <c r="J65" s="174">
        <f>'ADJ DETAIL INPUT'!AW64</f>
        <v>172092</v>
      </c>
      <c r="K65" s="174"/>
      <c r="L65" s="174">
        <f>J65+K65</f>
        <v>172092</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86107</v>
      </c>
      <c r="J66" s="180">
        <f t="shared" si="18"/>
        <v>957209.39999999991</v>
      </c>
      <c r="K66" s="180">
        <f t="shared" si="18"/>
        <v>0</v>
      </c>
      <c r="L66" s="180">
        <f t="shared" si="18"/>
        <v>957209.39999999991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-1076.7000000000007</v>
      </c>
      <c r="J69" s="172">
        <f>'ADJ DETAIL INPUT'!AW68</f>
        <v>-14483.7</v>
      </c>
      <c r="K69" s="172"/>
      <c r="L69" s="172">
        <f t="shared" ref="L69:L79" si="19">J69+K69</f>
        <v>-14483.7</v>
      </c>
    </row>
    <row r="70" spans="1:12">
      <c r="A70" s="79">
        <v>37</v>
      </c>
      <c r="B70" s="3"/>
      <c r="C70" s="3" t="s">
        <v>60</v>
      </c>
      <c r="D70" s="3"/>
      <c r="E70" s="3"/>
      <c r="F70" s="172">
        <f>'ADJ DETAIL INPUT'!E69</f>
        <v>-188334</v>
      </c>
      <c r="G70" s="172">
        <f>H70-F70</f>
        <v>-7739</v>
      </c>
      <c r="H70" s="172">
        <f>'ADJ DETAIL INPUT'!Y69</f>
        <v>-196073</v>
      </c>
      <c r="I70" s="172">
        <f>J70-H70</f>
        <v>-30351.100000000006</v>
      </c>
      <c r="J70" s="172">
        <f>'ADJ DETAIL INPUT'!AW69</f>
        <v>-226424.1</v>
      </c>
      <c r="K70" s="172"/>
      <c r="L70" s="172">
        <f t="shared" si="19"/>
        <v>-226424.1</v>
      </c>
    </row>
    <row r="71" spans="1:12">
      <c r="A71" s="79">
        <v>38</v>
      </c>
      <c r="B71" s="3"/>
      <c r="C71" s="3" t="s">
        <v>61</v>
      </c>
      <c r="D71" s="3"/>
      <c r="E71" s="3"/>
      <c r="F71" s="174">
        <f>'ADJ DETAIL INPUT'!E70</f>
        <v>-62353</v>
      </c>
      <c r="G71" s="174">
        <f>H71-F71</f>
        <v>-4319</v>
      </c>
      <c r="H71" s="172">
        <f>'ADJ DETAIL INPUT'!Y70</f>
        <v>-66672</v>
      </c>
      <c r="I71" s="174">
        <f>J71-H71</f>
        <v>-6362.3000000000029</v>
      </c>
      <c r="J71" s="172">
        <f>'ADJ DETAIL INPUT'!AW70</f>
        <v>-73034.3</v>
      </c>
      <c r="K71" s="174"/>
      <c r="L71" s="174">
        <f t="shared" si="19"/>
        <v>-73034.3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-37790.100000000006</v>
      </c>
      <c r="J72" s="177">
        <f t="shared" si="22"/>
        <v>-313942.10000000003</v>
      </c>
      <c r="K72" s="177">
        <f t="shared" si="22"/>
        <v>0</v>
      </c>
      <c r="L72" s="177">
        <f t="shared" si="22"/>
        <v>-313942.10000000003</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48316.899999999994</v>
      </c>
      <c r="J73" s="180">
        <f t="shared" si="25"/>
        <v>643267.29999999981</v>
      </c>
      <c r="K73" s="180">
        <f t="shared" si="25"/>
        <v>0</v>
      </c>
      <c r="L73" s="180">
        <f t="shared" si="25"/>
        <v>643267.29999999981</v>
      </c>
    </row>
    <row r="74" spans="1:12">
      <c r="A74" s="4">
        <v>41</v>
      </c>
      <c r="B74" s="5" t="s">
        <v>64</v>
      </c>
      <c r="C74" s="5"/>
      <c r="D74" s="5"/>
      <c r="E74" s="5"/>
      <c r="F74" s="174">
        <f>'ADJ DETAIL INPUT'!E73</f>
        <v>-84772</v>
      </c>
      <c r="G74" s="174">
        <f>H74-F74</f>
        <v>682</v>
      </c>
      <c r="H74" s="174">
        <f>'ADJ DETAIL INPUT'!Y73</f>
        <v>-84090</v>
      </c>
      <c r="I74" s="174">
        <f>J74-H74</f>
        <v>-922</v>
      </c>
      <c r="J74" s="174">
        <f>'ADJ DETAIL INPUT'!AW73</f>
        <v>-85012</v>
      </c>
      <c r="K74" s="174"/>
      <c r="L74" s="174">
        <f>J74+K74</f>
        <v>-85012</v>
      </c>
    </row>
    <row r="75" spans="1:12">
      <c r="A75" s="4">
        <v>42</v>
      </c>
      <c r="B75" s="5"/>
      <c r="C75" s="120" t="s">
        <v>191</v>
      </c>
      <c r="D75" s="5"/>
      <c r="E75" s="5"/>
      <c r="F75" s="172">
        <f>F73+F74</f>
        <v>497887.39999999991</v>
      </c>
      <c r="G75" s="172">
        <f t="shared" ref="G75" si="26">G73+G74</f>
        <v>12973</v>
      </c>
      <c r="H75" s="172">
        <f>H73+H74</f>
        <v>510860.39999999991</v>
      </c>
      <c r="I75" s="172">
        <f t="shared" ref="I75:L75" si="27">I73+I74</f>
        <v>47394.899999999994</v>
      </c>
      <c r="J75" s="172">
        <f>J73+J74</f>
        <v>558255.29999999981</v>
      </c>
      <c r="K75" s="172">
        <f t="shared" si="27"/>
        <v>0</v>
      </c>
      <c r="L75" s="172">
        <f t="shared" si="27"/>
        <v>558255.29999999981</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12325</v>
      </c>
      <c r="H81" s="55">
        <f>H79+H77+H76+H75+H78</f>
        <v>545754.39999999991</v>
      </c>
      <c r="I81" s="55">
        <f>I79+I77+I76+I75+I78</f>
        <v>45253.899999999994</v>
      </c>
      <c r="J81" s="55">
        <f>J79+J77+J76+J75+J78</f>
        <v>591008.29999999981</v>
      </c>
      <c r="K81" s="55">
        <f>K79+K77+K76+K75</f>
        <v>0</v>
      </c>
      <c r="L81" s="55">
        <f>L79+L77+L76+L75+L78</f>
        <v>591008.29999999981</v>
      </c>
    </row>
    <row r="82" spans="1:12" ht="13.5" thickTop="1">
      <c r="A82" s="79">
        <v>48</v>
      </c>
      <c r="B82" s="1" t="s">
        <v>413</v>
      </c>
      <c r="C82" s="1"/>
      <c r="D82" s="1"/>
      <c r="E82" s="1"/>
      <c r="F82" s="219">
        <f>ROUND(F59/F81,4)</f>
        <v>6.8199999999999997E-2</v>
      </c>
      <c r="G82" s="52"/>
      <c r="H82" s="219">
        <f>ROUND(H59/H81,4)</f>
        <v>6.4899999999999999E-2</v>
      </c>
      <c r="I82" s="52"/>
      <c r="J82" s="219">
        <f>ROUND(J59/J81,4)</f>
        <v>5.4699999999999999E-2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H1048576"/>
  <sheetViews>
    <sheetView zoomScaleNormal="100" workbookViewId="0"/>
  </sheetViews>
  <sheetFormatPr defaultColWidth="9.26953125" defaultRowHeight="13"/>
  <cols>
    <col min="1" max="1" width="4.54296875" style="32" customWidth="1"/>
    <col min="2" max="3" width="1.54296875" style="31" customWidth="1"/>
    <col min="4" max="4" width="2.54296875" style="31" customWidth="1"/>
    <col min="5" max="5" width="22.81640625" style="78" customWidth="1"/>
    <col min="6" max="6" width="9.7265625" style="78" customWidth="1"/>
    <col min="7" max="7" width="11.26953125" style="78" bestFit="1" customWidth="1"/>
    <col min="8" max="8" width="9.7265625" style="78" bestFit="1" customWidth="1"/>
    <col min="9" max="10" width="15.1796875" style="78" bestFit="1" customWidth="1"/>
    <col min="11" max="11" width="15.81640625" style="247" bestFit="1" customWidth="1"/>
    <col min="12" max="12" width="9" style="247" customWidth="1"/>
    <col min="13" max="13" width="9.26953125" style="247"/>
    <col min="14" max="14" width="10.26953125" style="247" customWidth="1"/>
    <col min="15" max="15" width="9.26953125" style="247"/>
    <col min="16" max="16" width="11.26953125" style="247" bestFit="1" customWidth="1"/>
    <col min="17" max="16384" width="9.26953125" style="247"/>
  </cols>
  <sheetData>
    <row r="1" spans="1:34" ht="14">
      <c r="A1" s="271" t="str">
        <f>'ROO INPUT 1.00'!A3:C3</f>
        <v>AVISTA UTILITIES</v>
      </c>
      <c r="D1" s="32"/>
      <c r="F1" s="261"/>
      <c r="G1" s="261"/>
    </row>
    <row r="2" spans="1:34" ht="15" customHeight="1">
      <c r="A2" s="271" t="str">
        <f>'ADJ DETAIL INPUT'!A3</f>
        <v>WASHINGTON NATURAL GAS</v>
      </c>
      <c r="D2" s="32"/>
      <c r="G2" s="63"/>
      <c r="H2" s="64"/>
      <c r="I2" s="64"/>
      <c r="J2" s="64"/>
      <c r="K2" s="250"/>
      <c r="L2" s="250"/>
      <c r="M2" s="250"/>
    </row>
    <row r="3" spans="1:34" ht="15" customHeight="1">
      <c r="A3" s="271" t="str">
        <f>'ROO INPUT 1.00'!A5:C5</f>
        <v>TWELVE MONTHS ENDED JUNE 30, 2023</v>
      </c>
      <c r="D3" s="32"/>
      <c r="G3" s="63"/>
      <c r="H3" s="64"/>
      <c r="I3" s="64"/>
      <c r="J3" s="64"/>
      <c r="K3" s="250"/>
      <c r="L3" s="250"/>
      <c r="M3" s="250"/>
    </row>
    <row r="4" spans="1:34" ht="14">
      <c r="A4" s="271" t="str">
        <f>'ROO INPUT 1.00'!A6:C6</f>
        <v xml:space="preserve">(000'S OF DOLLARS)   </v>
      </c>
      <c r="D4" s="32"/>
      <c r="G4" s="399"/>
      <c r="H4" s="399"/>
    </row>
    <row r="5" spans="1:34" ht="14">
      <c r="A5" s="271" t="s">
        <v>644</v>
      </c>
      <c r="D5" s="32"/>
    </row>
    <row r="6" spans="1:34" ht="14">
      <c r="D6" s="32"/>
      <c r="F6" s="3839" t="s">
        <v>550</v>
      </c>
      <c r="G6" s="3840"/>
      <c r="H6" s="3840"/>
      <c r="I6" s="3840"/>
      <c r="J6" s="3840"/>
      <c r="K6" s="3848"/>
      <c r="AC6" s="250"/>
      <c r="AD6" s="250"/>
      <c r="AE6" s="250"/>
      <c r="AF6" s="250"/>
      <c r="AG6" s="250"/>
      <c r="AH6" s="250"/>
    </row>
    <row r="7" spans="1:34">
      <c r="A7" s="33"/>
      <c r="B7" s="33"/>
      <c r="C7" s="34"/>
      <c r="D7" s="34"/>
      <c r="E7" s="33"/>
      <c r="F7" s="437" t="s">
        <v>547</v>
      </c>
      <c r="G7" s="447"/>
      <c r="H7" s="448"/>
      <c r="I7" s="449"/>
      <c r="J7" s="437" t="s">
        <v>555</v>
      </c>
      <c r="K7" s="448"/>
      <c r="O7" s="250"/>
      <c r="X7" s="250"/>
      <c r="Y7" s="250"/>
      <c r="AC7" s="250"/>
      <c r="AD7" s="250"/>
      <c r="AE7" s="250"/>
      <c r="AF7" s="250"/>
      <c r="AG7" s="250"/>
      <c r="AH7" s="250"/>
    </row>
    <row r="8" spans="1:34">
      <c r="A8" s="35"/>
      <c r="B8" s="36"/>
      <c r="C8" s="37"/>
      <c r="D8" s="38"/>
      <c r="E8" s="39"/>
      <c r="F8" s="434" t="s">
        <v>549</v>
      </c>
      <c r="G8" s="434" t="s">
        <v>551</v>
      </c>
      <c r="H8" s="434" t="s">
        <v>551</v>
      </c>
      <c r="I8" s="438" t="s">
        <v>552</v>
      </c>
      <c r="J8" s="438" t="s">
        <v>553</v>
      </c>
      <c r="K8" s="438" t="s">
        <v>554</v>
      </c>
    </row>
    <row r="9" spans="1:34">
      <c r="A9" s="40" t="s">
        <v>6</v>
      </c>
      <c r="B9" s="41"/>
      <c r="C9" s="42"/>
      <c r="D9" s="43"/>
      <c r="E9" s="44"/>
      <c r="F9" s="435" t="s">
        <v>14</v>
      </c>
      <c r="G9" s="435" t="s">
        <v>24</v>
      </c>
      <c r="H9" s="435" t="s">
        <v>14</v>
      </c>
      <c r="I9" s="435" t="s">
        <v>140</v>
      </c>
      <c r="J9" s="435" t="s">
        <v>140</v>
      </c>
      <c r="K9" s="435" t="s">
        <v>139</v>
      </c>
    </row>
    <row r="10" spans="1:34">
      <c r="A10" s="45" t="s">
        <v>15</v>
      </c>
      <c r="B10" s="46"/>
      <c r="C10" s="47"/>
      <c r="D10" s="48"/>
      <c r="E10" s="49" t="s">
        <v>16</v>
      </c>
      <c r="F10" s="436" t="s">
        <v>24</v>
      </c>
      <c r="G10" s="436" t="s">
        <v>116</v>
      </c>
      <c r="H10" s="436" t="s">
        <v>24</v>
      </c>
      <c r="I10" s="436" t="s">
        <v>141</v>
      </c>
      <c r="J10" s="436" t="s">
        <v>141</v>
      </c>
      <c r="K10" s="436" t="s">
        <v>24</v>
      </c>
    </row>
    <row r="11" spans="1:34">
      <c r="A11" s="50"/>
      <c r="B11" s="50"/>
      <c r="C11" s="51"/>
      <c r="D11" s="51"/>
      <c r="E11" s="51" t="s">
        <v>25</v>
      </c>
      <c r="F11" s="16" t="s">
        <v>26</v>
      </c>
      <c r="G11" s="382" t="s">
        <v>27</v>
      </c>
      <c r="H11" s="382" t="s">
        <v>28</v>
      </c>
      <c r="I11" s="16" t="s">
        <v>29</v>
      </c>
      <c r="J11" s="16" t="s">
        <v>30</v>
      </c>
      <c r="K11" s="16" t="s">
        <v>529</v>
      </c>
    </row>
    <row r="12" spans="1:34" ht="3.75" customHeight="1">
      <c r="A12" s="50"/>
      <c r="B12" s="50"/>
      <c r="C12" s="51"/>
      <c r="D12" s="51"/>
      <c r="E12" s="51"/>
      <c r="F12" s="16"/>
      <c r="G12" s="16"/>
      <c r="H12" s="16"/>
      <c r="I12" s="16"/>
      <c r="J12" s="16"/>
      <c r="K12" s="16"/>
    </row>
    <row r="13" spans="1:34" ht="2.25" customHeight="1">
      <c r="A13" s="50"/>
      <c r="B13" s="50"/>
      <c r="C13" s="51"/>
      <c r="D13" s="51"/>
      <c r="E13" s="51"/>
      <c r="F13" s="16"/>
      <c r="G13" s="16"/>
      <c r="H13" s="16"/>
      <c r="I13" s="16"/>
      <c r="J13" s="16"/>
      <c r="K13" s="16"/>
    </row>
    <row r="14" spans="1:34">
      <c r="A14" s="79"/>
      <c r="B14" s="1" t="s">
        <v>31</v>
      </c>
      <c r="C14" s="1"/>
      <c r="D14" s="1"/>
      <c r="E14" s="1"/>
      <c r="F14" s="28"/>
      <c r="G14" s="28"/>
      <c r="K14" s="78"/>
    </row>
    <row r="15" spans="1:34">
      <c r="A15" s="79">
        <v>1</v>
      </c>
      <c r="B15" s="2"/>
      <c r="C15" s="2" t="s">
        <v>32</v>
      </c>
      <c r="D15" s="2"/>
      <c r="E15" s="2"/>
      <c r="F15" s="29">
        <f>'PROPOSED RATES-12.2024'!J15</f>
        <v>121583</v>
      </c>
      <c r="G15" s="29">
        <f>H15-F15</f>
        <v>0</v>
      </c>
      <c r="H15" s="29">
        <f>'ADJ DETAIL INPUT'!BH14</f>
        <v>121583</v>
      </c>
      <c r="I15" s="29">
        <f>CF!I12</f>
        <v>16802</v>
      </c>
      <c r="J15" s="223">
        <f>CF!J12</f>
        <v>4017.1601459644257</v>
      </c>
      <c r="K15" s="29">
        <f>H15+I15+J15</f>
        <v>142402.16014596442</v>
      </c>
    </row>
    <row r="16" spans="1:34">
      <c r="A16" s="79">
        <v>2</v>
      </c>
      <c r="B16" s="1"/>
      <c r="C16" s="3" t="s">
        <v>33</v>
      </c>
      <c r="D16" s="3"/>
      <c r="E16" s="3"/>
      <c r="F16" s="56">
        <f>'PROPOSED RATES-12.2024'!J16</f>
        <v>5393</v>
      </c>
      <c r="G16" s="172">
        <f>H16-F16</f>
        <v>0</v>
      </c>
      <c r="H16" s="172">
        <f>'ADJ DETAIL INPUT'!BH15</f>
        <v>5393</v>
      </c>
      <c r="I16" s="172"/>
      <c r="J16" s="172"/>
      <c r="K16" s="56">
        <f>H16+I16+J16</f>
        <v>5393</v>
      </c>
    </row>
    <row r="17" spans="1:16">
      <c r="A17" s="79">
        <v>3</v>
      </c>
      <c r="B17" s="1"/>
      <c r="C17" s="3" t="s">
        <v>34</v>
      </c>
      <c r="D17" s="3"/>
      <c r="E17" s="3"/>
      <c r="F17" s="439">
        <f>'PROPOSED RATES-12.2024'!J17</f>
        <v>632</v>
      </c>
      <c r="G17" s="174">
        <f>H17-F17</f>
        <v>-8</v>
      </c>
      <c r="H17" s="174">
        <f>'ADJ DETAIL INPUT'!BH16</f>
        <v>624</v>
      </c>
      <c r="I17" s="174"/>
      <c r="J17" s="174"/>
      <c r="K17" s="439">
        <f>H17+I17+J17</f>
        <v>624</v>
      </c>
    </row>
    <row r="18" spans="1:16">
      <c r="A18" s="79">
        <v>4</v>
      </c>
      <c r="B18" s="1" t="s">
        <v>35</v>
      </c>
      <c r="C18" s="3"/>
      <c r="D18" s="3"/>
      <c r="E18" s="3"/>
      <c r="F18" s="172">
        <f>SUM(F15:F17)</f>
        <v>127608</v>
      </c>
      <c r="G18" s="172">
        <f t="shared" ref="G18:K18" si="0">SUM(G15:G17)</f>
        <v>-8</v>
      </c>
      <c r="H18" s="172">
        <f t="shared" si="0"/>
        <v>127600</v>
      </c>
      <c r="I18" s="172">
        <f t="shared" si="0"/>
        <v>16802</v>
      </c>
      <c r="J18" s="172">
        <f t="shared" si="0"/>
        <v>4017.1601459644257</v>
      </c>
      <c r="K18" s="172">
        <f t="shared" si="0"/>
        <v>148419.16014596442</v>
      </c>
      <c r="N18"/>
      <c r="O18"/>
      <c r="P18"/>
    </row>
    <row r="19" spans="1:16" ht="4.5" customHeight="1">
      <c r="A19" s="79"/>
      <c r="B19" s="1"/>
      <c r="C19" s="3"/>
      <c r="D19" s="3"/>
      <c r="E19" s="3"/>
      <c r="F19" s="172"/>
      <c r="G19" s="172"/>
      <c r="H19" s="172"/>
      <c r="I19" s="172"/>
      <c r="J19" s="172"/>
      <c r="K19" s="172"/>
      <c r="N19"/>
      <c r="O19"/>
      <c r="P19"/>
    </row>
    <row r="20" spans="1:16">
      <c r="A20" s="79"/>
      <c r="B20" s="1" t="s">
        <v>36</v>
      </c>
      <c r="C20" s="3"/>
      <c r="D20" s="3"/>
      <c r="E20" s="3"/>
      <c r="F20" s="172"/>
      <c r="G20" s="172"/>
      <c r="H20" s="172"/>
      <c r="I20" s="172"/>
      <c r="J20" s="172"/>
      <c r="K20" s="172"/>
      <c r="N20"/>
      <c r="O20"/>
      <c r="P20"/>
    </row>
    <row r="21" spans="1:16">
      <c r="A21" s="79"/>
      <c r="B21" s="1"/>
      <c r="C21" s="3" t="s">
        <v>203</v>
      </c>
      <c r="D21" s="3"/>
      <c r="E21" s="3"/>
      <c r="F21" s="172"/>
      <c r="G21" s="172"/>
      <c r="H21" s="172"/>
      <c r="I21" s="172"/>
      <c r="J21" s="172"/>
      <c r="K21" s="172"/>
      <c r="N21"/>
      <c r="O21"/>
      <c r="P21"/>
    </row>
    <row r="22" spans="1:16">
      <c r="A22" s="79">
        <v>5</v>
      </c>
      <c r="B22" s="1"/>
      <c r="C22" s="3"/>
      <c r="D22" s="3" t="s">
        <v>37</v>
      </c>
      <c r="E22" s="3"/>
      <c r="F22" s="56">
        <f>'PROPOSED RATES-12.2024'!J22</f>
        <v>0</v>
      </c>
      <c r="G22" s="172">
        <f>H22-F22</f>
        <v>0</v>
      </c>
      <c r="H22" s="172">
        <f>'ADJ DETAIL INPUT'!BH21</f>
        <v>0</v>
      </c>
      <c r="I22" s="172"/>
      <c r="J22" s="172"/>
      <c r="K22" s="56">
        <f t="shared" ref="K22:K23" si="1">H22+I22+J22</f>
        <v>0</v>
      </c>
      <c r="N22"/>
      <c r="O22"/>
      <c r="P22"/>
    </row>
    <row r="23" spans="1:16">
      <c r="A23" s="79">
        <v>6</v>
      </c>
      <c r="B23" s="1"/>
      <c r="C23" s="3"/>
      <c r="D23" s="3" t="s">
        <v>38</v>
      </c>
      <c r="E23" s="3"/>
      <c r="F23" s="56">
        <f>'PROPOSED RATES-12.2024'!J23</f>
        <v>943.52</v>
      </c>
      <c r="G23" s="172">
        <f>H23-F23</f>
        <v>23.903999999999996</v>
      </c>
      <c r="H23" s="172">
        <f>'ADJ DETAIL INPUT'!BH22</f>
        <v>967.42399999999998</v>
      </c>
      <c r="I23" s="172"/>
      <c r="J23" s="172"/>
      <c r="K23" s="56">
        <f t="shared" si="1"/>
        <v>967.42399999999998</v>
      </c>
      <c r="N23"/>
      <c r="O23"/>
      <c r="P23"/>
    </row>
    <row r="24" spans="1:16">
      <c r="A24" s="79">
        <v>7</v>
      </c>
      <c r="B24" s="1"/>
      <c r="C24" s="3"/>
      <c r="D24" s="3" t="s">
        <v>39</v>
      </c>
      <c r="E24" s="3"/>
      <c r="F24" s="439">
        <f>'PROPOSED RATES-12.2024'!J24</f>
        <v>0</v>
      </c>
      <c r="G24" s="174">
        <f>H24-F24</f>
        <v>0</v>
      </c>
      <c r="H24" s="174">
        <f>'ADJ DETAIL INPUT'!BH23</f>
        <v>0</v>
      </c>
      <c r="I24" s="174"/>
      <c r="J24" s="174"/>
      <c r="K24" s="439">
        <f>H24+I24+J24</f>
        <v>0</v>
      </c>
      <c r="N24"/>
      <c r="O24"/>
      <c r="P24"/>
    </row>
    <row r="25" spans="1:16">
      <c r="A25" s="79">
        <v>8</v>
      </c>
      <c r="B25" s="1"/>
      <c r="C25" s="3"/>
      <c r="D25" s="3"/>
      <c r="E25" s="3" t="s">
        <v>40</v>
      </c>
      <c r="F25" s="172">
        <f>SUM(F22:F24)</f>
        <v>943.52</v>
      </c>
      <c r="G25" s="172">
        <f t="shared" ref="G25:K25" si="2">SUM(G22:G24)</f>
        <v>23.903999999999996</v>
      </c>
      <c r="H25" s="172">
        <f t="shared" si="2"/>
        <v>967.42399999999998</v>
      </c>
      <c r="I25" s="172">
        <f t="shared" si="2"/>
        <v>0</v>
      </c>
      <c r="J25" s="172">
        <f t="shared" si="2"/>
        <v>0</v>
      </c>
      <c r="K25" s="172">
        <f t="shared" si="2"/>
        <v>967.42399999999998</v>
      </c>
      <c r="N25"/>
      <c r="O25"/>
      <c r="P25"/>
    </row>
    <row r="26" spans="1:16" ht="5.25" customHeight="1">
      <c r="A26" s="79"/>
      <c r="B26" s="1"/>
      <c r="C26" s="3"/>
      <c r="D26" s="3"/>
      <c r="E26" s="3"/>
      <c r="F26" s="172"/>
      <c r="G26" s="172"/>
      <c r="H26" s="173"/>
      <c r="I26" s="173"/>
      <c r="J26" s="172"/>
      <c r="K26" s="172"/>
      <c r="N26"/>
      <c r="O26"/>
      <c r="P26"/>
    </row>
    <row r="27" spans="1:16">
      <c r="A27" s="79"/>
      <c r="B27" s="1"/>
      <c r="C27" s="3" t="s">
        <v>41</v>
      </c>
      <c r="D27" s="3"/>
      <c r="E27" s="3"/>
      <c r="F27" s="172"/>
      <c r="G27" s="172"/>
      <c r="H27" s="172"/>
      <c r="I27" s="172"/>
      <c r="J27" s="172"/>
      <c r="K27" s="172"/>
      <c r="N27"/>
      <c r="O27"/>
      <c r="P27"/>
    </row>
    <row r="28" spans="1:16">
      <c r="A28" s="79">
        <v>9</v>
      </c>
      <c r="B28" s="1"/>
      <c r="C28" s="3"/>
      <c r="D28" s="3" t="s">
        <v>42</v>
      </c>
      <c r="E28" s="3"/>
      <c r="F28" s="56">
        <f>'PROPOSED RATES-12.2024'!J28</f>
        <v>2028.9720000000002</v>
      </c>
      <c r="G28" s="172">
        <f>H28-F28</f>
        <v>48.309000000000196</v>
      </c>
      <c r="H28" s="172">
        <f>'ADJ DETAIL INPUT'!BH27</f>
        <v>2077.2810000000004</v>
      </c>
      <c r="I28" s="172"/>
      <c r="J28" s="172"/>
      <c r="K28" s="56">
        <f t="shared" ref="K28:K29" si="3">H28+I28+J28</f>
        <v>2077.2810000000004</v>
      </c>
      <c r="N28"/>
      <c r="O28"/>
      <c r="P28"/>
    </row>
    <row r="29" spans="1:16">
      <c r="A29" s="79">
        <v>10</v>
      </c>
      <c r="B29" s="1"/>
      <c r="C29" s="3"/>
      <c r="D29" s="3" t="s">
        <v>43</v>
      </c>
      <c r="E29" s="3"/>
      <c r="F29" s="56">
        <f>'PROPOSED RATES-12.2024'!J29</f>
        <v>561.20000000000005</v>
      </c>
      <c r="G29" s="172">
        <f>H29-F29</f>
        <v>23</v>
      </c>
      <c r="H29" s="172">
        <f>'ADJ DETAIL INPUT'!BH28</f>
        <v>584.20000000000005</v>
      </c>
      <c r="I29" s="172"/>
      <c r="J29" s="172"/>
      <c r="K29" s="56">
        <f t="shared" si="3"/>
        <v>584.20000000000005</v>
      </c>
      <c r="N29"/>
      <c r="O29"/>
      <c r="P29"/>
    </row>
    <row r="30" spans="1:16">
      <c r="A30" s="201">
        <v>11</v>
      </c>
      <c r="B30" s="1"/>
      <c r="C30" s="3"/>
      <c r="D30" s="3" t="s">
        <v>20</v>
      </c>
      <c r="E30" s="3"/>
      <c r="F30" s="439">
        <f>'PROPOSED RATES-12.2024'!J30</f>
        <v>245</v>
      </c>
      <c r="G30" s="174">
        <f>H30-F30</f>
        <v>2</v>
      </c>
      <c r="H30" s="174">
        <f>'ADJ DETAIL INPUT'!BH29</f>
        <v>247</v>
      </c>
      <c r="I30" s="174"/>
      <c r="J30" s="174"/>
      <c r="K30" s="439">
        <f>H30+I30+J30</f>
        <v>247</v>
      </c>
      <c r="N30"/>
      <c r="O30"/>
      <c r="P30"/>
    </row>
    <row r="31" spans="1:16">
      <c r="A31" s="79">
        <v>12</v>
      </c>
      <c r="B31" s="1"/>
      <c r="C31" s="3"/>
      <c r="D31" s="3"/>
      <c r="E31" s="3" t="s">
        <v>44</v>
      </c>
      <c r="F31" s="172">
        <f t="shared" ref="F31:K31" si="4">SUM(F28:F30)</f>
        <v>2835.1720000000005</v>
      </c>
      <c r="G31" s="172">
        <f t="shared" si="4"/>
        <v>73.309000000000196</v>
      </c>
      <c r="H31" s="172">
        <f t="shared" si="4"/>
        <v>2908.4810000000007</v>
      </c>
      <c r="I31" s="172">
        <f t="shared" si="4"/>
        <v>0</v>
      </c>
      <c r="J31" s="172">
        <f t="shared" si="4"/>
        <v>0</v>
      </c>
      <c r="K31" s="172">
        <f t="shared" si="4"/>
        <v>2908.4810000000007</v>
      </c>
      <c r="N31"/>
      <c r="O31"/>
      <c r="P31"/>
    </row>
    <row r="32" spans="1:16" ht="3" customHeight="1">
      <c r="A32" s="79"/>
      <c r="B32" s="1"/>
      <c r="C32" s="3"/>
      <c r="D32" s="3"/>
      <c r="E32" s="3"/>
      <c r="F32" s="172"/>
      <c r="G32" s="172"/>
      <c r="H32" s="173"/>
      <c r="I32" s="173"/>
      <c r="J32" s="172"/>
      <c r="K32" s="172"/>
      <c r="N32"/>
      <c r="O32"/>
      <c r="P32"/>
    </row>
    <row r="33" spans="1:16">
      <c r="A33" s="79"/>
      <c r="B33" s="1"/>
      <c r="C33" s="3" t="s">
        <v>45</v>
      </c>
      <c r="D33" s="3"/>
      <c r="E33" s="3"/>
      <c r="F33" s="172"/>
      <c r="G33" s="172"/>
      <c r="H33" s="172"/>
      <c r="I33" s="172"/>
      <c r="J33" s="172"/>
      <c r="K33" s="172"/>
      <c r="N33"/>
      <c r="O33"/>
      <c r="P33"/>
    </row>
    <row r="34" spans="1:16">
      <c r="A34" s="79">
        <v>13</v>
      </c>
      <c r="B34" s="1"/>
      <c r="C34" s="3"/>
      <c r="D34" s="3" t="s">
        <v>42</v>
      </c>
      <c r="E34" s="3"/>
      <c r="F34" s="56">
        <f>'PROPOSED RATES-12.2024'!J34</f>
        <v>13076.319000000001</v>
      </c>
      <c r="G34" s="172">
        <f>H34-F34</f>
        <v>263.12199999999939</v>
      </c>
      <c r="H34" s="172">
        <f>'ADJ DETAIL INPUT'!BH33</f>
        <v>13339.441000000001</v>
      </c>
      <c r="I34" s="172"/>
      <c r="J34" s="172"/>
      <c r="K34" s="56">
        <f t="shared" ref="K34:K35" si="5">H34+I34+J34</f>
        <v>13339.441000000001</v>
      </c>
      <c r="N34"/>
      <c r="O34"/>
      <c r="P34"/>
    </row>
    <row r="35" spans="1:16">
      <c r="A35" s="79">
        <v>14</v>
      </c>
      <c r="B35" s="1"/>
      <c r="C35" s="3"/>
      <c r="D35" s="3" t="s">
        <v>43</v>
      </c>
      <c r="E35" s="3"/>
      <c r="F35" s="56">
        <f>'PROPOSED RATES-12.2024'!J35</f>
        <v>18563.3</v>
      </c>
      <c r="G35" s="172">
        <f>H35-F35</f>
        <v>823</v>
      </c>
      <c r="H35" s="172">
        <f>'ADJ DETAIL INPUT'!BH34</f>
        <v>19386.3</v>
      </c>
      <c r="I35" s="172"/>
      <c r="J35" s="172"/>
      <c r="K35" s="56">
        <f t="shared" si="5"/>
        <v>19386.3</v>
      </c>
      <c r="N35"/>
      <c r="O35"/>
      <c r="P35"/>
    </row>
    <row r="36" spans="1:16">
      <c r="A36" s="79">
        <v>15</v>
      </c>
      <c r="B36" s="1"/>
      <c r="C36" s="3"/>
      <c r="D36" s="3" t="s">
        <v>20</v>
      </c>
      <c r="E36" s="3"/>
      <c r="F36" s="439">
        <f>'PROPOSED RATES-12.2024'!J36</f>
        <v>8930</v>
      </c>
      <c r="G36" s="174">
        <f>H36-F36</f>
        <v>27</v>
      </c>
      <c r="H36" s="174">
        <f>'ADJ DETAIL INPUT'!BH35</f>
        <v>8957</v>
      </c>
      <c r="I36" s="174">
        <f>CF!I19</f>
        <v>644</v>
      </c>
      <c r="J36" s="174">
        <f>CF!J19</f>
        <v>154</v>
      </c>
      <c r="K36" s="439">
        <f>H36+I36+J36</f>
        <v>9755</v>
      </c>
    </row>
    <row r="37" spans="1:16">
      <c r="A37" s="79">
        <v>16</v>
      </c>
      <c r="B37" s="1"/>
      <c r="C37" s="3"/>
      <c r="D37" s="3"/>
      <c r="E37" s="3" t="s">
        <v>46</v>
      </c>
      <c r="F37" s="172">
        <f>SUM(F34:F36)</f>
        <v>40569.618999999999</v>
      </c>
      <c r="G37" s="172">
        <f t="shared" ref="G37:K37" si="6">SUM(G34:G36)</f>
        <v>1113.1219999999994</v>
      </c>
      <c r="H37" s="172">
        <f t="shared" si="6"/>
        <v>41682.741000000002</v>
      </c>
      <c r="I37" s="172">
        <f t="shared" si="6"/>
        <v>644</v>
      </c>
      <c r="J37" s="172">
        <f t="shared" si="6"/>
        <v>154</v>
      </c>
      <c r="K37" s="172">
        <f t="shared" si="6"/>
        <v>42480.741000000002</v>
      </c>
    </row>
    <row r="38" spans="1:16" ht="5.25" customHeight="1">
      <c r="A38" s="79"/>
      <c r="B38" s="1"/>
      <c r="C38" s="3"/>
      <c r="D38" s="3"/>
      <c r="E38" s="3"/>
      <c r="F38" s="172"/>
      <c r="G38" s="172"/>
      <c r="H38" s="172"/>
      <c r="I38" s="172"/>
      <c r="J38" s="172"/>
      <c r="K38" s="172"/>
    </row>
    <row r="39" spans="1:16">
      <c r="A39" s="79">
        <v>17</v>
      </c>
      <c r="B39" s="1" t="s">
        <v>47</v>
      </c>
      <c r="C39" s="3"/>
      <c r="D39" s="3"/>
      <c r="E39" s="3"/>
      <c r="F39" s="56">
        <f>'PROPOSED RATES-12.2024'!J39</f>
        <v>4699.3459999999995</v>
      </c>
      <c r="G39" s="172">
        <f>H39-F39</f>
        <v>128.4980000000005</v>
      </c>
      <c r="H39" s="172">
        <f>'ADJ DETAIL INPUT'!BH38</f>
        <v>4827.8440000000001</v>
      </c>
      <c r="I39" s="172">
        <f>CF!I15</f>
        <v>83</v>
      </c>
      <c r="J39" s="172">
        <f>CF!J15</f>
        <v>20</v>
      </c>
      <c r="K39" s="56">
        <f t="shared" ref="K39:K41" si="7">H39+I39+J39</f>
        <v>4930.8440000000001</v>
      </c>
    </row>
    <row r="40" spans="1:16">
      <c r="A40" s="79">
        <v>18</v>
      </c>
      <c r="B40" s="1" t="s">
        <v>48</v>
      </c>
      <c r="C40" s="3"/>
      <c r="D40" s="3"/>
      <c r="E40" s="3"/>
      <c r="F40" s="56">
        <f>'PROPOSED RATES-12.2024'!J40</f>
        <v>746.70100000000002</v>
      </c>
      <c r="G40" s="172">
        <f>H40-F40</f>
        <v>17.564000000000078</v>
      </c>
      <c r="H40" s="172">
        <f>'ADJ DETAIL INPUT'!BH39</f>
        <v>764.2650000000001</v>
      </c>
      <c r="I40" s="172"/>
      <c r="J40" s="172"/>
      <c r="K40" s="56">
        <f t="shared" si="7"/>
        <v>764.2650000000001</v>
      </c>
    </row>
    <row r="41" spans="1:16">
      <c r="A41" s="79">
        <v>19</v>
      </c>
      <c r="B41" s="1" t="s">
        <v>49</v>
      </c>
      <c r="C41" s="3"/>
      <c r="D41" s="3"/>
      <c r="E41" s="3"/>
      <c r="F41" s="56">
        <f>'PROPOSED RATES-12.2024'!J41</f>
        <v>0</v>
      </c>
      <c r="G41" s="172">
        <f>H41-F41</f>
        <v>0</v>
      </c>
      <c r="H41" s="172">
        <f>'ADJ DETAIL INPUT'!BH40</f>
        <v>0</v>
      </c>
      <c r="I41" s="172"/>
      <c r="J41" s="172"/>
      <c r="K41" s="56">
        <f t="shared" si="7"/>
        <v>0</v>
      </c>
    </row>
    <row r="42" spans="1:16" ht="4.5" customHeight="1">
      <c r="A42" s="79"/>
      <c r="B42" s="1"/>
      <c r="C42" s="3"/>
      <c r="D42" s="3"/>
      <c r="E42" s="3"/>
      <c r="F42" s="172"/>
      <c r="G42" s="172"/>
      <c r="H42" s="176"/>
      <c r="I42" s="176"/>
      <c r="J42" s="172"/>
      <c r="K42" s="172"/>
    </row>
    <row r="43" spans="1:16">
      <c r="A43" s="79"/>
      <c r="B43" s="1" t="s">
        <v>50</v>
      </c>
      <c r="C43" s="3"/>
      <c r="D43" s="3"/>
      <c r="E43" s="3"/>
      <c r="F43" s="172"/>
      <c r="G43" s="172"/>
      <c r="H43" s="172"/>
      <c r="I43" s="172"/>
      <c r="J43" s="172"/>
      <c r="K43" s="172"/>
    </row>
    <row r="44" spans="1:16">
      <c r="A44" s="79">
        <v>20</v>
      </c>
      <c r="B44" s="1"/>
      <c r="C44" s="3" t="s">
        <v>42</v>
      </c>
      <c r="D44" s="3"/>
      <c r="E44" s="3"/>
      <c r="F44" s="56">
        <f>'PROPOSED RATES-12.2024'!J44</f>
        <v>26312.449999999997</v>
      </c>
      <c r="G44" s="172">
        <f>H44-F44</f>
        <v>133.38500000000204</v>
      </c>
      <c r="H44" s="172">
        <f>'ADJ DETAIL INPUT'!BH43</f>
        <v>26445.834999999999</v>
      </c>
      <c r="I44" s="172">
        <f>CF!I17</f>
        <v>67</v>
      </c>
      <c r="J44" s="172">
        <f>CF!J17</f>
        <v>16</v>
      </c>
      <c r="K44" s="56">
        <f t="shared" ref="K44:K46" si="8">H44+I44+J44</f>
        <v>26528.834999999999</v>
      </c>
    </row>
    <row r="45" spans="1:16">
      <c r="A45" s="79">
        <v>21</v>
      </c>
      <c r="B45" s="1"/>
      <c r="C45" s="3" t="s">
        <v>188</v>
      </c>
      <c r="D45" s="3"/>
      <c r="E45" s="3"/>
      <c r="F45" s="56">
        <f>'PROPOSED RATES-12.2024'!J45</f>
        <v>15515.3</v>
      </c>
      <c r="G45" s="172">
        <f>H45-F45</f>
        <v>878</v>
      </c>
      <c r="H45" s="172">
        <f>'ADJ DETAIL INPUT'!BH44</f>
        <v>16393.3</v>
      </c>
      <c r="I45" s="172"/>
      <c r="J45" s="172"/>
      <c r="K45" s="56">
        <f t="shared" si="8"/>
        <v>16393.3</v>
      </c>
    </row>
    <row r="46" spans="1:16">
      <c r="A46" s="79">
        <v>22</v>
      </c>
      <c r="B46" s="1"/>
      <c r="C46" s="7" t="s">
        <v>370</v>
      </c>
      <c r="D46" s="3"/>
      <c r="E46" s="3"/>
      <c r="F46" s="56">
        <f>'PROPOSED RATES-12.2024'!J46</f>
        <v>-174</v>
      </c>
      <c r="G46" s="172">
        <f>H46-F46</f>
        <v>0</v>
      </c>
      <c r="H46" s="172">
        <f>'ADJ DETAIL INPUT'!BH45</f>
        <v>-174</v>
      </c>
      <c r="I46" s="172"/>
      <c r="J46" s="172"/>
      <c r="K46" s="56">
        <f t="shared" si="8"/>
        <v>-174</v>
      </c>
    </row>
    <row r="47" spans="1:16">
      <c r="A47" s="79">
        <v>23</v>
      </c>
      <c r="B47" s="1"/>
      <c r="C47" s="3" t="s">
        <v>20</v>
      </c>
      <c r="D47" s="3"/>
      <c r="E47" s="3"/>
      <c r="F47" s="439">
        <f>'PROPOSED RATES-12.2024'!J47</f>
        <v>1132</v>
      </c>
      <c r="G47" s="174">
        <f>H47-F47</f>
        <v>0</v>
      </c>
      <c r="H47" s="172">
        <f>'ADJ DETAIL INPUT'!BH46</f>
        <v>1132</v>
      </c>
      <c r="I47" s="172"/>
      <c r="J47" s="174"/>
      <c r="K47" s="439">
        <f>H47+I47+J47</f>
        <v>1132</v>
      </c>
    </row>
    <row r="48" spans="1:16">
      <c r="A48" s="79">
        <v>24</v>
      </c>
      <c r="B48" s="1"/>
      <c r="C48" s="3"/>
      <c r="D48" s="3" t="s">
        <v>51</v>
      </c>
      <c r="E48" s="247"/>
      <c r="F48" s="177">
        <f>SUM(F44:F47)</f>
        <v>42785.75</v>
      </c>
      <c r="G48" s="177">
        <f t="shared" ref="G48:K48" si="9">SUM(G44:G47)</f>
        <v>1011.385000000002</v>
      </c>
      <c r="H48" s="177">
        <f t="shared" si="9"/>
        <v>43797.134999999995</v>
      </c>
      <c r="I48" s="177">
        <f t="shared" ref="I48" si="10">SUM(I44:I47)</f>
        <v>67</v>
      </c>
      <c r="J48" s="177">
        <f t="shared" si="9"/>
        <v>16</v>
      </c>
      <c r="K48" s="177">
        <f t="shared" si="9"/>
        <v>43880.134999999995</v>
      </c>
    </row>
    <row r="49" spans="1:16">
      <c r="A49" s="79">
        <v>25</v>
      </c>
      <c r="B49" s="1" t="s">
        <v>52</v>
      </c>
      <c r="C49" s="3"/>
      <c r="D49" s="3"/>
      <c r="E49" s="3"/>
      <c r="F49" s="174">
        <f t="shared" ref="F49:K49" si="11">F48+F37+F31+F25+F39+F40+F41</f>
        <v>92580.108000000022</v>
      </c>
      <c r="G49" s="174">
        <f t="shared" si="11"/>
        <v>2367.782000000002</v>
      </c>
      <c r="H49" s="174">
        <f t="shared" si="11"/>
        <v>94947.889999999985</v>
      </c>
      <c r="I49" s="174">
        <f t="shared" ref="I49" si="12">I48+I37+I31+I25+I39+I40+I41</f>
        <v>794</v>
      </c>
      <c r="J49" s="174">
        <f t="shared" si="11"/>
        <v>190</v>
      </c>
      <c r="K49" s="174">
        <f t="shared" si="11"/>
        <v>95931.889999999985</v>
      </c>
    </row>
    <row r="50" spans="1:16" ht="8.25" customHeight="1">
      <c r="A50" s="79"/>
      <c r="B50" s="1"/>
      <c r="C50" s="3"/>
      <c r="D50" s="3"/>
      <c r="E50" s="3"/>
      <c r="F50" s="172"/>
      <c r="G50" s="172"/>
      <c r="H50" s="172"/>
      <c r="I50" s="172"/>
      <c r="J50" s="172"/>
      <c r="K50" s="172"/>
    </row>
    <row r="51" spans="1:16">
      <c r="A51" s="79">
        <v>26</v>
      </c>
      <c r="B51" s="1" t="s">
        <v>53</v>
      </c>
      <c r="C51" s="3"/>
      <c r="D51" s="3"/>
      <c r="E51" s="3"/>
      <c r="F51" s="172">
        <f t="shared" ref="F51:K51" si="13">F18-F49</f>
        <v>35027.891999999978</v>
      </c>
      <c r="G51" s="172">
        <f t="shared" si="13"/>
        <v>-2375.782000000002</v>
      </c>
      <c r="H51" s="172">
        <f t="shared" si="13"/>
        <v>32652.110000000015</v>
      </c>
      <c r="I51" s="172">
        <f t="shared" si="13"/>
        <v>16008</v>
      </c>
      <c r="J51" s="172">
        <f t="shared" si="13"/>
        <v>3827.1601459644257</v>
      </c>
      <c r="K51" s="172">
        <f t="shared" si="13"/>
        <v>52487.27014596443</v>
      </c>
    </row>
    <row r="52" spans="1:16" ht="6.75" customHeight="1">
      <c r="A52" s="79"/>
      <c r="B52" s="1"/>
      <c r="C52" s="3"/>
      <c r="D52" s="3"/>
      <c r="E52" s="3"/>
      <c r="F52" s="172"/>
      <c r="G52" s="172"/>
      <c r="H52" s="172"/>
      <c r="I52" s="172"/>
      <c r="J52" s="172"/>
      <c r="K52" s="172"/>
    </row>
    <row r="53" spans="1:16">
      <c r="A53" s="79"/>
      <c r="B53" s="1" t="s">
        <v>54</v>
      </c>
      <c r="C53" s="3"/>
      <c r="D53" s="3"/>
      <c r="E53" s="3"/>
      <c r="F53" s="172"/>
      <c r="G53" s="172"/>
      <c r="H53" s="172"/>
      <c r="I53" s="172"/>
      <c r="J53" s="172"/>
      <c r="K53" s="172"/>
    </row>
    <row r="54" spans="1:16">
      <c r="A54" s="79">
        <v>27</v>
      </c>
      <c r="B54" s="1"/>
      <c r="C54" s="3" t="s">
        <v>55</v>
      </c>
      <c r="D54" s="3"/>
      <c r="E54" s="3"/>
      <c r="F54" s="56">
        <f>'PROPOSED RATES-12.2024'!J54</f>
        <v>-2909.162679999999</v>
      </c>
      <c r="G54" s="172">
        <f>H54-F54</f>
        <v>-498.91421999999966</v>
      </c>
      <c r="H54" s="172">
        <f>'ADJ DETAIL INPUT'!BH53</f>
        <v>-3408.0768999999987</v>
      </c>
      <c r="I54" s="172">
        <f>CF!I25</f>
        <v>3362</v>
      </c>
      <c r="J54" s="172">
        <f>CF!J25</f>
        <v>804</v>
      </c>
      <c r="K54" s="56">
        <f t="shared" ref="K54:K56" si="14">H54+I54+J54</f>
        <v>757.92310000000134</v>
      </c>
      <c r="P54" s="57"/>
    </row>
    <row r="55" spans="1:16">
      <c r="A55" s="79">
        <v>28</v>
      </c>
      <c r="B55" s="1"/>
      <c r="C55" s="118" t="s">
        <v>170</v>
      </c>
      <c r="D55" s="3"/>
      <c r="E55" s="3"/>
      <c r="F55" s="56">
        <f>'PROPOSED RATES-12.2024'!J55</f>
        <v>-310.75332330000003</v>
      </c>
      <c r="G55" s="172">
        <f>H55-F55</f>
        <v>-87.603564300000016</v>
      </c>
      <c r="H55" s="172">
        <f>'ADJ DETAIL INPUT'!BH54</f>
        <v>-398.35688760000005</v>
      </c>
      <c r="I55" s="172"/>
      <c r="J55" s="172"/>
      <c r="K55" s="56">
        <f t="shared" si="14"/>
        <v>-398.35688760000005</v>
      </c>
    </row>
    <row r="56" spans="1:16">
      <c r="A56" s="79">
        <v>29</v>
      </c>
      <c r="B56" s="1"/>
      <c r="C56" s="3" t="s">
        <v>56</v>
      </c>
      <c r="D56" s="3"/>
      <c r="E56" s="3"/>
      <c r="F56" s="56">
        <f>'PROPOSED RATES-12.2024'!J56</f>
        <v>-3708</v>
      </c>
      <c r="G56" s="172">
        <f>H56-F56</f>
        <v>0</v>
      </c>
      <c r="H56" s="172">
        <f>'ADJ DETAIL INPUT'!BH55</f>
        <v>-3708</v>
      </c>
      <c r="I56" s="172"/>
      <c r="J56" s="172"/>
      <c r="K56" s="56">
        <f t="shared" si="14"/>
        <v>-3708</v>
      </c>
    </row>
    <row r="57" spans="1:16">
      <c r="A57" s="79">
        <v>30</v>
      </c>
      <c r="B57" s="1"/>
      <c r="C57" s="3" t="s">
        <v>57</v>
      </c>
      <c r="D57" s="3"/>
      <c r="E57" s="3"/>
      <c r="F57" s="439">
        <f>'PROPOSED RATES-12.2024'!J57</f>
        <v>9626</v>
      </c>
      <c r="G57" s="174">
        <f>H57-F57</f>
        <v>0</v>
      </c>
      <c r="H57" s="174">
        <f>'ADJ DETAIL INPUT'!BH56</f>
        <v>9626</v>
      </c>
      <c r="I57" s="174"/>
      <c r="J57" s="174"/>
      <c r="K57" s="439">
        <f>H57+I57+J57</f>
        <v>9626</v>
      </c>
    </row>
    <row r="58" spans="1:16" ht="6" customHeight="1">
      <c r="A58" s="79"/>
      <c r="B58" s="1"/>
      <c r="C58" s="1"/>
      <c r="D58" s="1"/>
      <c r="E58" s="1"/>
      <c r="F58" s="172"/>
      <c r="G58" s="172"/>
      <c r="H58" s="172"/>
      <c r="I58" s="172"/>
      <c r="J58" s="178"/>
      <c r="K58" s="172"/>
    </row>
    <row r="59" spans="1:16" ht="13.5" thickBot="1">
      <c r="A59" s="79">
        <v>31</v>
      </c>
      <c r="B59" s="2" t="s">
        <v>58</v>
      </c>
      <c r="C59" s="2"/>
      <c r="D59" s="2"/>
      <c r="E59" s="2"/>
      <c r="F59" s="179">
        <f t="shared" ref="F59:K59" si="15">F51-SUM(F54:F57)</f>
        <v>32329.808003299979</v>
      </c>
      <c r="G59" s="179">
        <f t="shared" si="15"/>
        <v>-1789.2642157000023</v>
      </c>
      <c r="H59" s="179">
        <f t="shared" si="15"/>
        <v>30540.543787600014</v>
      </c>
      <c r="I59" s="179">
        <f t="shared" si="15"/>
        <v>12646</v>
      </c>
      <c r="J59" s="179">
        <f t="shared" si="15"/>
        <v>3023.1601459644257</v>
      </c>
      <c r="K59" s="179">
        <f t="shared" si="15"/>
        <v>46209.703933564429</v>
      </c>
    </row>
    <row r="60" spans="1:16" ht="7.5" customHeight="1" thickTop="1">
      <c r="A60" s="79"/>
      <c r="B60" s="1"/>
      <c r="C60" s="1"/>
      <c r="D60" s="1"/>
      <c r="E60" s="1"/>
      <c r="F60" s="172"/>
      <c r="G60" s="172"/>
      <c r="H60" s="172"/>
      <c r="I60" s="172"/>
      <c r="J60" s="172"/>
      <c r="K60" s="172"/>
    </row>
    <row r="61" spans="1:16" hidden="1">
      <c r="A61" s="79"/>
      <c r="B61" s="1"/>
      <c r="C61" s="1"/>
      <c r="D61" s="1"/>
      <c r="E61" s="1"/>
      <c r="F61" s="172"/>
      <c r="G61" s="172"/>
      <c r="H61" s="172"/>
      <c r="I61" s="172"/>
      <c r="J61" s="172"/>
      <c r="K61" s="172"/>
    </row>
    <row r="62" spans="1:16">
      <c r="A62" s="79"/>
      <c r="B62" s="1" t="s">
        <v>59</v>
      </c>
      <c r="C62" s="1"/>
      <c r="D62" s="1"/>
      <c r="E62" s="1"/>
      <c r="F62" s="172"/>
      <c r="G62" s="172"/>
      <c r="H62" s="172"/>
      <c r="I62" s="172"/>
      <c r="J62" s="172"/>
      <c r="K62" s="172"/>
    </row>
    <row r="63" spans="1:16">
      <c r="A63" s="79">
        <v>32</v>
      </c>
      <c r="B63" s="3"/>
      <c r="C63" s="3" t="s">
        <v>41</v>
      </c>
      <c r="D63" s="3"/>
      <c r="E63" s="3"/>
      <c r="F63" s="56">
        <f>'PROPOSED RATES-12.2024'!J63</f>
        <v>38122.699999999997</v>
      </c>
      <c r="G63" s="172">
        <f>H63-F63</f>
        <v>1506</v>
      </c>
      <c r="H63" s="172">
        <f>'ADJ DETAIL INPUT'!BH62</f>
        <v>39628.699999999997</v>
      </c>
      <c r="I63" s="172"/>
      <c r="J63" s="172"/>
      <c r="K63" s="56">
        <f t="shared" ref="K63:K64" si="16">H63+I63+J63</f>
        <v>39628.699999999997</v>
      </c>
    </row>
    <row r="64" spans="1:16">
      <c r="A64" s="79">
        <v>33</v>
      </c>
      <c r="B64" s="3"/>
      <c r="C64" s="3" t="s">
        <v>60</v>
      </c>
      <c r="D64" s="3"/>
      <c r="E64" s="3"/>
      <c r="F64" s="56">
        <f>'PROPOSED RATES-12.2024'!J64</f>
        <v>746994.7</v>
      </c>
      <c r="G64" s="172">
        <f>H64-F64</f>
        <v>32044</v>
      </c>
      <c r="H64" s="172">
        <f>'ADJ DETAIL INPUT'!BH63</f>
        <v>779038.7</v>
      </c>
      <c r="I64" s="172"/>
      <c r="J64" s="172"/>
      <c r="K64" s="56">
        <f t="shared" si="16"/>
        <v>779038.7</v>
      </c>
    </row>
    <row r="65" spans="1:11">
      <c r="A65" s="79">
        <v>34</v>
      </c>
      <c r="B65" s="3"/>
      <c r="C65" s="3" t="s">
        <v>61</v>
      </c>
      <c r="D65" s="3"/>
      <c r="E65" s="3"/>
      <c r="F65" s="439">
        <f>'PROPOSED RATES-12.2024'!J65</f>
        <v>172092</v>
      </c>
      <c r="G65" s="174">
        <f>H65-F65</f>
        <v>2720</v>
      </c>
      <c r="H65" s="174">
        <f>'ADJ DETAIL INPUT'!BH64</f>
        <v>174812</v>
      </c>
      <c r="I65" s="174"/>
      <c r="J65" s="174"/>
      <c r="K65" s="439">
        <f>H65+I65+J65</f>
        <v>174812</v>
      </c>
    </row>
    <row r="66" spans="1:11">
      <c r="A66" s="79">
        <v>35</v>
      </c>
      <c r="B66" s="3"/>
      <c r="C66" s="3"/>
      <c r="D66" s="3"/>
      <c r="E66" s="3" t="s">
        <v>62</v>
      </c>
      <c r="F66" s="180">
        <f>SUM(F63:F65)</f>
        <v>957209.39999999991</v>
      </c>
      <c r="G66" s="180">
        <f t="shared" ref="G66:K66" si="17">SUM(G63:G65)</f>
        <v>36270</v>
      </c>
      <c r="H66" s="180">
        <f t="shared" si="17"/>
        <v>993479.39999999991</v>
      </c>
      <c r="I66" s="180">
        <f t="shared" ref="I66" si="18">SUM(I63:I65)</f>
        <v>0</v>
      </c>
      <c r="J66" s="180">
        <f t="shared" si="17"/>
        <v>0</v>
      </c>
      <c r="K66" s="180">
        <f t="shared" si="17"/>
        <v>993479.39999999991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-14483.7</v>
      </c>
      <c r="G69" s="172">
        <f>H69-F69</f>
        <v>-570</v>
      </c>
      <c r="H69" s="172">
        <f>'ADJ DETAIL INPUT'!BH68</f>
        <v>-15053.7</v>
      </c>
      <c r="I69" s="172"/>
      <c r="J69" s="172"/>
      <c r="K69" s="56">
        <f t="shared" ref="K69:K70" si="19">H69+I69+J69</f>
        <v>-15053.7</v>
      </c>
    </row>
    <row r="70" spans="1:11">
      <c r="A70" s="79">
        <v>37</v>
      </c>
      <c r="B70" s="3"/>
      <c r="C70" s="3" t="s">
        <v>60</v>
      </c>
      <c r="D70" s="3"/>
      <c r="E70" s="3"/>
      <c r="F70" s="56">
        <f>'PROPOSED RATES-12.2024'!J70</f>
        <v>-226424.1</v>
      </c>
      <c r="G70" s="172">
        <f>H70-F70</f>
        <v>-16810</v>
      </c>
      <c r="H70" s="172">
        <f>'ADJ DETAIL INPUT'!BH69</f>
        <v>-243234.1</v>
      </c>
      <c r="I70" s="172"/>
      <c r="J70" s="172"/>
      <c r="K70" s="56">
        <f t="shared" si="19"/>
        <v>-243234.1</v>
      </c>
    </row>
    <row r="71" spans="1:11">
      <c r="A71" s="79">
        <v>38</v>
      </c>
      <c r="B71" s="3"/>
      <c r="C71" s="3" t="s">
        <v>61</v>
      </c>
      <c r="D71" s="3"/>
      <c r="E71" s="3"/>
      <c r="F71" s="439">
        <f>'PROPOSED RATES-12.2024'!J71</f>
        <v>-73034.3</v>
      </c>
      <c r="G71" s="174">
        <f>H71-F71</f>
        <v>-1691.1000000000058</v>
      </c>
      <c r="H71" s="172">
        <f>'ADJ DETAIL INPUT'!BH70</f>
        <v>-74725.400000000009</v>
      </c>
      <c r="I71" s="174"/>
      <c r="J71" s="174"/>
      <c r="K71" s="439">
        <f>H71+I71+J71</f>
        <v>-74725.400000000009</v>
      </c>
    </row>
    <row r="72" spans="1:11">
      <c r="A72" s="79">
        <v>39</v>
      </c>
      <c r="B72" s="3" t="s">
        <v>376</v>
      </c>
      <c r="C72" s="3"/>
      <c r="D72" s="3"/>
      <c r="E72" s="247"/>
      <c r="F72" s="177">
        <f>SUM(F69:F71)</f>
        <v>-313942.10000000003</v>
      </c>
      <c r="G72" s="177">
        <f t="shared" ref="G72:K72" si="20">SUM(G69:G71)</f>
        <v>-19071.100000000006</v>
      </c>
      <c r="H72" s="177">
        <f t="shared" si="20"/>
        <v>-333013.2</v>
      </c>
      <c r="I72" s="177">
        <f t="shared" ref="I72" si="21">SUM(I69:I71)</f>
        <v>0</v>
      </c>
      <c r="J72" s="177">
        <f t="shared" si="20"/>
        <v>0</v>
      </c>
      <c r="K72" s="177">
        <f t="shared" si="20"/>
        <v>-333013.2</v>
      </c>
    </row>
    <row r="73" spans="1:11">
      <c r="A73" s="79">
        <v>40</v>
      </c>
      <c r="B73" s="118" t="s">
        <v>164</v>
      </c>
      <c r="C73" s="3"/>
      <c r="D73" s="3"/>
      <c r="E73" s="3"/>
      <c r="F73" s="180">
        <f>F66+F72</f>
        <v>643267.29999999981</v>
      </c>
      <c r="G73" s="180">
        <f t="shared" ref="G73:K73" si="22">G66+G72</f>
        <v>17198.899999999994</v>
      </c>
      <c r="H73" s="180">
        <f t="shared" si="22"/>
        <v>660466.19999999995</v>
      </c>
      <c r="I73" s="180">
        <f t="shared" ref="I73" si="23">I66+I72</f>
        <v>0</v>
      </c>
      <c r="J73" s="180">
        <f t="shared" si="22"/>
        <v>0</v>
      </c>
      <c r="K73" s="180">
        <f t="shared" si="22"/>
        <v>660466.19999999995</v>
      </c>
    </row>
    <row r="74" spans="1:11">
      <c r="A74" s="4">
        <v>41</v>
      </c>
      <c r="B74" s="5" t="s">
        <v>64</v>
      </c>
      <c r="C74" s="5"/>
      <c r="D74" s="5"/>
      <c r="E74" s="5"/>
      <c r="F74" s="439">
        <f>'PROPOSED RATES-12.2024'!J74</f>
        <v>-85012</v>
      </c>
      <c r="G74" s="174">
        <f>H74-F74</f>
        <v>-119</v>
      </c>
      <c r="H74" s="174">
        <f>'ADJ DETAIL INPUT'!BH73</f>
        <v>-85131</v>
      </c>
      <c r="I74" s="174"/>
      <c r="J74" s="174"/>
      <c r="K74" s="439">
        <f>H74+I74+J74</f>
        <v>-85131</v>
      </c>
    </row>
    <row r="75" spans="1:11">
      <c r="A75" s="4">
        <v>42</v>
      </c>
      <c r="B75" s="5"/>
      <c r="C75" s="120" t="s">
        <v>191</v>
      </c>
      <c r="D75" s="5"/>
      <c r="E75" s="5"/>
      <c r="F75" s="172">
        <f>F73+F74</f>
        <v>558255.29999999981</v>
      </c>
      <c r="G75" s="172">
        <f t="shared" ref="G75" si="24">G73+G74</f>
        <v>17079.899999999994</v>
      </c>
      <c r="H75" s="172">
        <f>H73+H74</f>
        <v>575335.19999999995</v>
      </c>
      <c r="I75" s="172">
        <f t="shared" ref="I75" si="25">I73+I74</f>
        <v>0</v>
      </c>
      <c r="J75" s="172">
        <f t="shared" ref="J75:K75" si="26">J73+J74</f>
        <v>0</v>
      </c>
      <c r="K75" s="172">
        <f t="shared" si="26"/>
        <v>575335.19999999995</v>
      </c>
    </row>
    <row r="76" spans="1:11" ht="12" customHeight="1">
      <c r="A76" s="79">
        <v>43</v>
      </c>
      <c r="B76" s="212" t="s">
        <v>65</v>
      </c>
      <c r="C76" s="212"/>
      <c r="D76" s="212"/>
      <c r="E76" s="212"/>
      <c r="F76" s="56">
        <f>'PROPOSED RATES-12.2024'!J76</f>
        <v>19552</v>
      </c>
      <c r="G76" s="213">
        <f>H76-F76</f>
        <v>0</v>
      </c>
      <c r="H76" s="172">
        <f>'ADJ DETAIL INPUT'!BH75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INPUT'!BH76</f>
        <v>0</v>
      </c>
      <c r="I77" s="213"/>
      <c r="J77" s="213"/>
      <c r="K77" s="56">
        <f t="shared" si="27"/>
        <v>0</v>
      </c>
    </row>
    <row r="78" spans="1:11">
      <c r="A78" s="79">
        <v>45</v>
      </c>
      <c r="B78" s="212" t="s">
        <v>377</v>
      </c>
      <c r="C78" s="212"/>
      <c r="D78" s="212"/>
      <c r="E78" s="212"/>
      <c r="F78" s="56">
        <f>'PROPOSED RATES-12.2024'!J78</f>
        <v>-1198</v>
      </c>
      <c r="G78" s="213">
        <f>H78-F78</f>
        <v>-848</v>
      </c>
      <c r="H78" s="172">
        <f>'ADJ DETAIL INPUT'!BH77</f>
        <v>-2046</v>
      </c>
      <c r="I78" s="213"/>
      <c r="J78" s="213"/>
      <c r="K78" s="56">
        <f t="shared" si="27"/>
        <v>-2046</v>
      </c>
    </row>
    <row r="79" spans="1:11">
      <c r="A79" s="79">
        <v>46</v>
      </c>
      <c r="B79" s="212" t="s">
        <v>166</v>
      </c>
      <c r="C79" s="212"/>
      <c r="D79" s="212"/>
      <c r="E79" s="212"/>
      <c r="F79" s="439">
        <f>'PROPOSED RATES-12.2024'!J79</f>
        <v>14399</v>
      </c>
      <c r="G79" s="175">
        <f>H79-F79</f>
        <v>0</v>
      </c>
      <c r="H79" s="174">
        <f>'ADJ DETAIL INPUT'!BH78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591008.29999999981</v>
      </c>
      <c r="G81" s="55">
        <f>G79+G77+G76+G75+G78</f>
        <v>16231.899999999994</v>
      </c>
      <c r="H81" s="55">
        <f>H79+H77+H76+H75+H78</f>
        <v>607240.19999999995</v>
      </c>
      <c r="I81" s="55">
        <f>I79+I77+I76+I75</f>
        <v>0</v>
      </c>
      <c r="J81" s="55">
        <f>J79+J77+J76+J75</f>
        <v>0</v>
      </c>
      <c r="K81" s="55">
        <f>K79+K77+K76+K75+K78</f>
        <v>607240.19999999995</v>
      </c>
    </row>
    <row r="82" spans="1:11" ht="13.5" thickTop="1">
      <c r="A82" s="79">
        <v>48</v>
      </c>
      <c r="B82" s="1" t="s">
        <v>413</v>
      </c>
      <c r="C82" s="1"/>
      <c r="D82" s="1"/>
      <c r="E82" s="1"/>
      <c r="F82" s="219">
        <f>ROUND(F59/F81,4)</f>
        <v>5.4699999999999999E-2</v>
      </c>
      <c r="G82" s="52"/>
      <c r="H82" s="219">
        <f>ROUND(H59/H81,4)</f>
        <v>5.0299999999999997E-2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topLeftCell="C1" zoomScaleNormal="100" workbookViewId="0">
      <selection sqref="A1:H1"/>
    </sheetView>
  </sheetViews>
  <sheetFormatPr defaultColWidth="9.26953125" defaultRowHeight="15.5"/>
  <cols>
    <col min="1" max="1" width="7.453125" style="273" customWidth="1"/>
    <col min="2" max="2" width="1.453125" style="273" customWidth="1"/>
    <col min="3" max="3" width="44.81640625" style="273" customWidth="1"/>
    <col min="4" max="4" width="1.26953125" style="273" customWidth="1"/>
    <col min="5" max="5" width="0.54296875" style="273" hidden="1" customWidth="1"/>
    <col min="6" max="6" width="20.26953125" style="273" customWidth="1"/>
    <col min="7" max="7" width="16.54296875" style="73" customWidth="1"/>
    <col min="8" max="9" width="14.54296875" style="73" customWidth="1"/>
    <col min="10" max="10" width="4.7265625" style="273" customWidth="1"/>
    <col min="11" max="11" width="6.7265625" style="273" customWidth="1"/>
    <col min="12" max="12" width="14.26953125" style="273" customWidth="1"/>
    <col min="13" max="13" width="12.7265625" style="273" customWidth="1"/>
    <col min="14" max="14" width="15.26953125" style="324" customWidth="1"/>
    <col min="15" max="15" width="14.26953125" style="273" customWidth="1"/>
    <col min="16" max="16" width="6.26953125" style="273" customWidth="1"/>
    <col min="17" max="17" width="14.54296875" style="273" customWidth="1"/>
    <col min="18" max="18" width="9.26953125" style="274"/>
    <col min="19" max="20" width="13.54296875" style="274" customWidth="1"/>
    <col min="21" max="21" width="15.81640625" style="274" bestFit="1" customWidth="1"/>
    <col min="22" max="16384" width="9.26953125" style="274"/>
  </cols>
  <sheetData>
    <row r="1" spans="1:25" ht="19.149999999999999" customHeight="1" thickBot="1">
      <c r="A1" s="3858" t="s">
        <v>111</v>
      </c>
      <c r="B1" s="3858"/>
      <c r="C1" s="3858"/>
      <c r="D1" s="3858"/>
      <c r="E1" s="3858"/>
      <c r="F1" s="3858"/>
      <c r="G1" s="3858"/>
      <c r="H1" s="3858"/>
      <c r="I1" s="415"/>
      <c r="J1" s="272"/>
    </row>
    <row r="2" spans="1:25">
      <c r="A2" s="3858" t="s">
        <v>440</v>
      </c>
      <c r="B2" s="3858"/>
      <c r="C2" s="3858"/>
      <c r="D2" s="3858"/>
      <c r="E2" s="3858"/>
      <c r="F2" s="3858"/>
      <c r="G2" s="3858"/>
      <c r="H2" s="3858"/>
      <c r="I2" s="415"/>
      <c r="J2" s="272"/>
      <c r="K2" s="3852" t="s">
        <v>111</v>
      </c>
      <c r="L2" s="3853"/>
      <c r="M2" s="3853"/>
      <c r="N2" s="3853"/>
      <c r="O2" s="3854"/>
      <c r="P2" s="275"/>
      <c r="Q2" s="272"/>
    </row>
    <row r="3" spans="1:25">
      <c r="A3" s="3858" t="s">
        <v>400</v>
      </c>
      <c r="B3" s="3858"/>
      <c r="C3" s="3858"/>
      <c r="D3" s="3858"/>
      <c r="E3" s="3858"/>
      <c r="F3" s="3858"/>
      <c r="G3" s="3858"/>
      <c r="H3" s="3858"/>
      <c r="I3" s="278"/>
      <c r="J3" s="276"/>
      <c r="K3" s="3855" t="s">
        <v>401</v>
      </c>
      <c r="L3" s="3856"/>
      <c r="M3" s="3856"/>
      <c r="N3" s="3856"/>
      <c r="O3" s="3857"/>
      <c r="P3" s="276"/>
      <c r="Q3" s="275"/>
    </row>
    <row r="4" spans="1:25">
      <c r="A4" s="3870" t="str">
        <f>'PROPOSED RATES-12.2024'!A3</f>
        <v>TWELVE MONTHS ENDED JUNE 30, 2023</v>
      </c>
      <c r="B4" s="3870"/>
      <c r="C4" s="3870"/>
      <c r="D4" s="3870"/>
      <c r="E4" s="3870"/>
      <c r="F4" s="3870"/>
      <c r="G4" s="3870"/>
      <c r="H4" s="3870"/>
      <c r="I4" s="416"/>
      <c r="J4" s="277"/>
      <c r="K4" s="3855" t="s">
        <v>400</v>
      </c>
      <c r="L4" s="3856"/>
      <c r="M4" s="3856"/>
      <c r="N4" s="3856"/>
      <c r="O4" s="3857"/>
      <c r="P4" s="276"/>
      <c r="Q4" s="272"/>
    </row>
    <row r="5" spans="1:25" ht="16" thickBot="1">
      <c r="A5" s="575"/>
      <c r="B5" s="575"/>
      <c r="C5" s="575"/>
      <c r="D5" s="575"/>
      <c r="E5" s="575"/>
      <c r="F5" s="575"/>
      <c r="G5" s="575"/>
      <c r="H5" s="575"/>
      <c r="I5" s="416"/>
      <c r="J5" s="575"/>
      <c r="K5" s="3861"/>
      <c r="L5" s="3862"/>
      <c r="M5" s="3862"/>
      <c r="N5" s="3862"/>
      <c r="O5" s="3863"/>
      <c r="P5" s="282"/>
      <c r="Q5" s="333"/>
    </row>
    <row r="6" spans="1:25">
      <c r="A6" s="275"/>
      <c r="B6" s="275"/>
      <c r="C6" s="275"/>
      <c r="D6" s="275"/>
      <c r="E6" s="275"/>
      <c r="F6" s="610" t="s">
        <v>437</v>
      </c>
      <c r="G6" s="617" t="s">
        <v>437</v>
      </c>
      <c r="H6" s="3868" t="s">
        <v>527</v>
      </c>
      <c r="I6" s="278"/>
      <c r="J6" s="278"/>
      <c r="K6" s="257" t="s">
        <v>442</v>
      </c>
      <c r="L6" s="301"/>
      <c r="M6" s="301"/>
      <c r="N6" s="301"/>
      <c r="O6" s="302"/>
      <c r="P6" s="282"/>
      <c r="Q6" s="333"/>
      <c r="S6" s="279"/>
      <c r="T6" s="279"/>
      <c r="U6" s="279"/>
      <c r="V6" s="279"/>
      <c r="W6" s="279"/>
      <c r="X6" s="279"/>
      <c r="Y6" s="279"/>
    </row>
    <row r="7" spans="1:25">
      <c r="C7" s="280"/>
      <c r="D7" s="280"/>
      <c r="F7" s="611" t="s">
        <v>525</v>
      </c>
      <c r="G7" s="618" t="s">
        <v>526</v>
      </c>
      <c r="H7" s="3869"/>
      <c r="I7" s="278"/>
      <c r="J7" s="278"/>
      <c r="K7" s="303"/>
      <c r="L7" s="304"/>
      <c r="M7" s="305"/>
      <c r="N7" s="306"/>
      <c r="O7" s="307"/>
      <c r="P7" s="282"/>
      <c r="Q7" s="73"/>
      <c r="R7" s="279"/>
    </row>
    <row r="8" spans="1:25" ht="15.75" customHeight="1">
      <c r="F8" s="612" t="s">
        <v>549</v>
      </c>
      <c r="G8" s="619" t="s">
        <v>551</v>
      </c>
      <c r="H8" s="613" t="s">
        <v>551</v>
      </c>
      <c r="I8" s="283"/>
      <c r="J8" s="300"/>
      <c r="K8" s="303"/>
      <c r="L8" s="308"/>
      <c r="M8" s="305" t="s">
        <v>128</v>
      </c>
      <c r="N8" s="305"/>
      <c r="O8" s="307" t="s">
        <v>129</v>
      </c>
      <c r="P8" s="74"/>
      <c r="Q8" s="129"/>
    </row>
    <row r="9" spans="1:25" ht="15.75" customHeight="1">
      <c r="A9" s="281" t="s">
        <v>127</v>
      </c>
      <c r="B9" s="276"/>
      <c r="C9" s="3864" t="s">
        <v>70</v>
      </c>
      <c r="D9" s="3865"/>
      <c r="E9" s="282"/>
      <c r="F9" s="611" t="s">
        <v>438</v>
      </c>
      <c r="G9" s="618" t="s">
        <v>438</v>
      </c>
      <c r="H9" s="614" t="s">
        <v>438</v>
      </c>
      <c r="I9" s="283"/>
      <c r="J9" s="283"/>
      <c r="K9" s="303"/>
      <c r="L9" s="309" t="s">
        <v>130</v>
      </c>
      <c r="M9" s="309" t="s">
        <v>131</v>
      </c>
      <c r="N9" s="309" t="s">
        <v>132</v>
      </c>
      <c r="O9" s="310" t="s">
        <v>132</v>
      </c>
      <c r="P9" s="74"/>
      <c r="Q9" s="130"/>
    </row>
    <row r="10" spans="1:25">
      <c r="A10" s="284" t="s">
        <v>15</v>
      </c>
      <c r="B10" s="276"/>
      <c r="C10" s="3866"/>
      <c r="D10" s="3867"/>
      <c r="E10" s="282"/>
      <c r="F10" s="615" t="s">
        <v>439</v>
      </c>
      <c r="G10" s="620" t="s">
        <v>439</v>
      </c>
      <c r="H10" s="616" t="s">
        <v>439</v>
      </c>
      <c r="I10" s="283"/>
      <c r="J10" s="283"/>
      <c r="K10" s="303"/>
      <c r="L10" s="304"/>
      <c r="M10" s="304"/>
      <c r="N10" s="306"/>
      <c r="O10" s="312"/>
      <c r="P10" s="74"/>
      <c r="Q10" s="130"/>
    </row>
    <row r="11" spans="1:25" ht="16"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591008.29999999981</v>
      </c>
      <c r="G12" s="287">
        <f>'ADJ DETAIL INPUT'!BH81</f>
        <v>607240.19999999995</v>
      </c>
      <c r="H12" s="419"/>
      <c r="I12" s="419"/>
      <c r="J12" s="287"/>
      <c r="K12" s="303"/>
      <c r="L12" s="308"/>
      <c r="M12" s="313"/>
      <c r="N12" s="315"/>
      <c r="O12" s="314"/>
      <c r="Q12" s="3859" t="s">
        <v>449</v>
      </c>
      <c r="S12" s="445"/>
    </row>
    <row r="13" spans="1:25">
      <c r="A13" s="286"/>
      <c r="F13" s="288"/>
      <c r="G13" s="288"/>
      <c r="H13" s="420"/>
      <c r="I13" s="420"/>
      <c r="J13" s="288"/>
      <c r="K13" s="303"/>
      <c r="L13" s="308" t="s">
        <v>441</v>
      </c>
      <c r="M13" s="313">
        <v>0.48499999999999999</v>
      </c>
      <c r="N13" s="426">
        <v>0.104</v>
      </c>
      <c r="O13" s="314">
        <f>ROUND(M13*N13,4)</f>
        <v>5.04E-2</v>
      </c>
      <c r="Q13" s="3860"/>
    </row>
    <row r="14" spans="1:25" ht="16"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 thickBot="1">
      <c r="A15" s="286"/>
      <c r="F15" s="290"/>
      <c r="G15" s="290"/>
      <c r="H15" s="421"/>
      <c r="I15" s="421"/>
      <c r="J15" s="290"/>
      <c r="K15" s="303"/>
      <c r="L15" s="308" t="s">
        <v>24</v>
      </c>
      <c r="M15" s="317">
        <f>SUM(M11:M13)</f>
        <v>1</v>
      </c>
      <c r="N15" s="316"/>
      <c r="O15" s="318">
        <f>SUM(O11:O13)</f>
        <v>7.6100000000000001E-2</v>
      </c>
    </row>
    <row r="16" spans="1:25" ht="16.5" thickTop="1" thickBot="1">
      <c r="A16" s="286">
        <v>3</v>
      </c>
      <c r="C16" s="273" t="s">
        <v>134</v>
      </c>
      <c r="F16" s="288">
        <f>ROUND(F12*F14,0)</f>
        <v>44976</v>
      </c>
      <c r="G16" s="288">
        <f>ROUND(G12*G14,0)</f>
        <v>46211</v>
      </c>
      <c r="H16" s="420"/>
      <c r="I16" s="420"/>
      <c r="J16" s="288"/>
      <c r="K16" s="319"/>
      <c r="L16" s="320"/>
      <c r="M16" s="321"/>
      <c r="N16" s="322"/>
      <c r="O16" s="323"/>
      <c r="Q16" s="130"/>
    </row>
    <row r="17" spans="1:21">
      <c r="A17" s="286"/>
      <c r="F17" s="288"/>
      <c r="G17" s="288"/>
      <c r="H17" s="420"/>
      <c r="I17" s="420"/>
      <c r="J17" s="288"/>
      <c r="K17" s="293"/>
      <c r="L17" s="73"/>
      <c r="M17" s="73"/>
      <c r="N17" s="372"/>
      <c r="O17" s="73"/>
      <c r="P17" s="129"/>
      <c r="Q17" s="130"/>
    </row>
    <row r="18" spans="1:21">
      <c r="A18" s="286">
        <v>4</v>
      </c>
      <c r="C18" s="273" t="s">
        <v>135</v>
      </c>
      <c r="F18" s="291">
        <f>'ADJ DETAIL INPUT'!AW58</f>
        <v>32329.808003299993</v>
      </c>
      <c r="G18" s="291">
        <f>'ADJ DETAIL INPUT'!BH58</f>
        <v>30540.543787600014</v>
      </c>
      <c r="H18" s="298"/>
      <c r="I18" s="298"/>
      <c r="J18" s="292"/>
      <c r="L18" s="73"/>
      <c r="M18" s="373"/>
      <c r="N18" s="75"/>
      <c r="O18" s="374"/>
      <c r="P18" s="311"/>
      <c r="Q18" s="130"/>
    </row>
    <row r="19" spans="1:21">
      <c r="A19" s="286"/>
      <c r="G19" s="273"/>
      <c r="L19" s="556" t="s">
        <v>640</v>
      </c>
      <c r="M19" s="557"/>
      <c r="N19" s="558"/>
      <c r="O19" s="555"/>
      <c r="P19" s="311"/>
      <c r="Q19" s="274"/>
    </row>
    <row r="20" spans="1:21">
      <c r="A20" s="286">
        <v>5</v>
      </c>
      <c r="C20" s="273" t="s">
        <v>136</v>
      </c>
      <c r="F20" s="288">
        <f>F16-F18</f>
        <v>12646.191996700007</v>
      </c>
      <c r="G20" s="288">
        <f>G16-G18</f>
        <v>15670.456212399986</v>
      </c>
      <c r="H20" s="288">
        <f>G20-F20</f>
        <v>3024.2642156999791</v>
      </c>
      <c r="I20" s="420"/>
      <c r="J20" s="288"/>
      <c r="L20" s="73"/>
      <c r="M20" s="418" t="s">
        <v>535</v>
      </c>
      <c r="N20" s="418" t="s">
        <v>536</v>
      </c>
      <c r="O20" s="418" t="s">
        <v>537</v>
      </c>
      <c r="P20" s="311"/>
      <c r="S20" s="279"/>
      <c r="T20" s="279"/>
    </row>
    <row r="21" spans="1:21" ht="16" thickBot="1">
      <c r="A21" s="286"/>
      <c r="G21" s="294"/>
      <c r="H21" s="273"/>
      <c r="L21" s="549" t="s">
        <v>538</v>
      </c>
      <c r="M21" s="553">
        <v>920.88161811609461</v>
      </c>
      <c r="N21" s="553">
        <v>35.978630661251401</v>
      </c>
      <c r="O21" s="420">
        <f>M21+N21</f>
        <v>956.86024877734599</v>
      </c>
      <c r="P21" s="311"/>
      <c r="Q21" s="279"/>
      <c r="R21" s="279"/>
    </row>
    <row r="22" spans="1:21" ht="16" thickBot="1">
      <c r="A22" s="286">
        <v>6</v>
      </c>
      <c r="C22" s="273" t="s">
        <v>137</v>
      </c>
      <c r="F22" s="294">
        <f>CF!E27</f>
        <v>0.75264900000000001</v>
      </c>
      <c r="G22" s="294">
        <f>F22</f>
        <v>0.75264900000000001</v>
      </c>
      <c r="H22" s="430">
        <f>G22</f>
        <v>0.75264900000000001</v>
      </c>
      <c r="I22" s="422"/>
      <c r="J22" s="294"/>
      <c r="K22" s="129"/>
      <c r="L22" s="549" t="s">
        <v>539</v>
      </c>
      <c r="M22" s="554">
        <v>234</v>
      </c>
      <c r="N22" s="554">
        <v>6.6432028741155591</v>
      </c>
      <c r="O22" s="550">
        <f>M22+N22</f>
        <v>240.64320287411556</v>
      </c>
      <c r="P22" s="129"/>
      <c r="Q22" s="274"/>
      <c r="R22" s="273"/>
      <c r="S22" s="3849" t="s">
        <v>3401</v>
      </c>
      <c r="T22" s="3850"/>
      <c r="U22" s="3851"/>
    </row>
    <row r="23" spans="1:21" ht="16" thickBot="1">
      <c r="A23" s="286"/>
      <c r="G23" s="294"/>
      <c r="H23" s="273"/>
      <c r="K23" s="75"/>
      <c r="L23" s="551" t="s">
        <v>540</v>
      </c>
      <c r="M23" s="552">
        <f>M22+M21</f>
        <v>1154.8816181160946</v>
      </c>
      <c r="N23" s="552">
        <f>N22+N21</f>
        <v>42.62183353536696</v>
      </c>
      <c r="O23" s="552">
        <f>O22+O21</f>
        <v>1197.5034516514615</v>
      </c>
      <c r="P23" s="129"/>
      <c r="Q23" s="274"/>
      <c r="R23" s="273"/>
      <c r="S23" s="286" t="s">
        <v>517</v>
      </c>
      <c r="T23" s="286" t="s">
        <v>519</v>
      </c>
      <c r="U23" s="286" t="s">
        <v>3402</v>
      </c>
    </row>
    <row r="24" spans="1:21" ht="16.5" thickTop="1" thickBot="1">
      <c r="A24" s="286">
        <v>7</v>
      </c>
      <c r="C24" s="273" t="s">
        <v>470</v>
      </c>
      <c r="E24" s="295"/>
      <c r="F24" s="394">
        <f>ROUND(F20/F22,0)</f>
        <v>16802</v>
      </c>
      <c r="G24" s="429">
        <f>ROUND(G20/G22,0)-1</f>
        <v>20819</v>
      </c>
      <c r="H24" s="431">
        <f>H20/H22-1</f>
        <v>4017.1601459644257</v>
      </c>
      <c r="I24" s="427"/>
      <c r="K24" s="75"/>
      <c r="L24" s="75"/>
      <c r="M24" s="443"/>
      <c r="N24" s="75"/>
      <c r="O24" s="129"/>
      <c r="P24" s="129"/>
      <c r="Q24" s="274"/>
      <c r="R24" s="3679"/>
      <c r="S24" s="431">
        <v>17293</v>
      </c>
      <c r="T24" s="288">
        <v>21856</v>
      </c>
      <c r="U24" s="431">
        <v>4563.7102337211754</v>
      </c>
    </row>
    <row r="25" spans="1:21">
      <c r="E25" s="295"/>
      <c r="G25" s="294"/>
      <c r="H25" s="273"/>
      <c r="I25" s="423"/>
      <c r="K25" s="76"/>
      <c r="L25"/>
      <c r="M25"/>
      <c r="N25"/>
      <c r="O25" s="285"/>
      <c r="P25" s="129"/>
      <c r="Q25" s="548"/>
      <c r="R25" s="3679" t="s">
        <v>3403</v>
      </c>
      <c r="S25" s="288">
        <f>F24-S24</f>
        <v>-491</v>
      </c>
      <c r="T25" s="288">
        <f t="shared" ref="T25:U25" si="0">G24-T24</f>
        <v>-1037</v>
      </c>
      <c r="U25" s="288">
        <f t="shared" si="0"/>
        <v>-546.55008775674969</v>
      </c>
    </row>
    <row r="26" spans="1:21">
      <c r="A26" s="286">
        <v>8</v>
      </c>
      <c r="C26" s="273" t="s">
        <v>417</v>
      </c>
      <c r="F26" s="292">
        <f>'PROPOSED RATES-12.2024'!J15+'PROPOSED RATES-12.2024'!J16</f>
        <v>126976</v>
      </c>
      <c r="G26" s="298"/>
      <c r="H26" s="287">
        <f>F26+F24</f>
        <v>143778</v>
      </c>
      <c r="I26" s="424"/>
      <c r="J26" s="292"/>
      <c r="K26" s="129"/>
      <c r="L26"/>
      <c r="M26"/>
      <c r="N26"/>
      <c r="O26" s="75"/>
      <c r="P26" s="375"/>
      <c r="Q26" s="548"/>
      <c r="R26" s="548"/>
    </row>
    <row r="27" spans="1:21">
      <c r="G27" s="75"/>
      <c r="H27" s="273"/>
      <c r="I27" s="423"/>
      <c r="K27" s="328"/>
      <c r="L27"/>
      <c r="M27"/>
      <c r="N27"/>
      <c r="O27" s="338"/>
      <c r="P27" s="327"/>
      <c r="Q27" s="274"/>
    </row>
    <row r="28" spans="1:21" ht="16" thickBot="1">
      <c r="A28" s="286">
        <v>9</v>
      </c>
      <c r="C28" s="273" t="s">
        <v>420</v>
      </c>
      <c r="F28" s="2393">
        <f>ROUND(F24/F26,4)</f>
        <v>0.1323</v>
      </c>
      <c r="G28" s="128"/>
      <c r="H28" s="2393">
        <f>H24/H26</f>
        <v>2.79400196550545E-2</v>
      </c>
      <c r="I28" s="428"/>
      <c r="J28" s="296"/>
      <c r="K28" s="311"/>
      <c r="L28" s="311"/>
      <c r="M28" s="338"/>
      <c r="N28" s="329"/>
      <c r="O28" s="338"/>
      <c r="P28" s="327"/>
    </row>
    <row r="29" spans="1:21" ht="9.75" customHeight="1" thickTop="1">
      <c r="C29" s="297"/>
      <c r="D29" s="297"/>
      <c r="E29" s="297"/>
      <c r="F29" s="297"/>
      <c r="G29" s="433"/>
      <c r="H29" s="432"/>
      <c r="I29" s="425"/>
      <c r="J29" s="297"/>
      <c r="K29" s="298"/>
      <c r="L29" s="129"/>
      <c r="M29" s="330"/>
      <c r="N29" s="338"/>
      <c r="O29" s="330"/>
      <c r="P29" s="338"/>
    </row>
    <row r="30" spans="1:21">
      <c r="A30" s="286">
        <v>10</v>
      </c>
      <c r="C30" s="273" t="s">
        <v>418</v>
      </c>
      <c r="F30" s="287">
        <v>289369</v>
      </c>
      <c r="G30" s="298"/>
      <c r="H30" s="287">
        <f>F30+F24</f>
        <v>306171</v>
      </c>
      <c r="I30" s="423"/>
      <c r="J30" s="298"/>
      <c r="K30" s="311"/>
      <c r="L30" s="338"/>
      <c r="M30" s="311"/>
      <c r="N30" s="329"/>
      <c r="O30" s="311"/>
      <c r="P30" s="329"/>
      <c r="Q30" s="274"/>
    </row>
    <row r="31" spans="1:21" ht="13.5" customHeight="1">
      <c r="G31" s="298"/>
      <c r="H31" s="432"/>
      <c r="I31" s="423"/>
      <c r="K31" s="311"/>
      <c r="L31" s="311"/>
      <c r="M31" s="331"/>
      <c r="N31" s="327"/>
      <c r="O31" s="331"/>
      <c r="P31" s="338"/>
      <c r="Q31" s="279"/>
    </row>
    <row r="32" spans="1:21" ht="15.75" customHeight="1" thickBot="1">
      <c r="A32" s="286">
        <v>11</v>
      </c>
      <c r="C32" s="273" t="s">
        <v>419</v>
      </c>
      <c r="F32" s="2393">
        <f>ROUND(F24/F30,4)</f>
        <v>5.8099999999999999E-2</v>
      </c>
      <c r="G32" s="298"/>
      <c r="H32" s="2393">
        <f>H24/H30</f>
        <v>1.3120642209629343E-2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2">
    <mergeCell ref="S22:U22"/>
    <mergeCell ref="K2:O2"/>
    <mergeCell ref="K3:O3"/>
    <mergeCell ref="K4:O4"/>
    <mergeCell ref="A1:H1"/>
    <mergeCell ref="A2:H2"/>
    <mergeCell ref="Q12:Q13"/>
    <mergeCell ref="K5:O5"/>
    <mergeCell ref="C9:D10"/>
    <mergeCell ref="H6:H7"/>
    <mergeCell ref="A3:H3"/>
    <mergeCell ref="A4:H4"/>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6953125" defaultRowHeight="15.5"/>
  <cols>
    <col min="1" max="1" width="9.26953125" style="273"/>
    <col min="2" max="2" width="6.54296875" style="273" customWidth="1"/>
    <col min="3" max="3" width="42" style="273" customWidth="1"/>
    <col min="4" max="4" width="2.7265625" style="273" customWidth="1"/>
    <col min="5" max="5" width="20.26953125" style="588" customWidth="1"/>
    <col min="6" max="6" width="2.54296875" style="273" customWidth="1"/>
    <col min="7" max="8" width="9.26953125" style="273"/>
    <col min="9" max="9" width="19.7265625" style="273" bestFit="1" customWidth="1"/>
    <col min="10" max="10" width="15.54296875" style="273" customWidth="1"/>
    <col min="11" max="16384" width="9.26953125" style="273"/>
  </cols>
  <sheetData>
    <row r="1" spans="1:24" s="585" customFormat="1">
      <c r="A1" s="273"/>
      <c r="B1" s="273"/>
      <c r="C1" s="582" t="s">
        <v>111</v>
      </c>
      <c r="D1" s="583"/>
      <c r="E1" s="584"/>
      <c r="G1" s="423"/>
      <c r="H1" s="423"/>
      <c r="I1" s="273"/>
    </row>
    <row r="2" spans="1:24" s="585" customFormat="1">
      <c r="B2" s="273"/>
      <c r="C2" s="582" t="s">
        <v>152</v>
      </c>
      <c r="D2" s="583"/>
      <c r="E2" s="586"/>
      <c r="I2" s="273"/>
    </row>
    <row r="3" spans="1:24" s="585" customFormat="1">
      <c r="B3" s="273"/>
      <c r="C3" s="272" t="s">
        <v>400</v>
      </c>
      <c r="D3" s="583"/>
      <c r="E3" s="586"/>
      <c r="I3" s="273"/>
    </row>
    <row r="4" spans="1:24">
      <c r="B4" s="587"/>
      <c r="C4" s="582" t="str">
        <f>'PROPOSED RATES-12.2024'!A3</f>
        <v>TWELVE MONTHS ENDED JUNE 30, 2023</v>
      </c>
      <c r="D4" s="587"/>
      <c r="E4" s="587"/>
      <c r="F4" s="587"/>
      <c r="G4" s="587"/>
      <c r="H4" s="587"/>
      <c r="K4" s="587"/>
      <c r="L4" s="587"/>
      <c r="M4" s="582"/>
      <c r="N4" s="582"/>
      <c r="O4" s="582"/>
    </row>
    <row r="5" spans="1:24">
      <c r="C5" s="282"/>
      <c r="D5" s="294"/>
      <c r="P5" s="73"/>
      <c r="Q5" s="73"/>
      <c r="R5" s="73"/>
      <c r="S5" s="73"/>
      <c r="T5" s="73"/>
      <c r="U5" s="73"/>
      <c r="V5" s="73"/>
      <c r="W5" s="73"/>
      <c r="X5" s="73"/>
    </row>
    <row r="6" spans="1:24" hidden="1">
      <c r="A6" s="282"/>
      <c r="C6" s="589"/>
      <c r="D6" s="294"/>
      <c r="E6" s="583"/>
      <c r="I6" s="574"/>
      <c r="J6" s="574"/>
      <c r="O6" s="73"/>
      <c r="P6" s="73"/>
      <c r="Q6" s="73"/>
      <c r="R6" s="73"/>
      <c r="S6" s="73"/>
      <c r="T6" s="73"/>
      <c r="U6" s="73"/>
      <c r="V6" s="73"/>
      <c r="W6" s="73"/>
      <c r="X6" s="73"/>
    </row>
    <row r="7" spans="1:24" hidden="1">
      <c r="A7" s="282"/>
      <c r="C7" s="589"/>
      <c r="D7" s="294"/>
      <c r="E7" s="583"/>
    </row>
    <row r="8" spans="1:24">
      <c r="A8" s="282"/>
      <c r="C8" s="294"/>
      <c r="D8" s="294"/>
      <c r="E8" s="590"/>
      <c r="F8" s="417"/>
      <c r="G8" s="417"/>
      <c r="I8" s="417">
        <v>12.202400000000001</v>
      </c>
      <c r="J8" s="417">
        <v>12.202500000000001</v>
      </c>
    </row>
    <row r="9" spans="1:24">
      <c r="A9" s="282" t="s">
        <v>127</v>
      </c>
      <c r="C9" s="282"/>
      <c r="D9" s="294"/>
      <c r="E9" s="282"/>
      <c r="I9" s="573" t="s">
        <v>528</v>
      </c>
      <c r="J9" s="573" t="s">
        <v>528</v>
      </c>
      <c r="L9" s="285"/>
      <c r="M9" s="285"/>
      <c r="N9" s="285"/>
      <c r="O9" s="285"/>
    </row>
    <row r="10" spans="1:24">
      <c r="A10" s="591" t="s">
        <v>15</v>
      </c>
      <c r="C10" s="591" t="s">
        <v>70</v>
      </c>
      <c r="D10" s="294"/>
      <c r="E10" s="591" t="s">
        <v>144</v>
      </c>
      <c r="F10" s="588"/>
      <c r="I10" s="574" t="s">
        <v>141</v>
      </c>
      <c r="J10" s="574" t="s">
        <v>141</v>
      </c>
      <c r="L10" s="285"/>
      <c r="M10" s="285"/>
      <c r="N10" s="285"/>
      <c r="O10" s="285"/>
    </row>
    <row r="11" spans="1:24" ht="9" customHeight="1">
      <c r="A11" s="282"/>
      <c r="C11" s="294"/>
      <c r="D11" s="294"/>
      <c r="E11" s="294"/>
      <c r="L11" s="285"/>
      <c r="M11" s="285"/>
      <c r="N11" s="285"/>
      <c r="O11" s="285"/>
    </row>
    <row r="12" spans="1:24">
      <c r="A12" s="286">
        <v>1</v>
      </c>
      <c r="C12" s="592" t="s">
        <v>145</v>
      </c>
      <c r="D12" s="422"/>
      <c r="E12" s="422">
        <f>'CF WA Gas'!E5</f>
        <v>1</v>
      </c>
      <c r="I12" s="593">
        <f>'RR SUMMARY'!F24</f>
        <v>16802</v>
      </c>
      <c r="J12" s="593">
        <f>'RR SUMMARY'!H24</f>
        <v>4017.1601459644257</v>
      </c>
      <c r="L12" s="285"/>
      <c r="M12" s="594"/>
      <c r="N12" s="285"/>
      <c r="O12" s="285"/>
    </row>
    <row r="13" spans="1:24" ht="9" customHeight="1">
      <c r="A13" s="286"/>
      <c r="C13" s="592"/>
      <c r="D13" s="422"/>
      <c r="E13" s="422"/>
      <c r="L13" s="285"/>
      <c r="M13" s="285"/>
      <c r="N13" s="285"/>
      <c r="O13" s="285"/>
    </row>
    <row r="14" spans="1:24">
      <c r="A14" s="286"/>
      <c r="C14" s="592" t="s">
        <v>146</v>
      </c>
      <c r="D14" s="422"/>
      <c r="E14" s="422"/>
      <c r="L14" s="285"/>
      <c r="M14" s="285"/>
      <c r="N14" s="285"/>
      <c r="O14" s="285"/>
    </row>
    <row r="15" spans="1:24">
      <c r="A15" s="286">
        <v>2</v>
      </c>
      <c r="B15" s="576"/>
      <c r="C15" s="422" t="s">
        <v>147</v>
      </c>
      <c r="D15" s="422"/>
      <c r="E15" s="595">
        <f>'CF WA Gas'!E9</f>
        <v>4.9508674374747468E-3</v>
      </c>
      <c r="F15" s="596"/>
      <c r="I15" s="597">
        <f>ROUND($I$12*E15,0)</f>
        <v>83</v>
      </c>
      <c r="J15" s="597">
        <f>ROUND($J$12*E15,0)</f>
        <v>20</v>
      </c>
      <c r="L15" s="285"/>
      <c r="M15" s="598"/>
      <c r="N15" s="285"/>
      <c r="O15" s="285"/>
    </row>
    <row r="16" spans="1:24" ht="9" customHeight="1">
      <c r="A16" s="286"/>
      <c r="C16" s="422"/>
      <c r="D16" s="422"/>
      <c r="E16" s="595"/>
      <c r="L16" s="285"/>
      <c r="M16" s="285"/>
      <c r="N16" s="285"/>
      <c r="O16" s="285"/>
    </row>
    <row r="17" spans="1:15">
      <c r="A17" s="286">
        <v>3</v>
      </c>
      <c r="C17" s="422" t="s">
        <v>148</v>
      </c>
      <c r="D17" s="422"/>
      <c r="E17" s="595">
        <f>'CF WA Gas'!E11</f>
        <v>4.0000000000000001E-3</v>
      </c>
      <c r="I17" s="597">
        <f>ROUND($I$12*E17,0)</f>
        <v>67</v>
      </c>
      <c r="J17" s="597">
        <f>ROUND($J$12*E17,0)</f>
        <v>16</v>
      </c>
      <c r="L17" s="285"/>
      <c r="M17" s="598"/>
      <c r="N17" s="285"/>
      <c r="O17" s="285"/>
    </row>
    <row r="18" spans="1:15" ht="9" customHeight="1">
      <c r="A18" s="286"/>
      <c r="C18" s="422"/>
      <c r="D18" s="422"/>
      <c r="E18" s="595"/>
      <c r="L18" s="285"/>
      <c r="M18" s="285"/>
      <c r="N18" s="285"/>
      <c r="O18" s="285"/>
    </row>
    <row r="19" spans="1:15">
      <c r="A19" s="286">
        <v>4</v>
      </c>
      <c r="C19" s="422" t="s">
        <v>149</v>
      </c>
      <c r="D19" s="422"/>
      <c r="E19" s="595">
        <f>'CF WA Gas'!E13</f>
        <v>3.8329292586308468E-2</v>
      </c>
      <c r="F19" s="596"/>
      <c r="I19" s="597">
        <f>ROUND($I$12*E19,0)</f>
        <v>644</v>
      </c>
      <c r="J19" s="597">
        <f>ROUND($J$12*E19,0)</f>
        <v>154</v>
      </c>
      <c r="L19" s="285"/>
      <c r="M19" s="598"/>
      <c r="N19" s="285"/>
      <c r="O19" s="285"/>
    </row>
    <row r="20" spans="1:15" ht="9" customHeight="1">
      <c r="A20" s="286"/>
      <c r="C20" s="422"/>
      <c r="D20" s="422"/>
      <c r="E20" s="599"/>
      <c r="L20" s="285"/>
      <c r="M20" s="285"/>
      <c r="N20" s="285"/>
      <c r="O20" s="285"/>
    </row>
    <row r="21" spans="1:15">
      <c r="A21" s="286">
        <v>6</v>
      </c>
      <c r="C21" s="422" t="s">
        <v>150</v>
      </c>
      <c r="D21" s="422"/>
      <c r="E21" s="600">
        <f>SUM(E15:E19)</f>
        <v>4.7280160023783213E-2</v>
      </c>
      <c r="I21" s="601">
        <f>SUM(I15:I20)</f>
        <v>794</v>
      </c>
      <c r="J21" s="601">
        <f>SUM(J15:J20)</f>
        <v>190</v>
      </c>
      <c r="L21" s="285"/>
      <c r="M21" s="598"/>
      <c r="N21" s="285"/>
      <c r="O21" s="285"/>
    </row>
    <row r="22" spans="1:15" ht="9.75" customHeight="1">
      <c r="A22" s="286"/>
      <c r="C22" s="422"/>
      <c r="D22" s="422"/>
      <c r="E22" s="422"/>
      <c r="I22" s="598"/>
      <c r="J22" s="598"/>
      <c r="L22" s="285"/>
      <c r="M22" s="598"/>
      <c r="N22" s="285"/>
      <c r="O22" s="285"/>
    </row>
    <row r="23" spans="1:15">
      <c r="A23" s="286">
        <v>7</v>
      </c>
      <c r="C23" s="422" t="s">
        <v>151</v>
      </c>
      <c r="D23" s="422"/>
      <c r="E23" s="422">
        <f>E12-E21</f>
        <v>0.95271983997621679</v>
      </c>
      <c r="I23" s="598">
        <f>I12-I21</f>
        <v>16008</v>
      </c>
      <c r="J23" s="598">
        <f>J12-J21</f>
        <v>3827.1601459644257</v>
      </c>
      <c r="L23" s="285"/>
      <c r="M23" s="598"/>
      <c r="N23" s="285"/>
      <c r="O23" s="285"/>
    </row>
    <row r="24" spans="1:15" ht="9.75" customHeight="1">
      <c r="A24" s="286"/>
      <c r="C24" s="422"/>
      <c r="D24" s="422"/>
      <c r="E24" s="422"/>
      <c r="L24" s="285"/>
      <c r="M24" s="285"/>
      <c r="N24" s="285"/>
      <c r="O24" s="285"/>
    </row>
    <row r="25" spans="1:15">
      <c r="A25" s="286">
        <v>8</v>
      </c>
      <c r="C25" s="422" t="s">
        <v>436</v>
      </c>
      <c r="D25" s="602"/>
      <c r="E25" s="603">
        <f>'CF WA Gas'!E20</f>
        <v>0.20007116639500552</v>
      </c>
      <c r="I25" s="604">
        <f>ROUND(I23*0.21,0)</f>
        <v>3362</v>
      </c>
      <c r="J25" s="604">
        <f>ROUND(J23*0.21,0)</f>
        <v>804</v>
      </c>
      <c r="L25" s="285"/>
      <c r="M25" s="598"/>
      <c r="N25" s="285"/>
      <c r="O25" s="285"/>
    </row>
    <row r="26" spans="1:15" ht="9" customHeight="1">
      <c r="C26" s="422"/>
      <c r="D26" s="422"/>
      <c r="E26" s="422"/>
      <c r="L26" s="285"/>
      <c r="M26" s="285"/>
      <c r="N26" s="285"/>
      <c r="O26" s="285"/>
    </row>
    <row r="27" spans="1:15" ht="16" thickBot="1">
      <c r="A27" s="286">
        <v>9</v>
      </c>
      <c r="C27" s="422" t="s">
        <v>152</v>
      </c>
      <c r="D27" s="422"/>
      <c r="E27" s="605">
        <f>ROUND(E23-E25,6)</f>
        <v>0.75264900000000001</v>
      </c>
      <c r="I27" s="606">
        <f>I23-I25</f>
        <v>12646</v>
      </c>
      <c r="J27" s="606">
        <f>J23-J25</f>
        <v>3023.1601459644257</v>
      </c>
      <c r="L27" s="285"/>
      <c r="M27" s="607"/>
      <c r="N27" s="285"/>
      <c r="O27" s="285"/>
    </row>
    <row r="28" spans="1:15" ht="13.5" customHeight="1" thickTop="1">
      <c r="C28" s="294"/>
      <c r="D28" s="294"/>
      <c r="F28" s="608"/>
      <c r="G28" s="608"/>
      <c r="H28" s="608"/>
      <c r="L28" s="285"/>
      <c r="M28" s="285"/>
      <c r="N28" s="285"/>
      <c r="O28" s="285"/>
    </row>
    <row r="29" spans="1:15">
      <c r="A29" s="608"/>
      <c r="B29" s="608"/>
      <c r="C29" s="608"/>
      <c r="D29" s="608"/>
      <c r="E29" s="608"/>
      <c r="F29" s="608"/>
      <c r="G29" s="608"/>
      <c r="H29" s="608"/>
      <c r="I29" s="597">
        <f>I27/E27</f>
        <v>16801.988709212394</v>
      </c>
      <c r="J29" s="597">
        <f>J27/E27</f>
        <v>4016.6932341163351</v>
      </c>
      <c r="K29" s="273" t="s">
        <v>388</v>
      </c>
      <c r="L29" s="285"/>
      <c r="M29" s="285"/>
      <c r="N29" s="285"/>
      <c r="O29" s="285"/>
    </row>
    <row r="30" spans="1:15" ht="15.75" customHeight="1">
      <c r="A30" s="608"/>
      <c r="B30" s="608"/>
      <c r="C30" s="608"/>
      <c r="D30" s="608"/>
      <c r="E30" s="608"/>
      <c r="F30" s="608"/>
      <c r="G30" s="608"/>
      <c r="H30" s="608"/>
      <c r="I30" s="609">
        <f>I29-'RR SUMMARY'!F24</f>
        <v>-1.1290787606412778E-2</v>
      </c>
      <c r="J30" s="609">
        <f>J29-'RR SUMMARY'!H24</f>
        <v>-0.4669118480906036</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R91"/>
  <sheetViews>
    <sheetView zoomScaleNormal="100" zoomScaleSheetLayoutView="85" workbookViewId="0">
      <pane xSplit="5" ySplit="12" topLeftCell="F13" activePane="bottomRight" state="frozen"/>
      <selection pane="topRight" activeCell="F1" sqref="F1"/>
      <selection pane="bottomLeft" activeCell="A13" sqref="A13"/>
      <selection pane="bottomRight"/>
    </sheetView>
  </sheetViews>
  <sheetFormatPr defaultColWidth="10.54296875" defaultRowHeight="13"/>
  <cols>
    <col min="1" max="1" width="4.54296875" style="621" customWidth="1"/>
    <col min="2" max="3" width="1.54296875" style="622" customWidth="1"/>
    <col min="4" max="4" width="33.26953125" style="622" customWidth="1"/>
    <col min="5" max="5" width="13.1796875" style="623" customWidth="1"/>
    <col min="6" max="6" width="11.453125" style="625" customWidth="1"/>
    <col min="7" max="7" width="11.81640625" style="625" customWidth="1"/>
    <col min="8" max="8" width="10.7265625" style="625" customWidth="1"/>
    <col min="9" max="9" width="12" style="625" customWidth="1"/>
    <col min="10" max="10" width="10.26953125" style="625" customWidth="1"/>
    <col min="11" max="11" width="12" style="625" customWidth="1"/>
    <col min="12" max="12" width="12.81640625" style="625" customWidth="1"/>
    <col min="13" max="13" width="13" style="625" customWidth="1"/>
    <col min="14" max="14" width="11.7265625" style="625" customWidth="1"/>
    <col min="15" max="15" width="14.81640625" style="625" customWidth="1"/>
    <col min="16" max="16" width="11" style="625" customWidth="1"/>
    <col min="17" max="17" width="12.54296875" style="625" customWidth="1"/>
    <col min="18" max="18" width="17.26953125" style="625" customWidth="1"/>
    <col min="19" max="19" width="15.54296875" style="625" customWidth="1"/>
    <col min="20" max="20" width="21.26953125" style="626" customWidth="1"/>
    <col min="21" max="21" width="14.54296875" style="627" customWidth="1"/>
    <col min="22" max="22" width="16.54296875" style="625" customWidth="1"/>
    <col min="23" max="23" width="15.81640625" style="625" customWidth="1"/>
    <col min="24" max="24" width="3.7265625" style="627" hidden="1" customWidth="1"/>
    <col min="25" max="25" width="19.26953125" style="628" customWidth="1"/>
    <col min="26" max="26" width="15.1796875" style="625" customWidth="1"/>
    <col min="27" max="27" width="20.7265625" style="625" customWidth="1"/>
    <col min="28" max="28" width="12.1796875" style="625" customWidth="1"/>
    <col min="29" max="29" width="13.1796875" style="625" customWidth="1"/>
    <col min="30" max="30" width="11.453125" style="629" customWidth="1"/>
    <col min="31" max="31" width="11.1796875" style="628" customWidth="1"/>
    <col min="32" max="33" width="12" style="628" customWidth="1"/>
    <col min="34" max="34" width="12.1796875" style="628" customWidth="1"/>
    <col min="35" max="35" width="12.26953125" style="625" customWidth="1"/>
    <col min="36" max="36" width="13.81640625" style="625" customWidth="1"/>
    <col min="37" max="37" width="13.26953125" style="625" customWidth="1"/>
    <col min="38" max="38" width="11.81640625" style="625" customWidth="1"/>
    <col min="39" max="39" width="14.7265625" style="625" customWidth="1"/>
    <col min="40" max="40" width="17" style="625" bestFit="1" customWidth="1"/>
    <col min="41" max="41" width="14.81640625" style="625" customWidth="1"/>
    <col min="42" max="42" width="19.7265625" style="625" customWidth="1"/>
    <col min="43" max="43" width="17.1796875" style="625" customWidth="1"/>
    <col min="44" max="44" width="16.26953125" style="625" customWidth="1"/>
    <col min="45" max="45" width="11.81640625" style="625" customWidth="1"/>
    <col min="46" max="46" width="18" style="625" customWidth="1"/>
    <col min="47" max="47" width="19.81640625" style="625" customWidth="1"/>
    <col min="48" max="48" width="15.453125" style="625" customWidth="1"/>
    <col min="49" max="49" width="17.54296875" style="630" customWidth="1"/>
    <col min="50" max="50" width="1.54296875" style="631" hidden="1" customWidth="1"/>
    <col min="51" max="51" width="13.26953125" style="625" hidden="1" customWidth="1"/>
    <col min="52" max="52" width="18.453125" style="625" customWidth="1"/>
    <col min="53" max="53" width="15.54296875" style="629" customWidth="1"/>
    <col min="54" max="54" width="14.81640625" style="628" customWidth="1"/>
    <col min="55" max="55" width="13.26953125" style="625" customWidth="1"/>
    <col min="56" max="56" width="18.1796875" style="625" customWidth="1"/>
    <col min="57" max="57" width="15.1796875" style="625" customWidth="1"/>
    <col min="58" max="58" width="18.453125" style="625" customWidth="1"/>
    <col min="59" max="59" width="20.81640625" style="625" customWidth="1"/>
    <col min="60" max="60" width="17.1796875" style="628" customWidth="1"/>
    <col min="61" max="61" width="19.26953125" style="625" customWidth="1"/>
    <col min="62" max="62" width="10.54296875" style="632"/>
    <col min="63" max="70" width="10.54296875" style="633"/>
    <col min="71" max="16384" width="10.54296875" style="622"/>
  </cols>
  <sheetData>
    <row r="1" spans="1:70" ht="18" customHeight="1">
      <c r="F1" s="624"/>
      <c r="G1" s="624"/>
      <c r="H1" s="624"/>
      <c r="I1" s="624"/>
      <c r="J1" s="624"/>
      <c r="K1" s="624"/>
      <c r="L1" s="624"/>
      <c r="M1" s="624"/>
      <c r="N1" s="624"/>
      <c r="O1" s="624"/>
      <c r="P1" s="624"/>
      <c r="Q1" s="624"/>
      <c r="R1" s="624"/>
    </row>
    <row r="2" spans="1:70" s="848" customFormat="1" ht="18" customHeight="1">
      <c r="A2" s="847" t="str">
        <f>'ROO INPUT 1.00'!A3:C3</f>
        <v>AVISTA UTILITIES</v>
      </c>
      <c r="E2" s="630"/>
      <c r="F2" s="634" t="s">
        <v>414</v>
      </c>
      <c r="G2" s="849"/>
      <c r="H2" s="849"/>
      <c r="I2" s="849"/>
      <c r="J2" s="849"/>
      <c r="K2" s="849"/>
      <c r="L2" s="849"/>
      <c r="M2" s="849"/>
      <c r="N2" s="849"/>
      <c r="O2" s="849"/>
      <c r="P2" s="849"/>
      <c r="Q2" s="849"/>
      <c r="R2" s="849"/>
      <c r="S2" s="849"/>
      <c r="T2" s="850"/>
      <c r="U2" s="850"/>
      <c r="V2" s="214"/>
      <c r="W2" s="214"/>
      <c r="X2" s="850"/>
      <c r="Y2" s="628"/>
      <c r="Z2" s="628" t="s">
        <v>646</v>
      </c>
      <c r="AA2" s="628"/>
      <c r="AB2" s="851"/>
      <c r="AC2" s="577"/>
      <c r="AD2" s="629"/>
      <c r="AE2" s="851"/>
      <c r="AF2" s="628"/>
      <c r="AG2" s="628"/>
      <c r="AH2" s="851"/>
      <c r="AI2" s="214"/>
      <c r="AJ2" s="214"/>
      <c r="AK2" s="635"/>
      <c r="AL2" s="214"/>
      <c r="AM2" s="636"/>
      <c r="AN2" s="214"/>
      <c r="AO2" s="636"/>
      <c r="AP2" s="636"/>
      <c r="AQ2" s="636"/>
      <c r="AR2" s="636"/>
      <c r="AS2" s="636"/>
      <c r="AT2" s="531"/>
      <c r="AU2" s="628"/>
      <c r="AV2" s="628"/>
      <c r="AW2" s="630"/>
      <c r="AX2" s="631"/>
      <c r="AY2" s="851"/>
      <c r="AZ2" s="628" t="s">
        <v>645</v>
      </c>
      <c r="BA2" s="852"/>
      <c r="BB2" s="851"/>
      <c r="BC2" s="531"/>
      <c r="BD2" s="635"/>
      <c r="BE2" s="214"/>
      <c r="BF2" s="531"/>
      <c r="BG2" s="637"/>
      <c r="BH2" s="638"/>
      <c r="BI2" s="638"/>
      <c r="BJ2" s="853"/>
      <c r="BK2" s="531"/>
      <c r="BL2" s="531"/>
      <c r="BM2" s="531"/>
      <c r="BN2" s="531"/>
      <c r="BO2" s="531"/>
      <c r="BP2" s="531"/>
      <c r="BQ2" s="531"/>
      <c r="BR2" s="531"/>
    </row>
    <row r="3" spans="1:70" s="848" customFormat="1" ht="15" customHeight="1">
      <c r="A3" s="847" t="s">
        <v>400</v>
      </c>
      <c r="E3" s="630"/>
      <c r="F3" s="628"/>
      <c r="G3" s="628"/>
      <c r="H3" s="628"/>
      <c r="I3" s="628"/>
      <c r="J3" s="635"/>
      <c r="K3" s="628"/>
      <c r="L3" s="645"/>
      <c r="M3" s="628"/>
      <c r="N3" s="628"/>
      <c r="O3" s="628"/>
      <c r="P3" s="628"/>
      <c r="Q3" s="635"/>
      <c r="R3" s="637"/>
      <c r="S3" s="645"/>
      <c r="T3" s="850"/>
      <c r="U3" s="850"/>
      <c r="V3" s="639"/>
      <c r="W3" s="645"/>
      <c r="X3" s="850"/>
      <c r="Y3" s="628"/>
      <c r="Z3" s="628"/>
      <c r="AA3" s="640"/>
      <c r="AB3" s="645"/>
      <c r="AC3" s="638"/>
      <c r="AD3" s="641"/>
      <c r="AE3" s="214"/>
      <c r="AF3" s="645"/>
      <c r="AG3" s="645"/>
      <c r="AH3" s="645"/>
      <c r="AI3" s="645"/>
      <c r="AJ3" s="645"/>
      <c r="AK3" s="645"/>
      <c r="AL3" s="214"/>
      <c r="AM3" s="636"/>
      <c r="AN3" s="645"/>
      <c r="AO3" s="636"/>
      <c r="AP3" s="636"/>
      <c r="AQ3" s="636"/>
      <c r="AR3" s="636"/>
      <c r="AS3" s="636"/>
      <c r="AT3" s="531"/>
      <c r="AU3" s="645"/>
      <c r="AV3" s="645"/>
      <c r="AW3" s="630"/>
      <c r="AX3" s="631"/>
      <c r="AY3" s="645"/>
      <c r="AZ3" s="638"/>
      <c r="BA3" s="641"/>
      <c r="BB3" s="645"/>
      <c r="BC3" s="531"/>
      <c r="BD3" s="636"/>
      <c r="BE3" s="645"/>
      <c r="BF3" s="531"/>
      <c r="BG3" s="637"/>
      <c r="BH3" s="638"/>
      <c r="BI3" s="638"/>
      <c r="BJ3" s="853"/>
      <c r="BK3" s="531"/>
      <c r="BL3" s="531"/>
      <c r="BM3" s="531"/>
      <c r="BN3" s="531"/>
      <c r="BO3" s="531"/>
      <c r="BP3" s="531"/>
      <c r="BQ3" s="531"/>
      <c r="BR3" s="531"/>
    </row>
    <row r="4" spans="1:70" s="848" customFormat="1" ht="15" customHeight="1">
      <c r="A4" s="847" t="str">
        <f>'ROO INPUT 1.00'!A5:C5</f>
        <v>TWELVE MONTHS ENDED JUNE 30, 2023</v>
      </c>
      <c r="E4" s="642" t="s">
        <v>433</v>
      </c>
      <c r="F4" s="854"/>
      <c r="G4" s="855"/>
      <c r="H4" s="855"/>
      <c r="I4" s="855"/>
      <c r="J4" s="855"/>
      <c r="K4" s="643"/>
      <c r="L4" s="644"/>
      <c r="M4" s="628"/>
      <c r="N4" s="628"/>
      <c r="O4" s="628"/>
      <c r="P4" s="628"/>
      <c r="Q4" s="645"/>
      <c r="R4" s="628"/>
      <c r="S4" s="214"/>
      <c r="T4" s="856"/>
      <c r="U4" s="646"/>
      <c r="V4" s="639"/>
      <c r="W4" s="647"/>
      <c r="X4" s="646"/>
      <c r="Y4" s="628"/>
      <c r="Z4" s="628"/>
      <c r="AA4" s="648"/>
      <c r="AB4" s="647"/>
      <c r="AC4" s="577"/>
      <c r="AD4" s="641"/>
      <c r="AE4" s="214"/>
      <c r="AF4" s="649"/>
      <c r="AG4" s="649"/>
      <c r="AH4" s="647"/>
      <c r="AI4" s="647"/>
      <c r="AJ4" s="647"/>
      <c r="AK4" s="647"/>
      <c r="AL4" s="214"/>
      <c r="AM4" s="650"/>
      <c r="AN4" s="647"/>
      <c r="AO4" s="650"/>
      <c r="AP4" s="650"/>
      <c r="AQ4" s="650"/>
      <c r="AR4" s="650"/>
      <c r="AS4" s="650"/>
      <c r="AT4" s="531"/>
      <c r="AU4" s="647"/>
      <c r="AV4" s="647"/>
      <c r="AW4" s="3871" t="s">
        <v>642</v>
      </c>
      <c r="AX4" s="631"/>
      <c r="AY4" s="647"/>
      <c r="AZ4" s="577"/>
      <c r="BA4" s="641"/>
      <c r="BB4" s="647"/>
      <c r="BC4" s="531"/>
      <c r="BD4" s="636"/>
      <c r="BE4" s="650"/>
      <c r="BF4" s="531"/>
      <c r="BG4" s="637"/>
      <c r="BH4" s="3871" t="s">
        <v>643</v>
      </c>
      <c r="BI4" s="651"/>
      <c r="BJ4" s="853"/>
      <c r="BK4" s="531"/>
      <c r="BL4" s="531"/>
      <c r="BM4" s="531"/>
      <c r="BN4" s="531"/>
      <c r="BO4" s="531"/>
      <c r="BP4" s="531"/>
      <c r="BQ4" s="531"/>
      <c r="BR4" s="531"/>
    </row>
    <row r="5" spans="1:70" s="860" customFormat="1" ht="14.25" customHeight="1">
      <c r="A5" s="847" t="str">
        <f>'ROO INPUT 1.00'!A6:C6</f>
        <v xml:space="preserve">(000'S OF DOLLARS)   </v>
      </c>
      <c r="B5" s="815"/>
      <c r="C5" s="815"/>
      <c r="D5" s="815"/>
      <c r="E5" s="652" t="s">
        <v>435</v>
      </c>
      <c r="F5" s="854"/>
      <c r="G5" s="855"/>
      <c r="H5" s="855"/>
      <c r="I5" s="855"/>
      <c r="J5" s="855"/>
      <c r="K5" s="643"/>
      <c r="L5" s="644"/>
      <c r="M5" s="857"/>
      <c r="N5" s="857"/>
      <c r="O5" s="857"/>
      <c r="P5" s="857"/>
      <c r="Q5" s="645"/>
      <c r="R5" s="857"/>
      <c r="S5" s="638"/>
      <c r="T5" s="653"/>
      <c r="U5" s="654"/>
      <c r="V5" s="655"/>
      <c r="W5" s="656"/>
      <c r="X5" s="654"/>
      <c r="Y5" s="857"/>
      <c r="Z5" s="657"/>
      <c r="AA5" s="648"/>
      <c r="AB5" s="647"/>
      <c r="AC5" s="638"/>
      <c r="AD5" s="858"/>
      <c r="AE5" s="657"/>
      <c r="AF5" s="656"/>
      <c r="AG5" s="656"/>
      <c r="AH5" s="647"/>
      <c r="AI5" s="647"/>
      <c r="AJ5" s="647"/>
      <c r="AK5" s="647"/>
      <c r="AL5" s="655"/>
      <c r="AM5" s="644"/>
      <c r="AN5" s="647"/>
      <c r="AO5" s="636"/>
      <c r="AP5" s="636"/>
      <c r="AQ5" s="636"/>
      <c r="AR5" s="636"/>
      <c r="AS5" s="636"/>
      <c r="AT5" s="531"/>
      <c r="AU5" s="656"/>
      <c r="AV5" s="656"/>
      <c r="AW5" s="3871"/>
      <c r="AX5" s="859"/>
      <c r="AY5" s="647"/>
      <c r="AZ5" s="638"/>
      <c r="BA5" s="658"/>
      <c r="BB5" s="656"/>
      <c r="BC5" s="531"/>
      <c r="BD5" s="636"/>
      <c r="BE5" s="644"/>
      <c r="BF5" s="531"/>
      <c r="BG5" s="656"/>
      <c r="BH5" s="3871"/>
      <c r="BI5" s="659" t="s">
        <v>519</v>
      </c>
      <c r="BJ5" s="684"/>
      <c r="BK5" s="531"/>
      <c r="BL5" s="531"/>
      <c r="BM5" s="531"/>
      <c r="BN5" s="531"/>
      <c r="BO5" s="531"/>
      <c r="BP5" s="531"/>
      <c r="BQ5" s="531"/>
      <c r="BR5" s="531"/>
    </row>
    <row r="6" spans="1:70" s="662" customFormat="1" ht="46.5">
      <c r="A6" s="661"/>
      <c r="D6" s="861"/>
      <c r="E6" s="570"/>
      <c r="F6" s="4109" t="s">
        <v>3474</v>
      </c>
      <c r="G6" s="4110"/>
      <c r="H6" s="4110"/>
      <c r="I6" s="4110"/>
      <c r="J6" s="4110"/>
      <c r="K6" s="4110"/>
      <c r="L6" s="4110"/>
      <c r="M6" s="4110"/>
      <c r="N6" s="4110"/>
      <c r="O6" s="4110"/>
      <c r="P6" s="4110"/>
      <c r="Q6" s="4110"/>
      <c r="R6" s="4110"/>
      <c r="S6" s="4110"/>
      <c r="T6" s="4111" t="s">
        <v>3475</v>
      </c>
      <c r="U6" s="4110"/>
      <c r="V6" s="4110"/>
      <c r="W6" s="4110"/>
      <c r="X6" s="4112"/>
      <c r="Y6" s="4110"/>
      <c r="Z6" s="4110"/>
      <c r="AA6" s="4110"/>
      <c r="AB6" s="4110"/>
      <c r="AC6" s="4113"/>
      <c r="AD6" s="4113" t="s">
        <v>3476</v>
      </c>
      <c r="AE6" s="4113" t="s">
        <v>3477</v>
      </c>
      <c r="AF6" s="4113" t="s">
        <v>3478</v>
      </c>
      <c r="AG6" s="4110"/>
      <c r="AH6" s="4114"/>
      <c r="AI6" s="4110"/>
      <c r="AJ6" s="4113" t="s">
        <v>3479</v>
      </c>
      <c r="AK6" s="4110"/>
      <c r="AL6" s="4113"/>
      <c r="AM6" s="4115" t="s">
        <v>3480</v>
      </c>
      <c r="AN6" s="4113" t="s">
        <v>3481</v>
      </c>
      <c r="AO6" s="4113" t="s">
        <v>3481</v>
      </c>
      <c r="AP6" s="4113" t="s">
        <v>3481</v>
      </c>
      <c r="AQ6" s="4116"/>
      <c r="AR6" s="4110"/>
      <c r="AS6" s="4110"/>
      <c r="AT6" s="4113" t="s">
        <v>3482</v>
      </c>
      <c r="AU6" s="4117" t="s">
        <v>3483</v>
      </c>
      <c r="AV6" s="4117" t="s">
        <v>3484</v>
      </c>
      <c r="AW6" s="664" t="s">
        <v>517</v>
      </c>
      <c r="AX6" s="665"/>
      <c r="AY6" s="663"/>
      <c r="AZ6" s="663"/>
      <c r="BA6" s="4113" t="s">
        <v>3476</v>
      </c>
      <c r="BB6" s="4113" t="s">
        <v>3478</v>
      </c>
      <c r="BC6" s="4113" t="s">
        <v>3479</v>
      </c>
      <c r="BD6" s="4110"/>
      <c r="BE6" s="4115" t="s">
        <v>3480</v>
      </c>
      <c r="BF6" s="4113" t="s">
        <v>3482</v>
      </c>
      <c r="BG6" s="4117" t="s">
        <v>3483</v>
      </c>
      <c r="BH6" s="664" t="s">
        <v>519</v>
      </c>
      <c r="BI6" s="666" t="s">
        <v>521</v>
      </c>
      <c r="BJ6" s="660"/>
      <c r="BK6" s="633"/>
      <c r="BL6" s="633"/>
      <c r="BM6" s="633"/>
      <c r="BN6" s="633"/>
      <c r="BO6" s="633"/>
      <c r="BP6" s="633"/>
      <c r="BQ6" s="633"/>
      <c r="BR6" s="633"/>
    </row>
    <row r="7" spans="1:70" s="685" customFormat="1">
      <c r="A7" s="667"/>
      <c r="B7" s="668"/>
      <c r="C7" s="669"/>
      <c r="D7" s="845"/>
      <c r="E7" s="670"/>
      <c r="F7" s="670" t="s">
        <v>0</v>
      </c>
      <c r="G7" s="670" t="s">
        <v>424</v>
      </c>
      <c r="H7" s="670" t="s">
        <v>391</v>
      </c>
      <c r="I7" s="670" t="s">
        <v>1</v>
      </c>
      <c r="J7" s="670" t="s">
        <v>4</v>
      </c>
      <c r="K7" s="670" t="s">
        <v>112</v>
      </c>
      <c r="L7" s="670" t="s">
        <v>2</v>
      </c>
      <c r="M7" s="670" t="s">
        <v>3</v>
      </c>
      <c r="N7" s="670" t="s">
        <v>386</v>
      </c>
      <c r="O7" s="670" t="s">
        <v>5</v>
      </c>
      <c r="P7" s="670" t="s">
        <v>4</v>
      </c>
      <c r="Q7" s="670" t="s">
        <v>125</v>
      </c>
      <c r="R7" s="670" t="s">
        <v>403</v>
      </c>
      <c r="S7" s="671" t="s">
        <v>405</v>
      </c>
      <c r="T7" s="672" t="s">
        <v>429</v>
      </c>
      <c r="U7" s="673" t="s">
        <v>155</v>
      </c>
      <c r="V7" s="671" t="s">
        <v>4</v>
      </c>
      <c r="W7" s="674" t="s">
        <v>4</v>
      </c>
      <c r="X7" s="674"/>
      <c r="Y7" s="675" t="s">
        <v>395</v>
      </c>
      <c r="Z7" s="676" t="s">
        <v>14</v>
      </c>
      <c r="AA7" s="674" t="s">
        <v>394</v>
      </c>
      <c r="AB7" s="670" t="s">
        <v>14</v>
      </c>
      <c r="AC7" s="670" t="s">
        <v>14</v>
      </c>
      <c r="AD7" s="677" t="s">
        <v>394</v>
      </c>
      <c r="AE7" s="670" t="s">
        <v>14</v>
      </c>
      <c r="AF7" s="670" t="s">
        <v>14</v>
      </c>
      <c r="AG7" s="670" t="s">
        <v>14</v>
      </c>
      <c r="AH7" s="670" t="s">
        <v>14</v>
      </c>
      <c r="AI7" s="670" t="s">
        <v>14</v>
      </c>
      <c r="AJ7" s="670" t="s">
        <v>14</v>
      </c>
      <c r="AK7" s="670" t="s">
        <v>14</v>
      </c>
      <c r="AL7" s="670" t="s">
        <v>14</v>
      </c>
      <c r="AM7" s="670" t="s">
        <v>14</v>
      </c>
      <c r="AN7" s="678" t="s">
        <v>14</v>
      </c>
      <c r="AO7" s="678" t="s">
        <v>14</v>
      </c>
      <c r="AP7" s="678" t="s">
        <v>14</v>
      </c>
      <c r="AQ7" s="678" t="s">
        <v>14</v>
      </c>
      <c r="AR7" s="678" t="s">
        <v>14</v>
      </c>
      <c r="AS7" s="678" t="s">
        <v>14</v>
      </c>
      <c r="AT7" s="679" t="s">
        <v>609</v>
      </c>
      <c r="AU7" s="679" t="s">
        <v>559</v>
      </c>
      <c r="AV7" s="3835" t="s">
        <v>3408</v>
      </c>
      <c r="AW7" s="680" t="s">
        <v>549</v>
      </c>
      <c r="AX7" s="681"/>
      <c r="AY7" s="670"/>
      <c r="AZ7" s="670" t="s">
        <v>14</v>
      </c>
      <c r="BA7" s="677" t="s">
        <v>394</v>
      </c>
      <c r="BB7" s="670" t="s">
        <v>14</v>
      </c>
      <c r="BC7" s="670" t="s">
        <v>14</v>
      </c>
      <c r="BD7" s="678" t="s">
        <v>14</v>
      </c>
      <c r="BE7" s="670" t="s">
        <v>14</v>
      </c>
      <c r="BF7" s="679" t="s">
        <v>609</v>
      </c>
      <c r="BG7" s="682">
        <v>2026</v>
      </c>
      <c r="BH7" s="683" t="s">
        <v>551</v>
      </c>
      <c r="BI7" s="863" t="s">
        <v>639</v>
      </c>
      <c r="BJ7" s="684"/>
      <c r="BK7" s="531"/>
      <c r="BL7" s="531"/>
      <c r="BM7" s="531"/>
      <c r="BN7" s="531"/>
      <c r="BO7" s="531"/>
      <c r="BP7" s="531"/>
      <c r="BQ7" s="531"/>
      <c r="BR7" s="531"/>
    </row>
    <row r="8" spans="1:70" s="685" customFormat="1">
      <c r="A8" s="686" t="s">
        <v>6</v>
      </c>
      <c r="B8" s="687"/>
      <c r="C8" s="684"/>
      <c r="D8" s="846"/>
      <c r="E8" s="688" t="s">
        <v>567</v>
      </c>
      <c r="F8" s="688" t="s">
        <v>8</v>
      </c>
      <c r="G8" s="688" t="s">
        <v>425</v>
      </c>
      <c r="H8" s="688" t="s">
        <v>128</v>
      </c>
      <c r="I8" s="688" t="s">
        <v>9</v>
      </c>
      <c r="J8" s="688" t="s">
        <v>10</v>
      </c>
      <c r="K8" s="688" t="s">
        <v>11</v>
      </c>
      <c r="L8" s="688" t="s">
        <v>11</v>
      </c>
      <c r="M8" s="688" t="s">
        <v>428</v>
      </c>
      <c r="N8" s="688" t="s">
        <v>387</v>
      </c>
      <c r="O8" s="688" t="s">
        <v>13</v>
      </c>
      <c r="P8" s="688" t="s">
        <v>126</v>
      </c>
      <c r="Q8" s="688" t="s">
        <v>426</v>
      </c>
      <c r="R8" s="688" t="s">
        <v>404</v>
      </c>
      <c r="S8" s="689" t="s">
        <v>406</v>
      </c>
      <c r="T8" s="690" t="s">
        <v>430</v>
      </c>
      <c r="U8" s="691" t="s">
        <v>423</v>
      </c>
      <c r="V8" s="689" t="s">
        <v>12</v>
      </c>
      <c r="W8" s="692" t="s">
        <v>128</v>
      </c>
      <c r="X8" s="689"/>
      <c r="Y8" s="693" t="s">
        <v>198</v>
      </c>
      <c r="Z8" s="694" t="s">
        <v>402</v>
      </c>
      <c r="AA8" s="695" t="s">
        <v>467</v>
      </c>
      <c r="AB8" s="696" t="s">
        <v>569</v>
      </c>
      <c r="AC8" s="696" t="s">
        <v>443</v>
      </c>
      <c r="AD8" s="697" t="s">
        <v>123</v>
      </c>
      <c r="AE8" s="696" t="s">
        <v>123</v>
      </c>
      <c r="AF8" s="696" t="s">
        <v>432</v>
      </c>
      <c r="AG8" s="696" t="s">
        <v>423</v>
      </c>
      <c r="AH8" s="696" t="s">
        <v>531</v>
      </c>
      <c r="AI8" s="688" t="s">
        <v>612</v>
      </c>
      <c r="AJ8" s="688" t="s">
        <v>10</v>
      </c>
      <c r="AK8" s="688" t="s">
        <v>446</v>
      </c>
      <c r="AL8" s="696" t="s">
        <v>431</v>
      </c>
      <c r="AM8" s="696" t="s">
        <v>515</v>
      </c>
      <c r="AN8" s="698" t="s">
        <v>604</v>
      </c>
      <c r="AO8" s="698" t="s">
        <v>43</v>
      </c>
      <c r="AP8" s="698" t="s">
        <v>604</v>
      </c>
      <c r="AQ8" s="699" t="s">
        <v>605</v>
      </c>
      <c r="AR8" s="699" t="s">
        <v>623</v>
      </c>
      <c r="AS8" s="699" t="s">
        <v>636</v>
      </c>
      <c r="AT8" s="698" t="s">
        <v>604</v>
      </c>
      <c r="AU8" s="698" t="s">
        <v>570</v>
      </c>
      <c r="AV8" s="3836" t="s">
        <v>3409</v>
      </c>
      <c r="AW8" s="700" t="s">
        <v>518</v>
      </c>
      <c r="AX8" s="640"/>
      <c r="AY8" s="696"/>
      <c r="AZ8" s="696" t="s">
        <v>443</v>
      </c>
      <c r="BA8" s="697" t="s">
        <v>123</v>
      </c>
      <c r="BB8" s="696" t="s">
        <v>432</v>
      </c>
      <c r="BC8" s="688" t="s">
        <v>10</v>
      </c>
      <c r="BD8" s="699" t="s">
        <v>623</v>
      </c>
      <c r="BE8" s="696" t="s">
        <v>515</v>
      </c>
      <c r="BF8" s="698" t="s">
        <v>614</v>
      </c>
      <c r="BG8" s="698" t="s">
        <v>570</v>
      </c>
      <c r="BH8" s="693" t="s">
        <v>518</v>
      </c>
      <c r="BI8" s="701" t="s">
        <v>518</v>
      </c>
      <c r="BJ8" s="684"/>
      <c r="BK8" s="531"/>
      <c r="BL8" s="531"/>
      <c r="BM8" s="531"/>
      <c r="BN8" s="531"/>
      <c r="BO8" s="531"/>
      <c r="BP8" s="531"/>
      <c r="BQ8" s="531"/>
      <c r="BR8" s="531"/>
    </row>
    <row r="9" spans="1:70" s="685" customFormat="1">
      <c r="A9" s="702" t="s">
        <v>15</v>
      </c>
      <c r="B9" s="703"/>
      <c r="C9" s="704"/>
      <c r="D9" s="705" t="s">
        <v>16</v>
      </c>
      <c r="E9" s="706" t="s">
        <v>568</v>
      </c>
      <c r="F9" s="706" t="s">
        <v>18</v>
      </c>
      <c r="G9" s="706" t="s">
        <v>202</v>
      </c>
      <c r="H9" s="706"/>
      <c r="I9" s="706" t="s">
        <v>20</v>
      </c>
      <c r="J9" s="706" t="s">
        <v>21</v>
      </c>
      <c r="K9" s="706"/>
      <c r="L9" s="706"/>
      <c r="M9" s="706" t="s">
        <v>22</v>
      </c>
      <c r="N9" s="706" t="s">
        <v>11</v>
      </c>
      <c r="O9" s="706" t="s">
        <v>444</v>
      </c>
      <c r="P9" s="706" t="s">
        <v>20</v>
      </c>
      <c r="Q9" s="706" t="s">
        <v>427</v>
      </c>
      <c r="R9" s="706" t="s">
        <v>113</v>
      </c>
      <c r="S9" s="707" t="s">
        <v>407</v>
      </c>
      <c r="T9" s="708" t="s">
        <v>445</v>
      </c>
      <c r="U9" s="709" t="s">
        <v>11</v>
      </c>
      <c r="V9" s="707" t="s">
        <v>23</v>
      </c>
      <c r="W9" s="710" t="s">
        <v>617</v>
      </c>
      <c r="X9" s="707"/>
      <c r="Y9" s="711"/>
      <c r="Z9" s="712" t="s">
        <v>397</v>
      </c>
      <c r="AA9" s="710" t="s">
        <v>468</v>
      </c>
      <c r="AB9" s="706" t="s">
        <v>556</v>
      </c>
      <c r="AC9" s="713" t="s">
        <v>411</v>
      </c>
      <c r="AD9" s="714" t="s">
        <v>558</v>
      </c>
      <c r="AE9" s="715" t="s">
        <v>124</v>
      </c>
      <c r="AF9" s="715" t="s">
        <v>154</v>
      </c>
      <c r="AG9" s="715"/>
      <c r="AH9" s="715" t="s">
        <v>123</v>
      </c>
      <c r="AI9" s="706" t="s">
        <v>123</v>
      </c>
      <c r="AJ9" s="706" t="s">
        <v>21</v>
      </c>
      <c r="AK9" s="706" t="s">
        <v>11</v>
      </c>
      <c r="AL9" s="706" t="s">
        <v>11</v>
      </c>
      <c r="AM9" s="706" t="s">
        <v>516</v>
      </c>
      <c r="AN9" s="713" t="s">
        <v>629</v>
      </c>
      <c r="AO9" s="713" t="s">
        <v>11</v>
      </c>
      <c r="AP9" s="713" t="s">
        <v>631</v>
      </c>
      <c r="AQ9" s="713" t="s">
        <v>606</v>
      </c>
      <c r="AR9" s="713" t="s">
        <v>11</v>
      </c>
      <c r="AS9" s="713" t="s">
        <v>11</v>
      </c>
      <c r="AT9" s="716" t="s">
        <v>610</v>
      </c>
      <c r="AU9" s="716" t="s">
        <v>571</v>
      </c>
      <c r="AV9" s="3837" t="s">
        <v>11</v>
      </c>
      <c r="AW9" s="717" t="s">
        <v>198</v>
      </c>
      <c r="AX9" s="718"/>
      <c r="AY9" s="706"/>
      <c r="AZ9" s="713" t="s">
        <v>411</v>
      </c>
      <c r="BA9" s="714" t="s">
        <v>558</v>
      </c>
      <c r="BB9" s="715" t="s">
        <v>154</v>
      </c>
      <c r="BC9" s="706" t="s">
        <v>21</v>
      </c>
      <c r="BD9" s="713" t="s">
        <v>11</v>
      </c>
      <c r="BE9" s="706" t="s">
        <v>516</v>
      </c>
      <c r="BF9" s="716" t="s">
        <v>615</v>
      </c>
      <c r="BG9" s="716" t="s">
        <v>571</v>
      </c>
      <c r="BH9" s="719" t="s">
        <v>198</v>
      </c>
      <c r="BI9" s="666" t="s">
        <v>198</v>
      </c>
      <c r="BJ9" s="684"/>
      <c r="BK9" s="531"/>
      <c r="BL9" s="531"/>
      <c r="BM9" s="531"/>
      <c r="BN9" s="531"/>
      <c r="BO9" s="531"/>
      <c r="BP9" s="531"/>
      <c r="BQ9" s="531"/>
      <c r="BR9" s="531"/>
    </row>
    <row r="10" spans="1:70" s="685" customFormat="1">
      <c r="A10" s="657"/>
      <c r="B10" s="862" t="s">
        <v>171</v>
      </c>
      <c r="E10" s="720">
        <v>1</v>
      </c>
      <c r="F10" s="720">
        <f>E10+0.01</f>
        <v>1.01</v>
      </c>
      <c r="G10" s="720">
        <f t="shared" ref="G10" si="0">F10+0.01</f>
        <v>1.02</v>
      </c>
      <c r="H10" s="720">
        <f>G10+0.01</f>
        <v>1.03</v>
      </c>
      <c r="I10" s="720">
        <v>2.0099999999999998</v>
      </c>
      <c r="J10" s="720">
        <f>I10+0.01</f>
        <v>2.0199999999999996</v>
      </c>
      <c r="K10" s="720">
        <f t="shared" ref="K10:R10" si="1">J10+0.01</f>
        <v>2.0299999999999994</v>
      </c>
      <c r="L10" s="720">
        <f t="shared" si="1"/>
        <v>2.0399999999999991</v>
      </c>
      <c r="M10" s="720">
        <f t="shared" si="1"/>
        <v>2.0499999999999989</v>
      </c>
      <c r="N10" s="720">
        <f t="shared" si="1"/>
        <v>2.0599999999999987</v>
      </c>
      <c r="O10" s="720">
        <f t="shared" si="1"/>
        <v>2.0699999999999985</v>
      </c>
      <c r="P10" s="720">
        <f t="shared" si="1"/>
        <v>2.0799999999999983</v>
      </c>
      <c r="Q10" s="720">
        <f t="shared" si="1"/>
        <v>2.0899999999999981</v>
      </c>
      <c r="R10" s="720">
        <f t="shared" si="1"/>
        <v>2.0999999999999979</v>
      </c>
      <c r="S10" s="721">
        <f t="shared" ref="S10" si="2">R10+0.01</f>
        <v>2.1099999999999977</v>
      </c>
      <c r="T10" s="722">
        <f t="shared" ref="T10" si="3">S10+0.01</f>
        <v>2.1199999999999974</v>
      </c>
      <c r="U10" s="722">
        <f t="shared" ref="U10" si="4">T10+0.01</f>
        <v>2.1299999999999972</v>
      </c>
      <c r="V10" s="721">
        <f t="shared" ref="V10" si="5">U10+0.01</f>
        <v>2.139999999999997</v>
      </c>
      <c r="W10" s="721">
        <f>V10+0.01</f>
        <v>2.1499999999999968</v>
      </c>
      <c r="X10" s="722"/>
      <c r="Y10" s="723"/>
      <c r="Z10" s="721">
        <v>3.01</v>
      </c>
      <c r="AA10" s="721">
        <f>Z10+0.01</f>
        <v>3.0199999999999996</v>
      </c>
      <c r="AB10" s="721">
        <f t="shared" ref="AB10" si="6">AA10+0.01</f>
        <v>3.0299999999999994</v>
      </c>
      <c r="AC10" s="721">
        <f t="shared" ref="AC10" si="7">AB10+0.01</f>
        <v>3.0399999999999991</v>
      </c>
      <c r="AD10" s="724">
        <f t="shared" ref="AD10" si="8">AC10+0.01</f>
        <v>3.0499999999999989</v>
      </c>
      <c r="AE10" s="721">
        <f t="shared" ref="AE10" si="9">AD10+0.01</f>
        <v>3.0599999999999987</v>
      </c>
      <c r="AF10" s="721">
        <f t="shared" ref="AF10" si="10">AE10+0.01</f>
        <v>3.0699999999999985</v>
      </c>
      <c r="AG10" s="721">
        <f t="shared" ref="AG10" si="11">AF10+0.01</f>
        <v>3.0799999999999983</v>
      </c>
      <c r="AH10" s="721">
        <f t="shared" ref="AH10" si="12">AG10+0.01</f>
        <v>3.0899999999999981</v>
      </c>
      <c r="AI10" s="721">
        <f t="shared" ref="AI10" si="13">AH10+0.01</f>
        <v>3.0999999999999979</v>
      </c>
      <c r="AJ10" s="721">
        <f>AI10+0.01</f>
        <v>3.1099999999999977</v>
      </c>
      <c r="AK10" s="721">
        <f t="shared" ref="AK10" si="14">AJ10+0.01</f>
        <v>3.1199999999999974</v>
      </c>
      <c r="AL10" s="721">
        <f t="shared" ref="AL10" si="15">AK10+0.01</f>
        <v>3.1299999999999972</v>
      </c>
      <c r="AM10" s="721">
        <f t="shared" ref="AM10" si="16">AL10+0.01</f>
        <v>3.139999999999997</v>
      </c>
      <c r="AN10" s="721">
        <f t="shared" ref="AN10" si="17">AM10+0.01</f>
        <v>3.1499999999999968</v>
      </c>
      <c r="AO10" s="721">
        <f t="shared" ref="AO10" si="18">AN10+0.01</f>
        <v>3.1599999999999966</v>
      </c>
      <c r="AP10" s="721">
        <f t="shared" ref="AP10" si="19">AO10+0.01</f>
        <v>3.1699999999999964</v>
      </c>
      <c r="AQ10" s="721">
        <f t="shared" ref="AQ10:AS10" si="20">AP10+0.01</f>
        <v>3.1799999999999962</v>
      </c>
      <c r="AR10" s="721">
        <f t="shared" si="20"/>
        <v>3.1899999999999959</v>
      </c>
      <c r="AS10" s="725">
        <f t="shared" si="20"/>
        <v>3.1999999999999957</v>
      </c>
      <c r="AT10" s="726">
        <f>4.01</f>
        <v>4.01</v>
      </c>
      <c r="AU10" s="727">
        <f t="shared" ref="AU10" si="21">AT10+0.01</f>
        <v>4.0199999999999996</v>
      </c>
      <c r="AV10" s="3838" t="s">
        <v>3410</v>
      </c>
      <c r="AW10" s="728"/>
      <c r="AX10" s="718"/>
      <c r="AY10" s="721"/>
      <c r="AZ10" s="721">
        <f>5.01</f>
        <v>5.01</v>
      </c>
      <c r="BA10" s="724">
        <f>AZ10+0.01</f>
        <v>5.0199999999999996</v>
      </c>
      <c r="BB10" s="721">
        <f t="shared" ref="BB10" si="22">BA10+0.01</f>
        <v>5.0299999999999994</v>
      </c>
      <c r="BC10" s="721">
        <f t="shared" ref="BC10" si="23">BB10+0.01</f>
        <v>5.0399999999999991</v>
      </c>
      <c r="BD10" s="721">
        <f t="shared" ref="BD10" si="24">BC10+0.01</f>
        <v>5.0499999999999989</v>
      </c>
      <c r="BE10" s="721">
        <f>BD10+0.01</f>
        <v>5.0599999999999987</v>
      </c>
      <c r="BF10" s="721">
        <f t="shared" ref="BF10" si="25">BE10+0.01</f>
        <v>5.0699999999999985</v>
      </c>
      <c r="BG10" s="721">
        <f t="shared" ref="BG10" si="26">BF10+0.01</f>
        <v>5.0799999999999983</v>
      </c>
      <c r="BH10" s="729" t="s">
        <v>520</v>
      </c>
      <c r="BI10" s="730" t="s">
        <v>522</v>
      </c>
      <c r="BJ10" s="684"/>
      <c r="BK10" s="531"/>
      <c r="BL10" s="531"/>
      <c r="BM10" s="531"/>
      <c r="BN10" s="531"/>
      <c r="BO10" s="531"/>
      <c r="BP10" s="531"/>
      <c r="BQ10" s="531"/>
      <c r="BR10" s="531"/>
    </row>
    <row r="11" spans="1:70" s="685" customFormat="1">
      <c r="A11" s="657"/>
      <c r="B11" s="862" t="s">
        <v>172</v>
      </c>
      <c r="E11" s="635" t="s">
        <v>173</v>
      </c>
      <c r="F11" s="635" t="s">
        <v>174</v>
      </c>
      <c r="G11" s="635" t="s">
        <v>175</v>
      </c>
      <c r="H11" s="635" t="s">
        <v>392</v>
      </c>
      <c r="I11" s="635" t="s">
        <v>176</v>
      </c>
      <c r="J11" s="635" t="s">
        <v>389</v>
      </c>
      <c r="K11" s="635" t="s">
        <v>177</v>
      </c>
      <c r="L11" s="635" t="s">
        <v>178</v>
      </c>
      <c r="M11" s="635" t="s">
        <v>179</v>
      </c>
      <c r="N11" s="635" t="s">
        <v>180</v>
      </c>
      <c r="O11" s="635" t="s">
        <v>182</v>
      </c>
      <c r="P11" s="635" t="s">
        <v>383</v>
      </c>
      <c r="Q11" s="635" t="s">
        <v>181</v>
      </c>
      <c r="R11" s="635" t="s">
        <v>416</v>
      </c>
      <c r="S11" s="635" t="s">
        <v>408</v>
      </c>
      <c r="T11" s="731" t="s">
        <v>183</v>
      </c>
      <c r="U11" s="731" t="s">
        <v>184</v>
      </c>
      <c r="V11" s="635" t="s">
        <v>625</v>
      </c>
      <c r="W11" s="727" t="s">
        <v>628</v>
      </c>
      <c r="X11" s="731"/>
      <c r="Y11" s="723" t="s">
        <v>384</v>
      </c>
      <c r="Z11" s="635" t="s">
        <v>410</v>
      </c>
      <c r="AA11" s="635" t="s">
        <v>469</v>
      </c>
      <c r="AB11" s="635" t="s">
        <v>557</v>
      </c>
      <c r="AC11" s="635" t="s">
        <v>466</v>
      </c>
      <c r="AD11" s="732" t="s">
        <v>185</v>
      </c>
      <c r="AE11" s="635" t="s">
        <v>186</v>
      </c>
      <c r="AF11" s="635" t="s">
        <v>187</v>
      </c>
      <c r="AG11" s="635" t="s">
        <v>638</v>
      </c>
      <c r="AH11" s="635" t="s">
        <v>532</v>
      </c>
      <c r="AI11" s="635" t="s">
        <v>613</v>
      </c>
      <c r="AJ11" s="635" t="s">
        <v>390</v>
      </c>
      <c r="AK11" s="635" t="s">
        <v>448</v>
      </c>
      <c r="AL11" s="635" t="s">
        <v>447</v>
      </c>
      <c r="AM11" s="635" t="s">
        <v>530</v>
      </c>
      <c r="AN11" s="727" t="s">
        <v>630</v>
      </c>
      <c r="AO11" s="727" t="s">
        <v>607</v>
      </c>
      <c r="AP11" s="727" t="s">
        <v>632</v>
      </c>
      <c r="AQ11" s="725" t="s">
        <v>608</v>
      </c>
      <c r="AR11" s="635" t="s">
        <v>622</v>
      </c>
      <c r="AS11" s="725" t="s">
        <v>637</v>
      </c>
      <c r="AT11" s="727" t="s">
        <v>611</v>
      </c>
      <c r="AU11" s="727" t="s">
        <v>560</v>
      </c>
      <c r="AV11" s="727"/>
      <c r="AW11" s="728" t="s">
        <v>385</v>
      </c>
      <c r="AX11" s="718"/>
      <c r="AY11" s="635"/>
      <c r="AZ11" s="635" t="s">
        <v>561</v>
      </c>
      <c r="BA11" s="732" t="s">
        <v>562</v>
      </c>
      <c r="BB11" s="635" t="s">
        <v>563</v>
      </c>
      <c r="BC11" s="635" t="s">
        <v>564</v>
      </c>
      <c r="BD11" s="635" t="s">
        <v>624</v>
      </c>
      <c r="BE11" s="727" t="s">
        <v>565</v>
      </c>
      <c r="BF11" s="727" t="s">
        <v>616</v>
      </c>
      <c r="BG11" s="727" t="s">
        <v>566</v>
      </c>
      <c r="BH11" s="733"/>
      <c r="BI11" s="864"/>
      <c r="BJ11" s="684"/>
      <c r="BK11" s="531"/>
      <c r="BL11" s="531"/>
      <c r="BM11" s="531"/>
      <c r="BN11" s="531"/>
      <c r="BO11" s="531"/>
      <c r="BP11" s="531"/>
      <c r="BQ11" s="531"/>
      <c r="BR11" s="531"/>
    </row>
    <row r="12" spans="1:70" s="734" customFormat="1" ht="6" customHeight="1">
      <c r="A12" s="661"/>
      <c r="E12" s="625"/>
      <c r="F12" s="625"/>
      <c r="G12" s="625"/>
      <c r="H12" s="625"/>
      <c r="I12" s="625"/>
      <c r="J12" s="625"/>
      <c r="K12" s="625"/>
      <c r="L12" s="625"/>
      <c r="M12" s="625"/>
      <c r="N12" s="625"/>
      <c r="O12" s="625"/>
      <c r="P12" s="625"/>
      <c r="Q12" s="625"/>
      <c r="R12" s="625"/>
      <c r="S12" s="625"/>
      <c r="T12" s="626"/>
      <c r="U12" s="626"/>
      <c r="V12" s="625"/>
      <c r="W12" s="625"/>
      <c r="X12" s="626"/>
      <c r="Y12" s="735"/>
      <c r="Z12" s="625"/>
      <c r="AA12" s="625"/>
      <c r="AB12" s="625"/>
      <c r="AC12" s="625"/>
      <c r="AD12" s="736"/>
      <c r="AE12" s="625"/>
      <c r="AF12" s="625"/>
      <c r="AG12" s="625"/>
      <c r="AH12" s="625"/>
      <c r="AI12" s="625"/>
      <c r="AJ12" s="625"/>
      <c r="AK12" s="625"/>
      <c r="AL12" s="625"/>
      <c r="AM12" s="625"/>
      <c r="AN12" s="625"/>
      <c r="AO12" s="625"/>
      <c r="AP12" s="625"/>
      <c r="AQ12" s="625"/>
      <c r="AR12" s="625"/>
      <c r="AS12" s="625"/>
      <c r="AT12" s="737"/>
      <c r="AU12" s="737"/>
      <c r="AV12" s="737"/>
      <c r="AW12" s="738"/>
      <c r="AX12" s="631"/>
      <c r="AY12" s="625"/>
      <c r="AZ12" s="625"/>
      <c r="BA12" s="736"/>
      <c r="BB12" s="625"/>
      <c r="BC12" s="625"/>
      <c r="BD12" s="625"/>
      <c r="BE12" s="625"/>
      <c r="BF12" s="737"/>
      <c r="BG12" s="737"/>
      <c r="BH12" s="739"/>
      <c r="BI12" s="625"/>
      <c r="BJ12" s="632"/>
      <c r="BK12" s="633"/>
      <c r="BL12" s="633"/>
      <c r="BM12" s="633"/>
      <c r="BN12" s="633"/>
      <c r="BO12" s="633"/>
      <c r="BP12" s="633"/>
      <c r="BQ12" s="633"/>
      <c r="BR12" s="633"/>
    </row>
    <row r="13" spans="1:70">
      <c r="B13" s="622" t="s">
        <v>31</v>
      </c>
      <c r="U13" s="626"/>
      <c r="X13" s="626"/>
      <c r="Y13" s="735"/>
      <c r="AD13" s="736"/>
      <c r="AE13" s="625"/>
      <c r="AF13" s="625"/>
      <c r="AG13" s="625"/>
      <c r="AH13" s="625"/>
      <c r="AT13" s="737"/>
      <c r="AU13" s="737"/>
      <c r="AV13" s="737"/>
      <c r="AW13" s="738"/>
      <c r="BA13" s="736"/>
      <c r="BB13" s="625"/>
      <c r="BF13" s="737"/>
      <c r="BG13" s="737"/>
      <c r="BH13" s="739"/>
    </row>
    <row r="14" spans="1:70" s="740" customFormat="1">
      <c r="A14" s="621">
        <v>1</v>
      </c>
      <c r="B14" s="740" t="s">
        <v>32</v>
      </c>
      <c r="E14" s="741">
        <f>'ROO INPUT 1.00'!$F15</f>
        <v>246541</v>
      </c>
      <c r="F14" s="742">
        <v>0</v>
      </c>
      <c r="G14" s="742">
        <v>0</v>
      </c>
      <c r="H14" s="742">
        <v>0</v>
      </c>
      <c r="I14" s="743">
        <f>-ROUND(('G-2.01 Elim B&amp;O'!E11/1000),)</f>
        <v>-8526</v>
      </c>
      <c r="J14" s="742">
        <v>0</v>
      </c>
      <c r="K14" s="742">
        <v>0</v>
      </c>
      <c r="L14" s="742">
        <v>0</v>
      </c>
      <c r="M14" s="742">
        <v>0</v>
      </c>
      <c r="N14" s="742">
        <v>0</v>
      </c>
      <c r="O14" s="742">
        <v>0</v>
      </c>
      <c r="P14" s="742">
        <v>0</v>
      </c>
      <c r="Q14" s="742">
        <v>0</v>
      </c>
      <c r="R14" s="742">
        <f>ROUND(('G-2.10 WN'!D14/1000),)</f>
        <v>28</v>
      </c>
      <c r="S14" s="742">
        <f>'G-2.11 EAS'!Q10</f>
        <v>-26674</v>
      </c>
      <c r="T14" s="744">
        <v>0</v>
      </c>
      <c r="U14" s="744">
        <v>0</v>
      </c>
      <c r="V14" s="742">
        <v>0</v>
      </c>
      <c r="W14" s="742">
        <v>0</v>
      </c>
      <c r="X14" s="744">
        <v>0</v>
      </c>
      <c r="Y14" s="745">
        <f>SUM(E14:X14)</f>
        <v>211369</v>
      </c>
      <c r="Z14" s="742">
        <f>ROUND('G-3.01 PF Rev Norm'!H10,)</f>
        <v>-89786</v>
      </c>
      <c r="AA14" s="742">
        <v>0</v>
      </c>
      <c r="AB14" s="742">
        <v>0</v>
      </c>
      <c r="AC14" s="742">
        <v>0</v>
      </c>
      <c r="AD14" s="746">
        <v>0</v>
      </c>
      <c r="AE14" s="742">
        <v>0</v>
      </c>
      <c r="AF14" s="742">
        <v>0</v>
      </c>
      <c r="AG14" s="742">
        <v>0</v>
      </c>
      <c r="AH14" s="742">
        <v>0</v>
      </c>
      <c r="AI14" s="742">
        <v>0</v>
      </c>
      <c r="AJ14" s="742">
        <v>0</v>
      </c>
      <c r="AK14" s="742">
        <v>0</v>
      </c>
      <c r="AL14" s="742">
        <v>0</v>
      </c>
      <c r="AM14" s="742">
        <v>0</v>
      </c>
      <c r="AN14" s="742">
        <v>0</v>
      </c>
      <c r="AO14" s="742">
        <v>0</v>
      </c>
      <c r="AP14" s="742">
        <v>0</v>
      </c>
      <c r="AQ14" s="742">
        <v>0</v>
      </c>
      <c r="AR14" s="742">
        <v>0</v>
      </c>
      <c r="AS14" s="742">
        <v>0</v>
      </c>
      <c r="AT14" s="747">
        <v>0</v>
      </c>
      <c r="AU14" s="747">
        <v>0</v>
      </c>
      <c r="AV14" s="747">
        <v>0</v>
      </c>
      <c r="AW14" s="748">
        <f>SUM(Y14:AV14)</f>
        <v>121583</v>
      </c>
      <c r="AX14" s="749"/>
      <c r="AY14" s="742">
        <v>0</v>
      </c>
      <c r="AZ14" s="742">
        <v>0</v>
      </c>
      <c r="BA14" s="746">
        <v>0</v>
      </c>
      <c r="BB14" s="742">
        <v>0</v>
      </c>
      <c r="BC14" s="742">
        <v>0</v>
      </c>
      <c r="BD14" s="742">
        <v>0</v>
      </c>
      <c r="BE14" s="742">
        <v>0</v>
      </c>
      <c r="BF14" s="747">
        <v>0</v>
      </c>
      <c r="BG14" s="747">
        <v>0</v>
      </c>
      <c r="BH14" s="750">
        <f>SUM(AW14:BG14)</f>
        <v>121583</v>
      </c>
      <c r="BI14" s="742">
        <f>BH14-AW14</f>
        <v>0</v>
      </c>
      <c r="BJ14" s="751"/>
      <c r="BK14" s="633"/>
      <c r="BL14" s="633"/>
      <c r="BM14" s="633"/>
      <c r="BN14" s="633"/>
      <c r="BO14" s="633"/>
      <c r="BP14" s="633"/>
      <c r="BQ14" s="633"/>
      <c r="BR14" s="633"/>
    </row>
    <row r="15" spans="1:70">
      <c r="A15" s="621">
        <v>2</v>
      </c>
      <c r="B15" s="752" t="s">
        <v>33</v>
      </c>
      <c r="D15" s="752"/>
      <c r="E15" s="753">
        <f>'ROO INPUT 1.00'!$F16</f>
        <v>5180</v>
      </c>
      <c r="F15" s="743">
        <v>0</v>
      </c>
      <c r="G15" s="743">
        <v>0</v>
      </c>
      <c r="H15" s="743">
        <v>0</v>
      </c>
      <c r="I15" s="743">
        <f>-ROUND(('G-2.01 Elim B&amp;O'!E16/1000),)</f>
        <v>-120</v>
      </c>
      <c r="J15" s="743">
        <v>0</v>
      </c>
      <c r="K15" s="743">
        <v>0</v>
      </c>
      <c r="L15" s="743">
        <v>0</v>
      </c>
      <c r="M15" s="743">
        <v>0</v>
      </c>
      <c r="N15" s="743">
        <v>0</v>
      </c>
      <c r="O15" s="743">
        <v>0</v>
      </c>
      <c r="P15" s="743">
        <v>0</v>
      </c>
      <c r="Q15" s="743">
        <v>0</v>
      </c>
      <c r="R15" s="743">
        <v>0</v>
      </c>
      <c r="S15" s="743">
        <v>0</v>
      </c>
      <c r="T15" s="754">
        <v>0</v>
      </c>
      <c r="U15" s="754">
        <v>0</v>
      </c>
      <c r="V15" s="743">
        <v>0</v>
      </c>
      <c r="W15" s="743">
        <v>0</v>
      </c>
      <c r="X15" s="754">
        <v>0</v>
      </c>
      <c r="Y15" s="755">
        <f>SUM(E15:X15)</f>
        <v>5060</v>
      </c>
      <c r="Z15" s="743">
        <f>ROUND('G-3.01 PF Rev Norm'!H15,)</f>
        <v>333</v>
      </c>
      <c r="AA15" s="743">
        <v>0</v>
      </c>
      <c r="AB15" s="743">
        <v>0</v>
      </c>
      <c r="AC15" s="743">
        <v>0</v>
      </c>
      <c r="AD15" s="756">
        <v>0</v>
      </c>
      <c r="AE15" s="743">
        <v>0</v>
      </c>
      <c r="AF15" s="743">
        <v>0</v>
      </c>
      <c r="AG15" s="743">
        <v>0</v>
      </c>
      <c r="AH15" s="743">
        <v>0</v>
      </c>
      <c r="AI15" s="743">
        <v>0</v>
      </c>
      <c r="AJ15" s="743">
        <v>0</v>
      </c>
      <c r="AK15" s="743">
        <v>0</v>
      </c>
      <c r="AL15" s="743">
        <v>0</v>
      </c>
      <c r="AM15" s="743">
        <v>0</v>
      </c>
      <c r="AN15" s="743">
        <v>0</v>
      </c>
      <c r="AO15" s="743">
        <v>0</v>
      </c>
      <c r="AP15" s="743">
        <v>0</v>
      </c>
      <c r="AQ15" s="743">
        <v>0</v>
      </c>
      <c r="AR15" s="743">
        <v>0</v>
      </c>
      <c r="AS15" s="743">
        <v>0</v>
      </c>
      <c r="AT15" s="757">
        <v>0</v>
      </c>
      <c r="AU15" s="757">
        <v>0</v>
      </c>
      <c r="AV15" s="757">
        <v>0</v>
      </c>
      <c r="AW15" s="758">
        <f>SUM(Y15:AV15)</f>
        <v>5393</v>
      </c>
      <c r="AX15" s="759"/>
      <c r="AY15" s="743">
        <v>0</v>
      </c>
      <c r="AZ15" s="743">
        <v>0</v>
      </c>
      <c r="BA15" s="756">
        <v>0</v>
      </c>
      <c r="BB15" s="743">
        <v>0</v>
      </c>
      <c r="BC15" s="743">
        <v>0</v>
      </c>
      <c r="BD15" s="743">
        <v>0</v>
      </c>
      <c r="BE15" s="743">
        <v>0</v>
      </c>
      <c r="BF15" s="757">
        <v>0</v>
      </c>
      <c r="BG15" s="757">
        <v>0</v>
      </c>
      <c r="BH15" s="760">
        <f>SUM(AW15:BG15)</f>
        <v>5393</v>
      </c>
      <c r="BI15" s="757">
        <f>BH15-AW15</f>
        <v>0</v>
      </c>
    </row>
    <row r="16" spans="1:70">
      <c r="A16" s="621">
        <v>3</v>
      </c>
      <c r="B16" s="752" t="s">
        <v>34</v>
      </c>
      <c r="D16" s="752"/>
      <c r="E16" s="761">
        <f>'ROO INPUT 1.00'!$F17</f>
        <v>37118</v>
      </c>
      <c r="F16" s="762">
        <v>0</v>
      </c>
      <c r="G16" s="762">
        <v>0</v>
      </c>
      <c r="H16" s="762">
        <v>0</v>
      </c>
      <c r="I16" s="762">
        <v>0</v>
      </c>
      <c r="J16" s="762">
        <v>0</v>
      </c>
      <c r="K16" s="762">
        <v>0</v>
      </c>
      <c r="L16" s="762">
        <v>0</v>
      </c>
      <c r="M16" s="762">
        <v>0</v>
      </c>
      <c r="N16" s="762">
        <v>0</v>
      </c>
      <c r="O16" s="762">
        <v>0</v>
      </c>
      <c r="P16" s="762">
        <v>0</v>
      </c>
      <c r="Q16" s="762">
        <v>0</v>
      </c>
      <c r="R16" s="762">
        <f>ROUND(('G-2.10 WN'!D21/1000),)</f>
        <v>-127</v>
      </c>
      <c r="S16" s="762">
        <f>'G-2.11 EAS'!Q12</f>
        <v>-33904</v>
      </c>
      <c r="T16" s="763">
        <v>0</v>
      </c>
      <c r="U16" s="763">
        <v>0</v>
      </c>
      <c r="V16" s="762">
        <v>0</v>
      </c>
      <c r="W16" s="762">
        <v>0</v>
      </c>
      <c r="X16" s="763">
        <v>0</v>
      </c>
      <c r="Y16" s="764">
        <f>SUM(E16:X16)</f>
        <v>3087</v>
      </c>
      <c r="Z16" s="762">
        <f>ROUND('G-3.01 PF Rev Norm'!H20,)</f>
        <v>-2714</v>
      </c>
      <c r="AA16" s="762">
        <v>0</v>
      </c>
      <c r="AB16" s="762">
        <v>0</v>
      </c>
      <c r="AC16" s="762">
        <v>0</v>
      </c>
      <c r="AD16" s="765">
        <v>0</v>
      </c>
      <c r="AE16" s="762">
        <v>0</v>
      </c>
      <c r="AF16" s="762">
        <v>0</v>
      </c>
      <c r="AG16" s="762">
        <v>0</v>
      </c>
      <c r="AH16" s="762">
        <v>0</v>
      </c>
      <c r="AI16" s="762">
        <v>0</v>
      </c>
      <c r="AJ16" s="762">
        <v>0</v>
      </c>
      <c r="AK16" s="762">
        <v>0</v>
      </c>
      <c r="AL16" s="762">
        <v>0</v>
      </c>
      <c r="AM16" s="762">
        <v>0</v>
      </c>
      <c r="AN16" s="762">
        <v>0</v>
      </c>
      <c r="AO16" s="762">
        <v>0</v>
      </c>
      <c r="AP16" s="762">
        <v>0</v>
      </c>
      <c r="AQ16" s="762">
        <v>0</v>
      </c>
      <c r="AR16" s="762">
        <v>0</v>
      </c>
      <c r="AS16" s="762">
        <v>0</v>
      </c>
      <c r="AT16" s="762">
        <v>0</v>
      </c>
      <c r="AU16" s="762">
        <f>ROUND('G-4.02,5.08 PV Offsets'!BE143/1000,)</f>
        <v>259</v>
      </c>
      <c r="AV16" s="762">
        <v>0</v>
      </c>
      <c r="AW16" s="766">
        <f>SUM(Y16:AV16)</f>
        <v>632</v>
      </c>
      <c r="AX16" s="759"/>
      <c r="AY16" s="762">
        <v>0</v>
      </c>
      <c r="AZ16" s="762">
        <v>0</v>
      </c>
      <c r="BA16" s="765">
        <v>0</v>
      </c>
      <c r="BB16" s="762">
        <v>0</v>
      </c>
      <c r="BC16" s="762">
        <v>0</v>
      </c>
      <c r="BD16" s="762">
        <v>0</v>
      </c>
      <c r="BE16" s="762">
        <v>0</v>
      </c>
      <c r="BF16" s="762">
        <v>0</v>
      </c>
      <c r="BG16" s="762">
        <f>ROUND('G-4.02,5.08 PV Offsets'!BF144/1000,)</f>
        <v>-8</v>
      </c>
      <c r="BH16" s="767">
        <f>SUM(AW16:BG16)</f>
        <v>624</v>
      </c>
      <c r="BI16" s="768">
        <f>BH16-AW16</f>
        <v>-8</v>
      </c>
    </row>
    <row r="17" spans="1:70">
      <c r="A17" s="621">
        <v>4</v>
      </c>
      <c r="B17" s="622" t="s">
        <v>35</v>
      </c>
      <c r="C17" s="752"/>
      <c r="D17" s="752"/>
      <c r="E17" s="753">
        <f>SUM(E14:E16)</f>
        <v>288839</v>
      </c>
      <c r="F17" s="769">
        <f t="shared" ref="F17:N17" si="27">SUM(F14:F16)</f>
        <v>0</v>
      </c>
      <c r="G17" s="769">
        <f t="shared" si="27"/>
        <v>0</v>
      </c>
      <c r="H17" s="769">
        <f t="shared" si="27"/>
        <v>0</v>
      </c>
      <c r="I17" s="769">
        <f t="shared" si="27"/>
        <v>-8646</v>
      </c>
      <c r="J17" s="769">
        <f>SUM(J14:J16)</f>
        <v>0</v>
      </c>
      <c r="K17" s="769">
        <f t="shared" si="27"/>
        <v>0</v>
      </c>
      <c r="L17" s="769">
        <f t="shared" si="27"/>
        <v>0</v>
      </c>
      <c r="M17" s="769">
        <f t="shared" si="27"/>
        <v>0</v>
      </c>
      <c r="N17" s="769">
        <f t="shared" si="27"/>
        <v>0</v>
      </c>
      <c r="O17" s="769">
        <f t="shared" ref="O17:P17" si="28">SUM(O14:O16)</f>
        <v>0</v>
      </c>
      <c r="P17" s="769">
        <f t="shared" si="28"/>
        <v>0</v>
      </c>
      <c r="Q17" s="769">
        <f t="shared" ref="Q17" si="29">SUM(Q14:Q16)</f>
        <v>0</v>
      </c>
      <c r="R17" s="769">
        <f>SUM(R14:R16)</f>
        <v>-99</v>
      </c>
      <c r="S17" s="769">
        <f>SUM(S14:S16)</f>
        <v>-60578</v>
      </c>
      <c r="T17" s="770">
        <f t="shared" ref="T17" si="30">SUM(T14:T16)</f>
        <v>0</v>
      </c>
      <c r="U17" s="770">
        <f>SUM(U14:U16)</f>
        <v>0</v>
      </c>
      <c r="V17" s="769">
        <f t="shared" ref="V17" si="31">SUM(V14:V16)</f>
        <v>0</v>
      </c>
      <c r="W17" s="769">
        <f t="shared" ref="W17:AB17" si="32">SUM(W14:W16)</f>
        <v>0</v>
      </c>
      <c r="X17" s="770">
        <f t="shared" si="32"/>
        <v>0</v>
      </c>
      <c r="Y17" s="755">
        <f t="shared" si="32"/>
        <v>219516</v>
      </c>
      <c r="Z17" s="769">
        <f t="shared" si="32"/>
        <v>-92167</v>
      </c>
      <c r="AA17" s="769">
        <f t="shared" si="32"/>
        <v>0</v>
      </c>
      <c r="AB17" s="769">
        <f t="shared" si="32"/>
        <v>0</v>
      </c>
      <c r="AC17" s="769">
        <f t="shared" ref="AC17" si="33">SUM(AC14:AC16)</f>
        <v>0</v>
      </c>
      <c r="AD17" s="771">
        <f>SUM(AD14:AD16)</f>
        <v>0</v>
      </c>
      <c r="AE17" s="769">
        <f t="shared" ref="AE17:AI17" si="34">SUM(AE14:AE16)</f>
        <v>0</v>
      </c>
      <c r="AF17" s="769">
        <f t="shared" si="34"/>
        <v>0</v>
      </c>
      <c r="AG17" s="769">
        <f t="shared" ref="AG17" si="35">SUM(AG14:AG16)</f>
        <v>0</v>
      </c>
      <c r="AH17" s="769">
        <f t="shared" si="34"/>
        <v>0</v>
      </c>
      <c r="AI17" s="769">
        <f t="shared" si="34"/>
        <v>0</v>
      </c>
      <c r="AJ17" s="769">
        <f t="shared" ref="AJ17:AK17" si="36">SUM(AJ14:AJ16)</f>
        <v>0</v>
      </c>
      <c r="AK17" s="769">
        <f t="shared" si="36"/>
        <v>0</v>
      </c>
      <c r="AL17" s="769">
        <f>SUM(AL14:AL16)</f>
        <v>0</v>
      </c>
      <c r="AM17" s="769">
        <f t="shared" ref="AM17" si="37">SUM(AM14:AM16)</f>
        <v>0</v>
      </c>
      <c r="AN17" s="769">
        <f>SUM(AN14:AN16)</f>
        <v>0</v>
      </c>
      <c r="AO17" s="769">
        <f t="shared" ref="AO17" si="38">SUM(AO14:AO16)</f>
        <v>0</v>
      </c>
      <c r="AP17" s="769">
        <f t="shared" ref="AP17:AQ17" si="39">SUM(AP14:AP16)</f>
        <v>0</v>
      </c>
      <c r="AQ17" s="769">
        <f t="shared" si="39"/>
        <v>0</v>
      </c>
      <c r="AR17" s="769">
        <f>SUM(AR14:AR16)</f>
        <v>0</v>
      </c>
      <c r="AS17" s="769">
        <f>SUM(AS14:AS16)</f>
        <v>0</v>
      </c>
      <c r="AT17" s="772">
        <f>SUM(AT14:AT16)</f>
        <v>0</v>
      </c>
      <c r="AU17" s="772">
        <f>SUM(AU14:AU16)</f>
        <v>259</v>
      </c>
      <c r="AV17" s="772">
        <f t="shared" ref="AV17" si="40">SUM(AV14:AV16)</f>
        <v>0</v>
      </c>
      <c r="AW17" s="758">
        <f t="shared" ref="AW17" si="41">SUM(AW14:AW16)</f>
        <v>127608</v>
      </c>
      <c r="AX17" s="759"/>
      <c r="AY17" s="769">
        <f>SUM(AY14:AY16)</f>
        <v>0</v>
      </c>
      <c r="AZ17" s="769">
        <f t="shared" ref="AZ17" si="42">SUM(AZ14:AZ16)</f>
        <v>0</v>
      </c>
      <c r="BA17" s="771">
        <f>SUM(BA14:BA16)</f>
        <v>0</v>
      </c>
      <c r="BB17" s="769">
        <f t="shared" ref="BB17" si="43">SUM(BB14:BB16)</f>
        <v>0</v>
      </c>
      <c r="BC17" s="769">
        <f>SUM(BC14:BC16)</f>
        <v>0</v>
      </c>
      <c r="BD17" s="769">
        <f>SUM(BD14:BD16)</f>
        <v>0</v>
      </c>
      <c r="BE17" s="769">
        <f t="shared" ref="BE17" si="44">SUM(BE14:BE16)</f>
        <v>0</v>
      </c>
      <c r="BF17" s="772">
        <f>SUM(BF14:BF16)</f>
        <v>0</v>
      </c>
      <c r="BG17" s="772">
        <f>SUM(BG14:BG16)</f>
        <v>-8</v>
      </c>
      <c r="BH17" s="773">
        <f>SUM(BH14:BH16)</f>
        <v>127600</v>
      </c>
      <c r="BI17" s="769">
        <f>SUM(BI14:BI16)</f>
        <v>-8</v>
      </c>
    </row>
    <row r="18" spans="1:70" ht="7.5" customHeight="1">
      <c r="C18" s="752"/>
      <c r="D18" s="752"/>
      <c r="E18" s="753"/>
      <c r="F18" s="743"/>
      <c r="G18" s="743"/>
      <c r="H18" s="743"/>
      <c r="I18" s="743"/>
      <c r="J18" s="743"/>
      <c r="K18" s="743"/>
      <c r="L18" s="743"/>
      <c r="M18" s="743"/>
      <c r="N18" s="743"/>
      <c r="O18" s="743"/>
      <c r="P18" s="743"/>
      <c r="Q18" s="743"/>
      <c r="R18" s="743"/>
      <c r="S18" s="743"/>
      <c r="T18" s="754"/>
      <c r="U18" s="754"/>
      <c r="V18" s="743"/>
      <c r="W18" s="743"/>
      <c r="X18" s="754"/>
      <c r="Y18" s="755"/>
      <c r="Z18" s="743"/>
      <c r="AA18" s="743"/>
      <c r="AB18" s="743"/>
      <c r="AC18" s="743"/>
      <c r="AD18" s="756"/>
      <c r="AE18" s="743"/>
      <c r="AF18" s="743"/>
      <c r="AG18" s="743"/>
      <c r="AH18" s="743"/>
      <c r="AI18" s="743"/>
      <c r="AJ18" s="743"/>
      <c r="AK18" s="743"/>
      <c r="AL18" s="743"/>
      <c r="AM18" s="743"/>
      <c r="AN18" s="743"/>
      <c r="AO18" s="743"/>
      <c r="AP18" s="743"/>
      <c r="AQ18" s="743"/>
      <c r="AR18" s="743"/>
      <c r="AS18" s="743"/>
      <c r="AT18" s="757"/>
      <c r="AU18" s="757"/>
      <c r="AV18" s="757"/>
      <c r="AW18" s="758"/>
      <c r="AX18" s="759"/>
      <c r="AY18" s="743"/>
      <c r="AZ18" s="743"/>
      <c r="BA18" s="756"/>
      <c r="BB18" s="743"/>
      <c r="BC18" s="743"/>
      <c r="BD18" s="743"/>
      <c r="BE18" s="743"/>
      <c r="BF18" s="757"/>
      <c r="BG18" s="757"/>
      <c r="BH18" s="774"/>
      <c r="BI18" s="743"/>
    </row>
    <row r="19" spans="1:70" s="734" customFormat="1">
      <c r="A19" s="661"/>
      <c r="B19" s="734" t="s">
        <v>36</v>
      </c>
      <c r="C19" s="775"/>
      <c r="D19" s="775"/>
      <c r="E19" s="769"/>
      <c r="F19" s="743"/>
      <c r="G19" s="743"/>
      <c r="H19" s="743"/>
      <c r="I19" s="743"/>
      <c r="J19" s="743"/>
      <c r="K19" s="743"/>
      <c r="L19" s="743"/>
      <c r="M19" s="743"/>
      <c r="N19" s="743"/>
      <c r="O19" s="743"/>
      <c r="P19" s="743"/>
      <c r="Q19" s="743"/>
      <c r="R19" s="743"/>
      <c r="S19" s="743"/>
      <c r="T19" s="754"/>
      <c r="U19" s="754"/>
      <c r="V19" s="743"/>
      <c r="W19" s="743"/>
      <c r="X19" s="754"/>
      <c r="Y19" s="755"/>
      <c r="Z19" s="743"/>
      <c r="AA19" s="743"/>
      <c r="AB19" s="743"/>
      <c r="AC19" s="743"/>
      <c r="AD19" s="756"/>
      <c r="AE19" s="743"/>
      <c r="AF19" s="743"/>
      <c r="AG19" s="743"/>
      <c r="AH19" s="743"/>
      <c r="AI19" s="743"/>
      <c r="AJ19" s="743"/>
      <c r="AK19" s="743"/>
      <c r="AL19" s="743"/>
      <c r="AM19" s="743"/>
      <c r="AN19" s="743"/>
      <c r="AO19" s="743"/>
      <c r="AP19" s="743"/>
      <c r="AQ19" s="743"/>
      <c r="AR19" s="743"/>
      <c r="AS19" s="743"/>
      <c r="AT19" s="757"/>
      <c r="AU19" s="757"/>
      <c r="AV19" s="757"/>
      <c r="AW19" s="758"/>
      <c r="AX19" s="759"/>
      <c r="AY19" s="743"/>
      <c r="AZ19" s="743"/>
      <c r="BA19" s="756"/>
      <c r="BB19" s="743"/>
      <c r="BC19" s="743"/>
      <c r="BD19" s="743"/>
      <c r="BE19" s="743"/>
      <c r="BF19" s="757"/>
      <c r="BG19" s="757"/>
      <c r="BH19" s="774"/>
      <c r="BI19" s="743"/>
      <c r="BJ19" s="632"/>
      <c r="BK19" s="633"/>
      <c r="BL19" s="633"/>
      <c r="BM19" s="633"/>
      <c r="BN19" s="633"/>
      <c r="BO19" s="633"/>
      <c r="BP19" s="633"/>
      <c r="BQ19" s="633"/>
      <c r="BR19" s="633"/>
    </row>
    <row r="20" spans="1:70" s="734" customFormat="1">
      <c r="A20" s="661"/>
      <c r="B20" s="775" t="s">
        <v>192</v>
      </c>
      <c r="D20" s="775"/>
      <c r="E20" s="769"/>
      <c r="F20" s="743"/>
      <c r="G20" s="743"/>
      <c r="H20" s="743"/>
      <c r="I20" s="743"/>
      <c r="J20" s="743"/>
      <c r="K20" s="743"/>
      <c r="L20" s="743"/>
      <c r="M20" s="743"/>
      <c r="N20" s="743"/>
      <c r="O20" s="743"/>
      <c r="P20" s="743"/>
      <c r="Q20" s="743"/>
      <c r="R20" s="743"/>
      <c r="S20" s="743"/>
      <c r="T20" s="754"/>
      <c r="U20" s="754"/>
      <c r="V20" s="743"/>
      <c r="W20" s="743"/>
      <c r="X20" s="754"/>
      <c r="Y20" s="755"/>
      <c r="Z20" s="743"/>
      <c r="AA20" s="743"/>
      <c r="AB20" s="743"/>
      <c r="AC20" s="743"/>
      <c r="AD20" s="756"/>
      <c r="AE20" s="743"/>
      <c r="AF20" s="743"/>
      <c r="AG20" s="743"/>
      <c r="AH20" s="743"/>
      <c r="AI20" s="743"/>
      <c r="AJ20" s="743"/>
      <c r="AK20" s="743"/>
      <c r="AL20" s="743"/>
      <c r="AM20" s="743"/>
      <c r="AN20" s="743"/>
      <c r="AO20" s="743"/>
      <c r="AP20" s="743"/>
      <c r="AQ20" s="743"/>
      <c r="AR20" s="743"/>
      <c r="AS20" s="743"/>
      <c r="AT20" s="757"/>
      <c r="AU20" s="757"/>
      <c r="AV20" s="757"/>
      <c r="AW20" s="758"/>
      <c r="AX20" s="759"/>
      <c r="AY20" s="743"/>
      <c r="AZ20" s="743"/>
      <c r="BA20" s="756"/>
      <c r="BB20" s="743"/>
      <c r="BC20" s="743"/>
      <c r="BD20" s="743"/>
      <c r="BE20" s="743"/>
      <c r="BF20" s="757"/>
      <c r="BG20" s="757"/>
      <c r="BH20" s="774"/>
      <c r="BI20" s="743"/>
      <c r="BJ20" s="632"/>
      <c r="BK20" s="633"/>
      <c r="BL20" s="633"/>
      <c r="BM20" s="633"/>
      <c r="BN20" s="633"/>
      <c r="BO20" s="633"/>
      <c r="BP20" s="633"/>
      <c r="BQ20" s="633"/>
      <c r="BR20" s="633"/>
    </row>
    <row r="21" spans="1:70" s="734" customFormat="1">
      <c r="A21" s="661">
        <v>5</v>
      </c>
      <c r="C21" s="775" t="s">
        <v>37</v>
      </c>
      <c r="D21" s="775"/>
      <c r="E21" s="769">
        <f>'ROO INPUT 1.00'!$F22</f>
        <v>139821</v>
      </c>
      <c r="F21" s="743">
        <v>0</v>
      </c>
      <c r="G21" s="743">
        <v>0</v>
      </c>
      <c r="H21" s="743">
        <v>0</v>
      </c>
      <c r="I21" s="743">
        <v>0</v>
      </c>
      <c r="J21" s="743">
        <v>0</v>
      </c>
      <c r="K21" s="743">
        <v>0</v>
      </c>
      <c r="L21" s="743">
        <v>0</v>
      </c>
      <c r="M21" s="743">
        <v>0</v>
      </c>
      <c r="N21" s="743">
        <v>0</v>
      </c>
      <c r="O21" s="743">
        <v>0</v>
      </c>
      <c r="P21" s="743">
        <v>0</v>
      </c>
      <c r="Q21" s="743">
        <v>0</v>
      </c>
      <c r="R21" s="743">
        <f>ROUND(('G-2.10 WN'!D30/1000),)</f>
        <v>-57</v>
      </c>
      <c r="S21" s="743">
        <f>'G-2.11 EAS'!Q17</f>
        <v>-49394</v>
      </c>
      <c r="T21" s="754">
        <v>0</v>
      </c>
      <c r="U21" s="754">
        <v>0</v>
      </c>
      <c r="V21" s="743">
        <v>0</v>
      </c>
      <c r="W21" s="743">
        <v>0</v>
      </c>
      <c r="X21" s="754">
        <v>0</v>
      </c>
      <c r="Y21" s="755">
        <f>SUM(E21:X21)</f>
        <v>90370</v>
      </c>
      <c r="Z21" s="743">
        <f>ROUND('G-3.01 PF Rev Norm'!H24,)</f>
        <v>-90370</v>
      </c>
      <c r="AA21" s="743">
        <v>0</v>
      </c>
      <c r="AB21" s="743">
        <v>0</v>
      </c>
      <c r="AC21" s="743">
        <v>0</v>
      </c>
      <c r="AD21" s="756">
        <v>0</v>
      </c>
      <c r="AE21" s="743">
        <v>0</v>
      </c>
      <c r="AF21" s="743">
        <v>0</v>
      </c>
      <c r="AG21" s="743">
        <v>0</v>
      </c>
      <c r="AH21" s="743">
        <v>0</v>
      </c>
      <c r="AI21" s="743">
        <v>0</v>
      </c>
      <c r="AJ21" s="743">
        <v>0</v>
      </c>
      <c r="AK21" s="743">
        <v>0</v>
      </c>
      <c r="AL21" s="743">
        <v>0</v>
      </c>
      <c r="AM21" s="743">
        <v>0</v>
      </c>
      <c r="AN21" s="743">
        <v>0</v>
      </c>
      <c r="AO21" s="743">
        <v>0</v>
      </c>
      <c r="AP21" s="743">
        <v>0</v>
      </c>
      <c r="AQ21" s="743">
        <v>0</v>
      </c>
      <c r="AR21" s="743">
        <v>0</v>
      </c>
      <c r="AS21" s="743">
        <v>0</v>
      </c>
      <c r="AT21" s="757">
        <v>0</v>
      </c>
      <c r="AU21" s="757">
        <v>0</v>
      </c>
      <c r="AV21" s="757">
        <v>0</v>
      </c>
      <c r="AW21" s="758">
        <f>SUM(Y21:AV21)</f>
        <v>0</v>
      </c>
      <c r="AX21" s="759"/>
      <c r="AY21" s="743">
        <v>0</v>
      </c>
      <c r="AZ21" s="743">
        <v>0</v>
      </c>
      <c r="BA21" s="756">
        <v>0</v>
      </c>
      <c r="BB21" s="743">
        <v>0</v>
      </c>
      <c r="BC21" s="743">
        <v>0</v>
      </c>
      <c r="BD21" s="743">
        <v>0</v>
      </c>
      <c r="BE21" s="743">
        <v>0</v>
      </c>
      <c r="BF21" s="757">
        <v>0</v>
      </c>
      <c r="BG21" s="757">
        <v>0</v>
      </c>
      <c r="BH21" s="760">
        <f>SUM(AW21:BG21)</f>
        <v>0</v>
      </c>
      <c r="BI21" s="540">
        <f>BH21-AW21</f>
        <v>0</v>
      </c>
      <c r="BJ21" s="632"/>
      <c r="BK21" s="633"/>
      <c r="BL21" s="633"/>
      <c r="BM21" s="633"/>
      <c r="BN21" s="633"/>
      <c r="BO21" s="633"/>
      <c r="BP21" s="633"/>
      <c r="BQ21" s="633"/>
      <c r="BR21" s="633"/>
    </row>
    <row r="22" spans="1:70" s="734" customFormat="1">
      <c r="A22" s="661">
        <v>6</v>
      </c>
      <c r="C22" s="775" t="s">
        <v>38</v>
      </c>
      <c r="D22" s="775"/>
      <c r="E22" s="769">
        <f>'ROO INPUT 1.00'!$F23</f>
        <v>869</v>
      </c>
      <c r="F22" s="743">
        <v>0</v>
      </c>
      <c r="G22" s="743">
        <v>0</v>
      </c>
      <c r="H22" s="743">
        <v>0</v>
      </c>
      <c r="I22" s="743">
        <v>0</v>
      </c>
      <c r="J22" s="743">
        <v>0</v>
      </c>
      <c r="K22" s="743">
        <v>0</v>
      </c>
      <c r="L22" s="743">
        <v>0</v>
      </c>
      <c r="M22" s="743">
        <v>0</v>
      </c>
      <c r="N22" s="743">
        <v>0</v>
      </c>
      <c r="O22" s="743">
        <v>0</v>
      </c>
      <c r="P22" s="743">
        <v>0</v>
      </c>
      <c r="Q22" s="743">
        <v>0</v>
      </c>
      <c r="R22" s="743">
        <v>0</v>
      </c>
      <c r="S22" s="743">
        <v>0</v>
      </c>
      <c r="T22" s="754">
        <v>0</v>
      </c>
      <c r="U22" s="754">
        <v>0</v>
      </c>
      <c r="V22" s="743">
        <v>0</v>
      </c>
      <c r="W22" s="743">
        <v>0</v>
      </c>
      <c r="X22" s="754">
        <v>0</v>
      </c>
      <c r="Y22" s="755">
        <f>SUM(E22:X22)</f>
        <v>869</v>
      </c>
      <c r="Z22" s="743">
        <v>0</v>
      </c>
      <c r="AA22" s="743">
        <v>0</v>
      </c>
      <c r="AB22" s="743">
        <v>0</v>
      </c>
      <c r="AC22" s="743">
        <v>0</v>
      </c>
      <c r="AD22" s="756">
        <f>ROUND('G-3.05,5.02 PF NE Labor'!AH70/1000,0)</f>
        <v>63</v>
      </c>
      <c r="AE22" s="743">
        <v>0</v>
      </c>
      <c r="AF22" s="743">
        <f>ROUND('G-3.07,5.03 Benefits'!O52/1000,1)</f>
        <v>3.8</v>
      </c>
      <c r="AG22" s="743">
        <v>0</v>
      </c>
      <c r="AH22" s="743">
        <v>0</v>
      </c>
      <c r="AI22" s="743">
        <v>0</v>
      </c>
      <c r="AJ22" s="743">
        <v>0</v>
      </c>
      <c r="AK22" s="743">
        <v>0</v>
      </c>
      <c r="AL22" s="743">
        <v>0</v>
      </c>
      <c r="AM22" s="743">
        <f>ROUND('G-3.14,5.06 PF Misc O&amp;M'!P32/1000,3)</f>
        <v>7.72</v>
      </c>
      <c r="AN22" s="743">
        <v>0</v>
      </c>
      <c r="AO22" s="743">
        <v>0</v>
      </c>
      <c r="AP22" s="743">
        <v>0</v>
      </c>
      <c r="AQ22" s="743">
        <v>0</v>
      </c>
      <c r="AR22" s="743">
        <v>0</v>
      </c>
      <c r="AS22" s="743">
        <v>0</v>
      </c>
      <c r="AT22" s="757">
        <v>0</v>
      </c>
      <c r="AU22" s="757">
        <v>0</v>
      </c>
      <c r="AV22" s="757">
        <v>0</v>
      </c>
      <c r="AW22" s="758">
        <f>SUM(Y22:AV22)</f>
        <v>943.52</v>
      </c>
      <c r="AX22" s="759"/>
      <c r="AY22" s="743">
        <v>0</v>
      </c>
      <c r="AZ22" s="743">
        <v>0</v>
      </c>
      <c r="BA22" s="756">
        <f>ROUND('G-3.05,5.02 PF NE Labor'!AI70/1000,)</f>
        <v>19</v>
      </c>
      <c r="BB22" s="743">
        <f>ROUND('G-3.07,5.03 Benefits'!P52/1000,1)</f>
        <v>2.1</v>
      </c>
      <c r="BC22" s="743">
        <v>0</v>
      </c>
      <c r="BD22" s="743">
        <v>0</v>
      </c>
      <c r="BE22" s="743">
        <f>ROUND('G-3.14,5.06 PF Misc O&amp;M'!Q32/1000,3)</f>
        <v>2.8039999999999998</v>
      </c>
      <c r="BF22" s="757">
        <v>0</v>
      </c>
      <c r="BG22" s="757">
        <v>0</v>
      </c>
      <c r="BH22" s="760">
        <f>SUM(AW22:BG22)</f>
        <v>967.42399999999998</v>
      </c>
      <c r="BI22" s="540">
        <f>BH22-AW22</f>
        <v>23.903999999999996</v>
      </c>
      <c r="BJ22" s="632"/>
      <c r="BK22" s="633"/>
      <c r="BL22" s="633"/>
      <c r="BM22" s="633"/>
      <c r="BN22" s="633"/>
      <c r="BO22" s="633"/>
      <c r="BP22" s="633"/>
      <c r="BQ22" s="633"/>
      <c r="BR22" s="633"/>
    </row>
    <row r="23" spans="1:70" s="734" customFormat="1">
      <c r="A23" s="661">
        <v>7</v>
      </c>
      <c r="C23" s="775" t="s">
        <v>39</v>
      </c>
      <c r="D23" s="775"/>
      <c r="E23" s="776">
        <f>'ROO INPUT 1.00'!$F24</f>
        <v>8789</v>
      </c>
      <c r="F23" s="762">
        <v>0</v>
      </c>
      <c r="G23" s="762">
        <v>0</v>
      </c>
      <c r="H23" s="762">
        <v>0</v>
      </c>
      <c r="I23" s="762">
        <v>0</v>
      </c>
      <c r="J23" s="762">
        <v>0</v>
      </c>
      <c r="K23" s="762">
        <v>0</v>
      </c>
      <c r="L23" s="762">
        <v>0</v>
      </c>
      <c r="M23" s="762">
        <v>0</v>
      </c>
      <c r="N23" s="762">
        <v>0</v>
      </c>
      <c r="O23" s="762">
        <v>0</v>
      </c>
      <c r="P23" s="762">
        <v>0</v>
      </c>
      <c r="Q23" s="762">
        <v>0</v>
      </c>
      <c r="R23" s="762">
        <v>0</v>
      </c>
      <c r="S23" s="762">
        <f>'G-2.11 EAS'!Q19</f>
        <v>-8789</v>
      </c>
      <c r="T23" s="763">
        <v>0</v>
      </c>
      <c r="U23" s="763">
        <v>0</v>
      </c>
      <c r="V23" s="762">
        <v>0</v>
      </c>
      <c r="W23" s="762">
        <v>0</v>
      </c>
      <c r="X23" s="763">
        <v>0</v>
      </c>
      <c r="Y23" s="764">
        <f>SUM(E23:X23)</f>
        <v>0</v>
      </c>
      <c r="Z23" s="762">
        <v>0</v>
      </c>
      <c r="AA23" s="762">
        <v>0</v>
      </c>
      <c r="AB23" s="762">
        <v>0</v>
      </c>
      <c r="AC23" s="762">
        <v>0</v>
      </c>
      <c r="AD23" s="765">
        <v>0</v>
      </c>
      <c r="AE23" s="762">
        <v>0</v>
      </c>
      <c r="AF23" s="762">
        <v>0</v>
      </c>
      <c r="AG23" s="762">
        <v>0</v>
      </c>
      <c r="AH23" s="762">
        <v>0</v>
      </c>
      <c r="AI23" s="762">
        <v>0</v>
      </c>
      <c r="AJ23" s="762">
        <v>0</v>
      </c>
      <c r="AK23" s="762">
        <v>0</v>
      </c>
      <c r="AL23" s="762">
        <v>0</v>
      </c>
      <c r="AM23" s="762">
        <v>0</v>
      </c>
      <c r="AN23" s="762">
        <v>0</v>
      </c>
      <c r="AO23" s="762">
        <v>0</v>
      </c>
      <c r="AP23" s="762">
        <v>0</v>
      </c>
      <c r="AQ23" s="762">
        <v>0</v>
      </c>
      <c r="AR23" s="762">
        <v>0</v>
      </c>
      <c r="AS23" s="762">
        <v>0</v>
      </c>
      <c r="AT23" s="762">
        <v>0</v>
      </c>
      <c r="AU23" s="762">
        <v>0</v>
      </c>
      <c r="AV23" s="762">
        <v>0</v>
      </c>
      <c r="AW23" s="766">
        <f>SUM(Y23:AV23)</f>
        <v>0</v>
      </c>
      <c r="AX23" s="759"/>
      <c r="AY23" s="762">
        <v>0</v>
      </c>
      <c r="AZ23" s="762">
        <v>0</v>
      </c>
      <c r="BA23" s="765">
        <v>0</v>
      </c>
      <c r="BB23" s="762">
        <v>0</v>
      </c>
      <c r="BC23" s="762">
        <v>0</v>
      </c>
      <c r="BD23" s="762">
        <v>0</v>
      </c>
      <c r="BE23" s="762">
        <v>0</v>
      </c>
      <c r="BF23" s="762">
        <v>0</v>
      </c>
      <c r="BG23" s="762">
        <v>0</v>
      </c>
      <c r="BH23" s="767">
        <f>SUM(AW23:BG23)</f>
        <v>0</v>
      </c>
      <c r="BI23" s="768">
        <f>BH23-AW23</f>
        <v>0</v>
      </c>
      <c r="BJ23" s="632"/>
      <c r="BK23" s="633"/>
      <c r="BL23" s="633"/>
      <c r="BM23" s="633"/>
      <c r="BN23" s="633"/>
      <c r="BO23" s="633"/>
      <c r="BP23" s="633"/>
      <c r="BQ23" s="633"/>
      <c r="BR23" s="633"/>
    </row>
    <row r="24" spans="1:70" s="734" customFormat="1">
      <c r="A24" s="661">
        <v>8</v>
      </c>
      <c r="B24" s="775" t="s">
        <v>40</v>
      </c>
      <c r="C24" s="775"/>
      <c r="E24" s="769">
        <f>SUM(E21:E23)</f>
        <v>149479</v>
      </c>
      <c r="F24" s="769">
        <f t="shared" ref="F24:N24" si="45">SUM(F21:F23)</f>
        <v>0</v>
      </c>
      <c r="G24" s="769">
        <f t="shared" si="45"/>
        <v>0</v>
      </c>
      <c r="H24" s="769">
        <f t="shared" si="45"/>
        <v>0</v>
      </c>
      <c r="I24" s="769">
        <f t="shared" si="45"/>
        <v>0</v>
      </c>
      <c r="J24" s="769">
        <f>SUM(J21:J23)</f>
        <v>0</v>
      </c>
      <c r="K24" s="769">
        <f t="shared" si="45"/>
        <v>0</v>
      </c>
      <c r="L24" s="769">
        <f t="shared" si="45"/>
        <v>0</v>
      </c>
      <c r="M24" s="769">
        <f t="shared" si="45"/>
        <v>0</v>
      </c>
      <c r="N24" s="769">
        <f t="shared" si="45"/>
        <v>0</v>
      </c>
      <c r="O24" s="769">
        <f t="shared" ref="O24:P24" si="46">SUM(O21:O23)</f>
        <v>0</v>
      </c>
      <c r="P24" s="769">
        <f t="shared" si="46"/>
        <v>0</v>
      </c>
      <c r="Q24" s="769">
        <f>SUM(Q21:Q23)</f>
        <v>0</v>
      </c>
      <c r="R24" s="769">
        <f>SUM(R21:R23)</f>
        <v>-57</v>
      </c>
      <c r="S24" s="769">
        <f>SUM(S21:S23)</f>
        <v>-58183</v>
      </c>
      <c r="T24" s="770">
        <f t="shared" ref="T24" si="47">SUM(T21:T23)</f>
        <v>0</v>
      </c>
      <c r="U24" s="770">
        <f t="shared" ref="U24:Z24" si="48">SUM(U21:U23)</f>
        <v>0</v>
      </c>
      <c r="V24" s="769">
        <f t="shared" si="48"/>
        <v>0</v>
      </c>
      <c r="W24" s="769">
        <f>SUM(W21:W23)</f>
        <v>0</v>
      </c>
      <c r="X24" s="770">
        <f t="shared" ref="X24" si="49">SUM(X21:X23)</f>
        <v>0</v>
      </c>
      <c r="Y24" s="755">
        <f t="shared" si="48"/>
        <v>91239</v>
      </c>
      <c r="Z24" s="769">
        <f t="shared" si="48"/>
        <v>-90370</v>
      </c>
      <c r="AA24" s="769">
        <f t="shared" ref="AA24" si="50">SUM(AA21:AA23)</f>
        <v>0</v>
      </c>
      <c r="AB24" s="769">
        <f>SUM(AB21:AB23)</f>
        <v>0</v>
      </c>
      <c r="AC24" s="769">
        <f t="shared" ref="AC24:AE24" si="51">SUM(AC21:AC23)</f>
        <v>0</v>
      </c>
      <c r="AD24" s="771">
        <f t="shared" si="51"/>
        <v>63</v>
      </c>
      <c r="AE24" s="769">
        <f t="shared" si="51"/>
        <v>0</v>
      </c>
      <c r="AF24" s="769">
        <f>SUM(AF21:AF23)</f>
        <v>3.8</v>
      </c>
      <c r="AG24" s="769">
        <f>SUM(AG21:AG23)</f>
        <v>0</v>
      </c>
      <c r="AH24" s="769">
        <f>SUM(AH21:AH23)</f>
        <v>0</v>
      </c>
      <c r="AI24" s="769">
        <f t="shared" ref="AI24" si="52">SUM(AI21:AI23)</f>
        <v>0</v>
      </c>
      <c r="AJ24" s="769">
        <f t="shared" ref="AJ24:AK24" si="53">SUM(AJ21:AJ23)</f>
        <v>0</v>
      </c>
      <c r="AK24" s="769">
        <f t="shared" si="53"/>
        <v>0</v>
      </c>
      <c r="AL24" s="769">
        <f>SUM(AL21:AL23)</f>
        <v>0</v>
      </c>
      <c r="AM24" s="769">
        <f t="shared" ref="AM24:AO24" si="54">SUM(AM21:AM23)</f>
        <v>7.72</v>
      </c>
      <c r="AN24" s="769">
        <f t="shared" si="54"/>
        <v>0</v>
      </c>
      <c r="AO24" s="769">
        <f t="shared" si="54"/>
        <v>0</v>
      </c>
      <c r="AP24" s="769">
        <f t="shared" ref="AP24:AQ24" si="55">SUM(AP21:AP23)</f>
        <v>0</v>
      </c>
      <c r="AQ24" s="769">
        <f t="shared" si="55"/>
        <v>0</v>
      </c>
      <c r="AR24" s="769">
        <f t="shared" ref="AR24:AS24" si="56">SUM(AR21:AR23)</f>
        <v>0</v>
      </c>
      <c r="AS24" s="769">
        <f t="shared" si="56"/>
        <v>0</v>
      </c>
      <c r="AT24" s="772">
        <f>SUM(AT21:AT23)</f>
        <v>0</v>
      </c>
      <c r="AU24" s="772">
        <f>SUM(AU21:AU23)</f>
        <v>0</v>
      </c>
      <c r="AV24" s="772">
        <f t="shared" ref="AV24" si="57">SUM(AV21:AV23)</f>
        <v>0</v>
      </c>
      <c r="AW24" s="758">
        <f t="shared" ref="AW24" si="58">SUM(AW21:AW23)</f>
        <v>943.52</v>
      </c>
      <c r="AX24" s="759"/>
      <c r="AY24" s="769">
        <f>SUM(AY21:AY23)</f>
        <v>0</v>
      </c>
      <c r="AZ24" s="769">
        <f t="shared" ref="AZ24" si="59">SUM(AZ21:AZ23)</f>
        <v>0</v>
      </c>
      <c r="BA24" s="771">
        <f t="shared" ref="BA24" si="60">SUM(BA21:BA23)</f>
        <v>19</v>
      </c>
      <c r="BB24" s="769">
        <f>SUM(BB21:BB23)</f>
        <v>2.1</v>
      </c>
      <c r="BC24" s="769">
        <f>SUM(BC21:BC23)</f>
        <v>0</v>
      </c>
      <c r="BD24" s="769">
        <f>SUM(BD21:BD23)</f>
        <v>0</v>
      </c>
      <c r="BE24" s="769">
        <f t="shared" ref="BE24" si="61">SUM(BE21:BE23)</f>
        <v>2.8039999999999998</v>
      </c>
      <c r="BF24" s="772">
        <f>SUM(BF21:BF23)</f>
        <v>0</v>
      </c>
      <c r="BG24" s="772">
        <f>SUM(BG21:BG23)</f>
        <v>0</v>
      </c>
      <c r="BH24" s="773">
        <f>SUM(BH21:BH23)</f>
        <v>967.42399999999998</v>
      </c>
      <c r="BI24" s="769">
        <f>SUM(BI21:BI23)</f>
        <v>23.903999999999996</v>
      </c>
      <c r="BJ24" s="632"/>
      <c r="BK24" s="633"/>
      <c r="BL24" s="633"/>
      <c r="BM24" s="633"/>
      <c r="BN24" s="633"/>
      <c r="BO24" s="633"/>
      <c r="BP24" s="633"/>
      <c r="BQ24" s="633"/>
      <c r="BR24" s="633"/>
    </row>
    <row r="25" spans="1:70" s="734" customFormat="1" ht="9" customHeight="1">
      <c r="A25" s="661"/>
      <c r="B25" s="775"/>
      <c r="C25" s="775"/>
      <c r="E25" s="769"/>
      <c r="F25" s="769"/>
      <c r="G25" s="769"/>
      <c r="H25" s="769"/>
      <c r="I25" s="769"/>
      <c r="J25" s="769"/>
      <c r="K25" s="769"/>
      <c r="L25" s="769"/>
      <c r="M25" s="769"/>
      <c r="N25" s="769"/>
      <c r="O25" s="769"/>
      <c r="P25" s="769"/>
      <c r="Q25" s="769"/>
      <c r="R25" s="769"/>
      <c r="S25" s="769"/>
      <c r="T25" s="770"/>
      <c r="U25" s="770"/>
      <c r="V25" s="769"/>
      <c r="W25" s="769"/>
      <c r="X25" s="770"/>
      <c r="Y25" s="755"/>
      <c r="Z25" s="769"/>
      <c r="AA25" s="769"/>
      <c r="AB25" s="769"/>
      <c r="AC25" s="769"/>
      <c r="AD25" s="771"/>
      <c r="AE25" s="769"/>
      <c r="AF25" s="769"/>
      <c r="AG25" s="769"/>
      <c r="AH25" s="769"/>
      <c r="AI25" s="769"/>
      <c r="AJ25" s="769"/>
      <c r="AK25" s="769"/>
      <c r="AL25" s="769"/>
      <c r="AM25" s="769"/>
      <c r="AN25" s="769"/>
      <c r="AO25" s="769"/>
      <c r="AP25" s="769"/>
      <c r="AQ25" s="769"/>
      <c r="AR25" s="769"/>
      <c r="AS25" s="769"/>
      <c r="AT25" s="772"/>
      <c r="AU25" s="772"/>
      <c r="AV25" s="772"/>
      <c r="AW25" s="758"/>
      <c r="AX25" s="759"/>
      <c r="AY25" s="769"/>
      <c r="AZ25" s="769"/>
      <c r="BA25" s="771"/>
      <c r="BB25" s="769"/>
      <c r="BC25" s="769"/>
      <c r="BD25" s="769"/>
      <c r="BE25" s="769"/>
      <c r="BF25" s="772"/>
      <c r="BG25" s="772"/>
      <c r="BH25" s="773"/>
      <c r="BI25" s="769"/>
      <c r="BJ25" s="632"/>
      <c r="BK25" s="633"/>
      <c r="BL25" s="633"/>
      <c r="BM25" s="633"/>
      <c r="BN25" s="633"/>
      <c r="BO25" s="633"/>
      <c r="BP25" s="633"/>
      <c r="BQ25" s="633"/>
      <c r="BR25" s="633"/>
    </row>
    <row r="26" spans="1:70" s="734" customFormat="1">
      <c r="A26" s="661"/>
      <c r="B26" s="775" t="s">
        <v>41</v>
      </c>
      <c r="D26" s="775"/>
      <c r="E26" s="769"/>
      <c r="F26" s="743"/>
      <c r="G26" s="743"/>
      <c r="H26" s="743"/>
      <c r="I26" s="743"/>
      <c r="J26" s="743"/>
      <c r="K26" s="743"/>
      <c r="L26" s="743"/>
      <c r="M26" s="743"/>
      <c r="N26" s="743"/>
      <c r="O26" s="743"/>
      <c r="P26" s="743"/>
      <c r="Q26" s="743"/>
      <c r="R26" s="743"/>
      <c r="S26" s="743"/>
      <c r="T26" s="754"/>
      <c r="U26" s="754"/>
      <c r="V26" s="743"/>
      <c r="W26" s="743"/>
      <c r="X26" s="754"/>
      <c r="Y26" s="755"/>
      <c r="Z26" s="743"/>
      <c r="AA26" s="743"/>
      <c r="AB26" s="743"/>
      <c r="AC26" s="743"/>
      <c r="AD26" s="756"/>
      <c r="AE26" s="743"/>
      <c r="AF26" s="743"/>
      <c r="AG26" s="743"/>
      <c r="AH26" s="743"/>
      <c r="AI26" s="743"/>
      <c r="AJ26" s="743"/>
      <c r="AK26" s="743"/>
      <c r="AL26" s="743"/>
      <c r="AM26" s="743"/>
      <c r="AN26" s="743"/>
      <c r="AO26" s="743"/>
      <c r="AP26" s="743"/>
      <c r="AQ26" s="743"/>
      <c r="AR26" s="743"/>
      <c r="AS26" s="743"/>
      <c r="AT26" s="757"/>
      <c r="AU26" s="757"/>
      <c r="AV26" s="757"/>
      <c r="AW26" s="758"/>
      <c r="AX26" s="759"/>
      <c r="AY26" s="743"/>
      <c r="AZ26" s="743"/>
      <c r="BA26" s="756"/>
      <c r="BB26" s="743"/>
      <c r="BC26" s="743"/>
      <c r="BD26" s="743"/>
      <c r="BE26" s="743"/>
      <c r="BF26" s="757"/>
      <c r="BG26" s="757"/>
      <c r="BH26" s="774"/>
      <c r="BI26" s="743"/>
      <c r="BJ26" s="632"/>
      <c r="BK26" s="633"/>
      <c r="BL26" s="633"/>
      <c r="BM26" s="633"/>
      <c r="BN26" s="633"/>
      <c r="BO26" s="633"/>
      <c r="BP26" s="633"/>
      <c r="BQ26" s="633"/>
      <c r="BR26" s="633"/>
    </row>
    <row r="27" spans="1:70" s="734" customFormat="1">
      <c r="A27" s="661">
        <v>9</v>
      </c>
      <c r="C27" s="775" t="s">
        <v>42</v>
      </c>
      <c r="D27" s="775"/>
      <c r="E27" s="769">
        <f>'ROO INPUT 1.00'!$F28</f>
        <v>2062</v>
      </c>
      <c r="F27" s="743">
        <v>0</v>
      </c>
      <c r="G27" s="743">
        <v>0</v>
      </c>
      <c r="H27" s="743">
        <v>0</v>
      </c>
      <c r="I27" s="743">
        <v>0</v>
      </c>
      <c r="J27" s="743">
        <v>0</v>
      </c>
      <c r="K27" s="743">
        <v>0</v>
      </c>
      <c r="L27" s="743">
        <v>0</v>
      </c>
      <c r="M27" s="743">
        <v>0</v>
      </c>
      <c r="N27" s="743">
        <v>0</v>
      </c>
      <c r="O27" s="743">
        <v>0</v>
      </c>
      <c r="P27" s="743">
        <v>0</v>
      </c>
      <c r="Q27" s="743">
        <v>0</v>
      </c>
      <c r="R27" s="743">
        <v>0</v>
      </c>
      <c r="S27" s="743">
        <v>0</v>
      </c>
      <c r="T27" s="754">
        <v>0</v>
      </c>
      <c r="U27" s="754">
        <v>0</v>
      </c>
      <c r="V27" s="743">
        <v>0</v>
      </c>
      <c r="W27" s="743">
        <v>0</v>
      </c>
      <c r="X27" s="754">
        <v>0</v>
      </c>
      <c r="Y27" s="755">
        <f>SUM(E27:X27)</f>
        <v>2062</v>
      </c>
      <c r="Z27" s="743">
        <v>0</v>
      </c>
      <c r="AA27" s="743">
        <v>0</v>
      </c>
      <c r="AB27" s="743">
        <v>0</v>
      </c>
      <c r="AC27" s="743">
        <v>0</v>
      </c>
      <c r="AD27" s="756">
        <f>ROUND('G-3.05,5.02 PF NE Labor'!AH71/1000,1)+0.3</f>
        <v>0.3</v>
      </c>
      <c r="AE27" s="743">
        <v>0</v>
      </c>
      <c r="AF27" s="743">
        <f>ROUND('G-3.07,5.03 Benefits'!O53/1000,)</f>
        <v>0</v>
      </c>
      <c r="AG27" s="743">
        <v>0</v>
      </c>
      <c r="AH27" s="743">
        <v>0</v>
      </c>
      <c r="AI27" s="743">
        <v>0</v>
      </c>
      <c r="AJ27" s="743">
        <v>0</v>
      </c>
      <c r="AK27" s="743">
        <v>0</v>
      </c>
      <c r="AL27" s="743">
        <v>0</v>
      </c>
      <c r="AM27" s="743">
        <f>ROUND('G-3.14,5.06 PF Misc O&amp;M'!P55/1000,3)</f>
        <v>-33.328000000000003</v>
      </c>
      <c r="AN27" s="743">
        <v>0</v>
      </c>
      <c r="AO27" s="743">
        <v>0</v>
      </c>
      <c r="AP27" s="743">
        <v>0</v>
      </c>
      <c r="AQ27" s="743">
        <v>0</v>
      </c>
      <c r="AR27" s="743">
        <v>0</v>
      </c>
      <c r="AS27" s="743">
        <v>0</v>
      </c>
      <c r="AT27" s="757">
        <v>0</v>
      </c>
      <c r="AU27" s="757">
        <v>0</v>
      </c>
      <c r="AV27" s="757">
        <v>0</v>
      </c>
      <c r="AW27" s="758">
        <f>SUM(Y27:AV27)</f>
        <v>2028.9720000000002</v>
      </c>
      <c r="AX27" s="759"/>
      <c r="AY27" s="743">
        <v>0</v>
      </c>
      <c r="AZ27" s="743">
        <v>0</v>
      </c>
      <c r="BA27" s="756">
        <v>0</v>
      </c>
      <c r="BB27" s="743">
        <f>ROUND('G-3.07,5.03 Benefits'!P53/1000,0)</f>
        <v>0</v>
      </c>
      <c r="BC27" s="743">
        <v>0</v>
      </c>
      <c r="BD27" s="743">
        <v>0</v>
      </c>
      <c r="BE27" s="743">
        <f>ROUND('G-3.14,5.06 PF Misc O&amp;M'!Q55/1000,3)</f>
        <v>48.308999999999997</v>
      </c>
      <c r="BF27" s="757">
        <v>0</v>
      </c>
      <c r="BG27" s="757">
        <v>0</v>
      </c>
      <c r="BH27" s="760">
        <f>SUM(AW27:BG27)</f>
        <v>2077.2810000000004</v>
      </c>
      <c r="BI27" s="540">
        <f>BH27-AW27</f>
        <v>48.309000000000196</v>
      </c>
      <c r="BJ27" s="632"/>
      <c r="BK27" s="633"/>
      <c r="BL27" s="633"/>
      <c r="BM27" s="633"/>
      <c r="BN27" s="633"/>
      <c r="BO27" s="633"/>
      <c r="BP27" s="633"/>
      <c r="BQ27" s="633"/>
      <c r="BR27" s="633"/>
    </row>
    <row r="28" spans="1:70" s="734" customFormat="1">
      <c r="A28" s="661">
        <v>10</v>
      </c>
      <c r="C28" s="775" t="s">
        <v>188</v>
      </c>
      <c r="D28" s="775"/>
      <c r="E28" s="769">
        <f>'ROO INPUT 1.00'!$F29</f>
        <v>512</v>
      </c>
      <c r="F28" s="743">
        <v>0</v>
      </c>
      <c r="G28" s="743">
        <v>0</v>
      </c>
      <c r="H28" s="743">
        <v>0</v>
      </c>
      <c r="I28" s="743">
        <v>0</v>
      </c>
      <c r="J28" s="743">
        <v>0</v>
      </c>
      <c r="K28" s="743">
        <v>0</v>
      </c>
      <c r="L28" s="743">
        <v>0</v>
      </c>
      <c r="M28" s="743">
        <v>0</v>
      </c>
      <c r="N28" s="743">
        <v>0</v>
      </c>
      <c r="O28" s="743">
        <v>0</v>
      </c>
      <c r="P28" s="743">
        <v>0</v>
      </c>
      <c r="Q28" s="743">
        <v>0</v>
      </c>
      <c r="R28" s="743">
        <v>0</v>
      </c>
      <c r="S28" s="743">
        <v>0</v>
      </c>
      <c r="T28" s="754">
        <v>0</v>
      </c>
      <c r="U28" s="754">
        <v>0</v>
      </c>
      <c r="V28" s="743">
        <v>0</v>
      </c>
      <c r="W28" s="743">
        <v>0</v>
      </c>
      <c r="X28" s="754">
        <v>0</v>
      </c>
      <c r="Y28" s="755">
        <f>SUM(E28:X28)</f>
        <v>512</v>
      </c>
      <c r="Z28" s="743">
        <v>0</v>
      </c>
      <c r="AA28" s="743">
        <v>0</v>
      </c>
      <c r="AB28" s="743">
        <v>0</v>
      </c>
      <c r="AC28" s="743">
        <v>0</v>
      </c>
      <c r="AD28" s="756">
        <v>0</v>
      </c>
      <c r="AE28" s="743">
        <v>0</v>
      </c>
      <c r="AF28" s="743">
        <v>0</v>
      </c>
      <c r="AG28" s="743">
        <v>0</v>
      </c>
      <c r="AH28" s="743">
        <v>0</v>
      </c>
      <c r="AI28" s="743">
        <v>0</v>
      </c>
      <c r="AJ28" s="743">
        <v>0</v>
      </c>
      <c r="AK28" s="743">
        <v>0</v>
      </c>
      <c r="AL28" s="743">
        <v>0</v>
      </c>
      <c r="AM28" s="743">
        <v>0</v>
      </c>
      <c r="AN28" s="743">
        <f>ROUND('G-2.15,3.15-3.17,4.01,5.07 CAP'!J12,)</f>
        <v>12</v>
      </c>
      <c r="AO28" s="743">
        <f>ROUND('G-2.15,3.15-3.17,4.01,5.07 CAP'!Q12,1)</f>
        <v>-6.8</v>
      </c>
      <c r="AP28" s="743">
        <f>ROUND('G-2.15,3.15-3.17,4.01,5.07 CAP'!V12,)</f>
        <v>20</v>
      </c>
      <c r="AQ28" s="743">
        <v>0</v>
      </c>
      <c r="AR28" s="743">
        <v>0</v>
      </c>
      <c r="AS28" s="743">
        <v>0</v>
      </c>
      <c r="AT28" s="757">
        <f>ROUND('G-2.15,3.15-3.17,4.01,5.07 CAP'!AC12,)</f>
        <v>24</v>
      </c>
      <c r="AU28" s="757">
        <v>0</v>
      </c>
      <c r="AV28" s="757">
        <v>0</v>
      </c>
      <c r="AW28" s="758">
        <f>SUM(Y28:AV28)</f>
        <v>561.20000000000005</v>
      </c>
      <c r="AX28" s="759"/>
      <c r="AY28" s="743">
        <v>0</v>
      </c>
      <c r="AZ28" s="743">
        <v>0</v>
      </c>
      <c r="BA28" s="756">
        <v>0</v>
      </c>
      <c r="BB28" s="743">
        <v>0</v>
      </c>
      <c r="BC28" s="743">
        <v>0</v>
      </c>
      <c r="BD28" s="743">
        <v>0</v>
      </c>
      <c r="BE28" s="743">
        <v>0</v>
      </c>
      <c r="BF28" s="757">
        <f>ROUND('G-2.15,3.15-3.17,4.01,5.07 CAP'!AJ12,)</f>
        <v>23</v>
      </c>
      <c r="BG28" s="757">
        <v>0</v>
      </c>
      <c r="BH28" s="760">
        <f>SUM(AW28:BG28)</f>
        <v>584.20000000000005</v>
      </c>
      <c r="BI28" s="540">
        <f>BH28-AW28</f>
        <v>23</v>
      </c>
      <c r="BJ28" s="632"/>
      <c r="BK28" s="633"/>
      <c r="BL28" s="633"/>
      <c r="BM28" s="633"/>
      <c r="BN28" s="633"/>
      <c r="BO28" s="633"/>
      <c r="BP28" s="633"/>
      <c r="BQ28" s="633"/>
      <c r="BR28" s="633"/>
    </row>
    <row r="29" spans="1:70" s="734" customFormat="1">
      <c r="A29" s="661">
        <v>11</v>
      </c>
      <c r="C29" s="775" t="s">
        <v>20</v>
      </c>
      <c r="D29" s="775"/>
      <c r="E29" s="776">
        <f>'ROO INPUT 1.00'!$F30</f>
        <v>161</v>
      </c>
      <c r="F29" s="762">
        <v>0</v>
      </c>
      <c r="G29" s="762">
        <v>0</v>
      </c>
      <c r="H29" s="762">
        <v>0</v>
      </c>
      <c r="I29" s="762">
        <v>0</v>
      </c>
      <c r="J29" s="762">
        <f>ROUND(('G-2.02,3.11,5.04 Prop Tax'!H31/1000),)</f>
        <v>32</v>
      </c>
      <c r="K29" s="762">
        <v>0</v>
      </c>
      <c r="L29" s="762">
        <v>0</v>
      </c>
      <c r="M29" s="762">
        <v>0</v>
      </c>
      <c r="N29" s="762">
        <v>0</v>
      </c>
      <c r="O29" s="762">
        <v>0</v>
      </c>
      <c r="P29" s="762">
        <v>0</v>
      </c>
      <c r="Q29" s="762">
        <v>0</v>
      </c>
      <c r="R29" s="762">
        <v>0</v>
      </c>
      <c r="S29" s="762">
        <v>0</v>
      </c>
      <c r="T29" s="763">
        <v>0</v>
      </c>
      <c r="U29" s="763">
        <v>0</v>
      </c>
      <c r="V29" s="762">
        <v>0</v>
      </c>
      <c r="W29" s="762">
        <v>0</v>
      </c>
      <c r="X29" s="763">
        <v>0</v>
      </c>
      <c r="Y29" s="764">
        <f>SUM(E29:X29)</f>
        <v>193</v>
      </c>
      <c r="Z29" s="762">
        <v>0</v>
      </c>
      <c r="AA29" s="762">
        <v>0</v>
      </c>
      <c r="AB29" s="762">
        <v>0</v>
      </c>
      <c r="AC29" s="762">
        <v>0</v>
      </c>
      <c r="AD29" s="765">
        <v>0</v>
      </c>
      <c r="AE29" s="762">
        <v>0</v>
      </c>
      <c r="AF29" s="762">
        <v>0</v>
      </c>
      <c r="AG29" s="762">
        <v>0</v>
      </c>
      <c r="AH29" s="762">
        <v>0</v>
      </c>
      <c r="AI29" s="762">
        <v>0</v>
      </c>
      <c r="AJ29" s="762">
        <f>ROUND(('G-2.02,3.11,5.04 Prop Tax'!H53/1000),)</f>
        <v>52</v>
      </c>
      <c r="AK29" s="762">
        <v>0</v>
      </c>
      <c r="AL29" s="762">
        <v>0</v>
      </c>
      <c r="AM29" s="762">
        <v>0</v>
      </c>
      <c r="AN29" s="762">
        <v>0</v>
      </c>
      <c r="AO29" s="762">
        <v>0</v>
      </c>
      <c r="AP29" s="762">
        <v>0</v>
      </c>
      <c r="AQ29" s="762">
        <v>0</v>
      </c>
      <c r="AR29" s="762">
        <v>0</v>
      </c>
      <c r="AS29" s="762">
        <v>0</v>
      </c>
      <c r="AT29" s="762">
        <v>0</v>
      </c>
      <c r="AU29" s="762">
        <v>0</v>
      </c>
      <c r="AV29" s="762">
        <v>0</v>
      </c>
      <c r="AW29" s="766">
        <f>SUM(Y29:AV29)</f>
        <v>245</v>
      </c>
      <c r="AX29" s="759"/>
      <c r="AY29" s="762">
        <v>0</v>
      </c>
      <c r="AZ29" s="762">
        <v>0</v>
      </c>
      <c r="BA29" s="765">
        <v>0</v>
      </c>
      <c r="BB29" s="762">
        <v>0</v>
      </c>
      <c r="BC29" s="762">
        <f>ROUND(('G-2.02,3.11,5.04 Prop Tax'!H75/1000),)</f>
        <v>2</v>
      </c>
      <c r="BD29" s="762">
        <v>0</v>
      </c>
      <c r="BE29" s="762">
        <v>0</v>
      </c>
      <c r="BF29" s="762">
        <v>0</v>
      </c>
      <c r="BG29" s="762">
        <v>0</v>
      </c>
      <c r="BH29" s="767">
        <f>SUM(AW29:BG29)</f>
        <v>247</v>
      </c>
      <c r="BI29" s="768">
        <f>BH29-AW29</f>
        <v>2</v>
      </c>
      <c r="BJ29" s="632"/>
      <c r="BK29" s="633"/>
      <c r="BL29" s="633"/>
      <c r="BM29" s="633"/>
      <c r="BN29" s="633"/>
      <c r="BO29" s="633"/>
      <c r="BP29" s="633"/>
      <c r="BQ29" s="633"/>
      <c r="BR29" s="633"/>
    </row>
    <row r="30" spans="1:70" s="734" customFormat="1">
      <c r="A30" s="661">
        <v>12</v>
      </c>
      <c r="B30" s="775" t="s">
        <v>44</v>
      </c>
      <c r="C30" s="775"/>
      <c r="E30" s="769">
        <f t="shared" ref="E30:Y30" si="62">SUM(E27:E29)</f>
        <v>2735</v>
      </c>
      <c r="F30" s="769">
        <f t="shared" si="62"/>
        <v>0</v>
      </c>
      <c r="G30" s="769">
        <f t="shared" si="62"/>
        <v>0</v>
      </c>
      <c r="H30" s="769">
        <f t="shared" si="62"/>
        <v>0</v>
      </c>
      <c r="I30" s="769">
        <f t="shared" si="62"/>
        <v>0</v>
      </c>
      <c r="J30" s="769">
        <f>SUM(J27:J29)</f>
        <v>32</v>
      </c>
      <c r="K30" s="769">
        <f t="shared" si="62"/>
        <v>0</v>
      </c>
      <c r="L30" s="769">
        <f t="shared" si="62"/>
        <v>0</v>
      </c>
      <c r="M30" s="769">
        <f t="shared" si="62"/>
        <v>0</v>
      </c>
      <c r="N30" s="769">
        <f t="shared" si="62"/>
        <v>0</v>
      </c>
      <c r="O30" s="769">
        <f t="shared" ref="O30:P30" si="63">SUM(O27:O29)</f>
        <v>0</v>
      </c>
      <c r="P30" s="769">
        <f t="shared" si="63"/>
        <v>0</v>
      </c>
      <c r="Q30" s="769">
        <f>SUM(Q27:Q29)</f>
        <v>0</v>
      </c>
      <c r="R30" s="769">
        <f>SUM(R27:R29)</f>
        <v>0</v>
      </c>
      <c r="S30" s="769">
        <f>SUM(S27:S29)</f>
        <v>0</v>
      </c>
      <c r="T30" s="770">
        <f t="shared" ref="T30" si="64">SUM(T27:T29)</f>
        <v>0</v>
      </c>
      <c r="U30" s="770">
        <f>SUM(U27:U29)</f>
        <v>0</v>
      </c>
      <c r="V30" s="769">
        <f>SUM(V27:V29)</f>
        <v>0</v>
      </c>
      <c r="W30" s="769">
        <f>SUM(W27:W29)</f>
        <v>0</v>
      </c>
      <c r="X30" s="770">
        <f>SUM(X27:X29)</f>
        <v>0</v>
      </c>
      <c r="Y30" s="755">
        <f t="shared" si="62"/>
        <v>2767</v>
      </c>
      <c r="Z30" s="769">
        <f>SUM(Z27:Z29)</f>
        <v>0</v>
      </c>
      <c r="AA30" s="769">
        <f>SUM(AA27:AA29)</f>
        <v>0</v>
      </c>
      <c r="AB30" s="769">
        <f>SUM(AB27:AB29)</f>
        <v>0</v>
      </c>
      <c r="AC30" s="769">
        <f t="shared" ref="AC30:AI30" si="65">SUM(AC27:AC29)</f>
        <v>0</v>
      </c>
      <c r="AD30" s="771">
        <f t="shared" si="65"/>
        <v>0.3</v>
      </c>
      <c r="AE30" s="769">
        <f t="shared" si="65"/>
        <v>0</v>
      </c>
      <c r="AF30" s="769">
        <f t="shared" si="65"/>
        <v>0</v>
      </c>
      <c r="AG30" s="769">
        <f t="shared" ref="AG30" si="66">SUM(AG27:AG29)</f>
        <v>0</v>
      </c>
      <c r="AH30" s="769">
        <f t="shared" si="65"/>
        <v>0</v>
      </c>
      <c r="AI30" s="769">
        <f t="shared" si="65"/>
        <v>0</v>
      </c>
      <c r="AJ30" s="769">
        <f t="shared" ref="AJ30:AK30" si="67">SUM(AJ27:AJ29)</f>
        <v>52</v>
      </c>
      <c r="AK30" s="769">
        <f t="shared" si="67"/>
        <v>0</v>
      </c>
      <c r="AL30" s="769">
        <f>SUM(AL27:AL29)</f>
        <v>0</v>
      </c>
      <c r="AM30" s="769">
        <f t="shared" ref="AM30" si="68">SUM(AM27:AM29)</f>
        <v>-33.328000000000003</v>
      </c>
      <c r="AN30" s="769">
        <f>SUM(AN27:AN29)</f>
        <v>12</v>
      </c>
      <c r="AO30" s="769">
        <f t="shared" ref="AO30" si="69">SUM(AO27:AO29)</f>
        <v>-6.8</v>
      </c>
      <c r="AP30" s="769">
        <f t="shared" ref="AP30:AQ30" si="70">SUM(AP27:AP29)</f>
        <v>20</v>
      </c>
      <c r="AQ30" s="769">
        <f t="shared" si="70"/>
        <v>0</v>
      </c>
      <c r="AR30" s="769">
        <f>SUM(AR27:AR29)</f>
        <v>0</v>
      </c>
      <c r="AS30" s="769">
        <f>SUM(AS27:AS29)</f>
        <v>0</v>
      </c>
      <c r="AT30" s="772">
        <f>SUM(AT27:AT29)</f>
        <v>24</v>
      </c>
      <c r="AU30" s="772">
        <f>SUM(AU27:AU29)</f>
        <v>0</v>
      </c>
      <c r="AV30" s="772">
        <f t="shared" ref="AV30" si="71">SUM(AV27:AV29)</f>
        <v>0</v>
      </c>
      <c r="AW30" s="758">
        <f t="shared" ref="AW30" si="72">SUM(AW27:AW29)</f>
        <v>2835.1720000000005</v>
      </c>
      <c r="AX30" s="759"/>
      <c r="AY30" s="769">
        <f>SUM(AY27:AY29)</f>
        <v>0</v>
      </c>
      <c r="AZ30" s="769">
        <f t="shared" ref="AZ30" si="73">SUM(AZ27:AZ29)</f>
        <v>0</v>
      </c>
      <c r="BA30" s="771">
        <f t="shared" ref="BA30:BB30" si="74">SUM(BA27:BA29)</f>
        <v>0</v>
      </c>
      <c r="BB30" s="769">
        <f t="shared" si="74"/>
        <v>0</v>
      </c>
      <c r="BC30" s="769">
        <f>SUM(BC27:BC29)</f>
        <v>2</v>
      </c>
      <c r="BD30" s="769">
        <f>SUM(BD27:BD29)</f>
        <v>0</v>
      </c>
      <c r="BE30" s="769">
        <f t="shared" ref="BE30" si="75">SUM(BE27:BE29)</f>
        <v>48.308999999999997</v>
      </c>
      <c r="BF30" s="772">
        <f>SUM(BF27:BF29)</f>
        <v>23</v>
      </c>
      <c r="BG30" s="772">
        <f>SUM(BG27:BG29)</f>
        <v>0</v>
      </c>
      <c r="BH30" s="773">
        <f>SUM(BH27:BH29)</f>
        <v>2908.4810000000007</v>
      </c>
      <c r="BI30" s="769">
        <f>SUM(BI27:BI29)</f>
        <v>73.309000000000196</v>
      </c>
      <c r="BJ30" s="632"/>
      <c r="BK30" s="633"/>
      <c r="BL30" s="633"/>
      <c r="BM30" s="633"/>
      <c r="BN30" s="633"/>
      <c r="BO30" s="633"/>
      <c r="BP30" s="633"/>
      <c r="BQ30" s="633"/>
      <c r="BR30" s="633"/>
    </row>
    <row r="31" spans="1:70" s="734" customFormat="1" ht="9" customHeight="1">
      <c r="A31" s="661"/>
      <c r="B31" s="775"/>
      <c r="C31" s="775"/>
      <c r="E31" s="769"/>
      <c r="F31" s="769"/>
      <c r="G31" s="769"/>
      <c r="H31" s="769"/>
      <c r="I31" s="769"/>
      <c r="J31" s="769"/>
      <c r="K31" s="769"/>
      <c r="L31" s="769"/>
      <c r="M31" s="769"/>
      <c r="N31" s="769"/>
      <c r="O31" s="769"/>
      <c r="P31" s="769"/>
      <c r="Q31" s="769"/>
      <c r="R31" s="769"/>
      <c r="S31" s="769"/>
      <c r="T31" s="770"/>
      <c r="U31" s="770"/>
      <c r="V31" s="769"/>
      <c r="W31" s="769"/>
      <c r="X31" s="770"/>
      <c r="Y31" s="755"/>
      <c r="Z31" s="769"/>
      <c r="AA31" s="769"/>
      <c r="AB31" s="769"/>
      <c r="AC31" s="769"/>
      <c r="AD31" s="771"/>
      <c r="AE31" s="769"/>
      <c r="AF31" s="769"/>
      <c r="AG31" s="769"/>
      <c r="AH31" s="769"/>
      <c r="AI31" s="769"/>
      <c r="AJ31" s="769"/>
      <c r="AK31" s="769"/>
      <c r="AL31" s="769"/>
      <c r="AM31" s="769"/>
      <c r="AN31" s="769"/>
      <c r="AO31" s="769"/>
      <c r="AP31" s="769"/>
      <c r="AQ31" s="769"/>
      <c r="AR31" s="769"/>
      <c r="AS31" s="769"/>
      <c r="AT31" s="772"/>
      <c r="AU31" s="772"/>
      <c r="AV31" s="772"/>
      <c r="AW31" s="758"/>
      <c r="AX31" s="759"/>
      <c r="AY31" s="769"/>
      <c r="AZ31" s="769"/>
      <c r="BA31" s="771"/>
      <c r="BB31" s="769"/>
      <c r="BC31" s="769"/>
      <c r="BD31" s="769"/>
      <c r="BE31" s="769"/>
      <c r="BF31" s="772"/>
      <c r="BG31" s="772"/>
      <c r="BH31" s="773"/>
      <c r="BI31" s="769"/>
      <c r="BJ31" s="632"/>
      <c r="BK31" s="633"/>
      <c r="BL31" s="633"/>
      <c r="BM31" s="633"/>
      <c r="BN31" s="633"/>
      <c r="BO31" s="633"/>
      <c r="BP31" s="633"/>
      <c r="BQ31" s="633"/>
      <c r="BR31" s="633"/>
    </row>
    <row r="32" spans="1:70" s="734" customFormat="1">
      <c r="A32" s="661"/>
      <c r="B32" s="775" t="s">
        <v>45</v>
      </c>
      <c r="D32" s="775"/>
      <c r="E32" s="769"/>
      <c r="F32" s="743"/>
      <c r="G32" s="743"/>
      <c r="H32" s="743"/>
      <c r="I32" s="743"/>
      <c r="J32" s="743"/>
      <c r="K32" s="743"/>
      <c r="L32" s="743"/>
      <c r="M32" s="743"/>
      <c r="N32" s="743"/>
      <c r="O32" s="743"/>
      <c r="P32" s="743"/>
      <c r="Q32" s="743"/>
      <c r="R32" s="743"/>
      <c r="S32" s="743"/>
      <c r="T32" s="754"/>
      <c r="U32" s="754"/>
      <c r="V32" s="743"/>
      <c r="W32" s="743"/>
      <c r="X32" s="754"/>
      <c r="Y32" s="755"/>
      <c r="Z32" s="743"/>
      <c r="AA32" s="743"/>
      <c r="AB32" s="743"/>
      <c r="AC32" s="743"/>
      <c r="AD32" s="756"/>
      <c r="AE32" s="743"/>
      <c r="AF32" s="743"/>
      <c r="AG32" s="743"/>
      <c r="AH32" s="743"/>
      <c r="AI32" s="743"/>
      <c r="AJ32" s="743"/>
      <c r="AK32" s="743"/>
      <c r="AL32" s="743"/>
      <c r="AM32" s="743"/>
      <c r="AN32" s="743"/>
      <c r="AO32" s="743"/>
      <c r="AP32" s="743"/>
      <c r="AQ32" s="743"/>
      <c r="AR32" s="743"/>
      <c r="AS32" s="743"/>
      <c r="AT32" s="757"/>
      <c r="AU32" s="757"/>
      <c r="AV32" s="757"/>
      <c r="AW32" s="758"/>
      <c r="AX32" s="759"/>
      <c r="AY32" s="743"/>
      <c r="AZ32" s="743"/>
      <c r="BA32" s="756"/>
      <c r="BB32" s="743"/>
      <c r="BC32" s="743"/>
      <c r="BD32" s="743"/>
      <c r="BE32" s="743"/>
      <c r="BF32" s="757"/>
      <c r="BG32" s="757"/>
      <c r="BH32" s="774"/>
      <c r="BI32" s="743"/>
      <c r="BJ32" s="632"/>
      <c r="BK32" s="633"/>
      <c r="BL32" s="633"/>
      <c r="BM32" s="633"/>
      <c r="BN32" s="633"/>
      <c r="BO32" s="633"/>
      <c r="BP32" s="633"/>
      <c r="BQ32" s="633"/>
      <c r="BR32" s="633"/>
    </row>
    <row r="33" spans="1:70" s="734" customFormat="1">
      <c r="A33" s="661">
        <v>13</v>
      </c>
      <c r="C33" s="775" t="s">
        <v>42</v>
      </c>
      <c r="D33" s="775"/>
      <c r="E33" s="769">
        <f>'ROO INPUT 1.00'!$F34</f>
        <v>12916</v>
      </c>
      <c r="F33" s="743">
        <v>0</v>
      </c>
      <c r="G33" s="743">
        <v>0</v>
      </c>
      <c r="H33" s="743">
        <v>0</v>
      </c>
      <c r="I33" s="743">
        <v>0</v>
      </c>
      <c r="J33" s="743">
        <v>0</v>
      </c>
      <c r="K33" s="743">
        <v>0</v>
      </c>
      <c r="L33" s="743">
        <v>0</v>
      </c>
      <c r="M33" s="743">
        <v>0</v>
      </c>
      <c r="N33" s="743">
        <v>0</v>
      </c>
      <c r="O33" s="743">
        <v>0</v>
      </c>
      <c r="P33" s="743">
        <v>0</v>
      </c>
      <c r="Q33" s="743">
        <v>0</v>
      </c>
      <c r="R33" s="743">
        <v>0</v>
      </c>
      <c r="S33" s="743">
        <v>0</v>
      </c>
      <c r="T33" s="754">
        <f>ROUND(('G-2.12 Misc'!S18/1000),)</f>
        <v>-5</v>
      </c>
      <c r="U33" s="754">
        <v>0</v>
      </c>
      <c r="V33" s="743">
        <v>0</v>
      </c>
      <c r="W33" s="743">
        <v>0</v>
      </c>
      <c r="X33" s="754">
        <v>0</v>
      </c>
      <c r="Y33" s="755">
        <f>SUM(E33:X33)</f>
        <v>12911</v>
      </c>
      <c r="Z33" s="743">
        <v>0</v>
      </c>
      <c r="AA33" s="743">
        <v>0</v>
      </c>
      <c r="AB33" s="743">
        <v>0</v>
      </c>
      <c r="AC33" s="743">
        <f>ROUND('G-3.04,5.01 PF AMI'!D18/1000,)</f>
        <v>-691</v>
      </c>
      <c r="AD33" s="756">
        <f>ROUND('G-3.05,5.02 PF NE Labor'!AH72/1000,)</f>
        <v>903</v>
      </c>
      <c r="AE33" s="743">
        <v>0</v>
      </c>
      <c r="AF33" s="743">
        <f>ROUND('G-3.07,5.03 Benefits'!O54/1000,1)</f>
        <v>41.6</v>
      </c>
      <c r="AG33" s="743">
        <v>0</v>
      </c>
      <c r="AH33" s="743">
        <v>0</v>
      </c>
      <c r="AI33" s="743">
        <v>0</v>
      </c>
      <c r="AJ33" s="743">
        <v>0</v>
      </c>
      <c r="AK33" s="743">
        <v>0</v>
      </c>
      <c r="AL33" s="743">
        <v>0</v>
      </c>
      <c r="AM33" s="743">
        <f>ROUND('G-3.14,5.06 PF Misc O&amp;M'!P83/1000,3)</f>
        <v>102.03100000000001</v>
      </c>
      <c r="AN33" s="743">
        <v>0</v>
      </c>
      <c r="AO33" s="743">
        <v>0</v>
      </c>
      <c r="AP33" s="743">
        <v>0</v>
      </c>
      <c r="AQ33" s="743">
        <v>0</v>
      </c>
      <c r="AR33" s="743">
        <v>0</v>
      </c>
      <c r="AS33" s="743">
        <v>0</v>
      </c>
      <c r="AT33" s="757">
        <v>0</v>
      </c>
      <c r="AU33" s="757">
        <f>-ROUND('G-4.02,5.08 PV Offsets'!AP137/1000,3)</f>
        <v>-190.31200000000001</v>
      </c>
      <c r="AV33" s="757">
        <v>0</v>
      </c>
      <c r="AW33" s="758">
        <f>SUM(Y33:AV33)</f>
        <v>13076.319000000001</v>
      </c>
      <c r="AX33" s="759"/>
      <c r="AY33" s="743">
        <v>0</v>
      </c>
      <c r="AZ33" s="743">
        <f>ROUND('G-3.04,5.01 PF AMI'!D39/1000,)</f>
        <v>-105</v>
      </c>
      <c r="BA33" s="756">
        <f>ROUND('G-3.05,5.02 PF NE Labor'!AI72/1000,)</f>
        <v>292</v>
      </c>
      <c r="BB33" s="743">
        <f>ROUND('G-3.07,5.03 Benefits'!P54/1000,1)</f>
        <v>22.9</v>
      </c>
      <c r="BC33" s="743">
        <v>0</v>
      </c>
      <c r="BD33" s="743">
        <v>0</v>
      </c>
      <c r="BE33" s="743">
        <f>ROUND('G-3.14,5.06 PF Misc O&amp;M'!Q83/1000,3)</f>
        <v>123.26600000000001</v>
      </c>
      <c r="BF33" s="757">
        <v>0</v>
      </c>
      <c r="BG33" s="757">
        <f>-ROUND('G-4.02,5.08 PV Offsets'!AS137/1000,3)</f>
        <v>-70.043999999999997</v>
      </c>
      <c r="BH33" s="760">
        <f>SUM(AW33:BG33)</f>
        <v>13339.441000000001</v>
      </c>
      <c r="BI33" s="540">
        <f>BH33-AW33</f>
        <v>263.12199999999939</v>
      </c>
      <c r="BJ33" s="632"/>
      <c r="BK33" s="633"/>
      <c r="BL33" s="633"/>
      <c r="BM33" s="633"/>
      <c r="BN33" s="633"/>
      <c r="BO33" s="633"/>
      <c r="BP33" s="633"/>
      <c r="BQ33" s="633"/>
      <c r="BR33" s="633"/>
    </row>
    <row r="34" spans="1:70" s="734" customFormat="1">
      <c r="A34" s="661">
        <v>14</v>
      </c>
      <c r="C34" s="775" t="s">
        <v>188</v>
      </c>
      <c r="D34" s="775"/>
      <c r="E34" s="769">
        <f>'ROO INPUT 1.00'!$F35</f>
        <v>16440</v>
      </c>
      <c r="F34" s="743">
        <v>0</v>
      </c>
      <c r="G34" s="743">
        <v>0</v>
      </c>
      <c r="H34" s="743">
        <v>0</v>
      </c>
      <c r="I34" s="743">
        <v>0</v>
      </c>
      <c r="J34" s="743">
        <v>0</v>
      </c>
      <c r="K34" s="743">
        <v>0</v>
      </c>
      <c r="L34" s="743">
        <v>0</v>
      </c>
      <c r="M34" s="743">
        <v>0</v>
      </c>
      <c r="N34" s="743">
        <v>0</v>
      </c>
      <c r="O34" s="743">
        <v>0</v>
      </c>
      <c r="P34" s="743">
        <v>0</v>
      </c>
      <c r="Q34" s="743">
        <f>-ROUND(('G-2.09 NGL'!AL71/1000),)</f>
        <v>-11</v>
      </c>
      <c r="R34" s="743">
        <v>0</v>
      </c>
      <c r="S34" s="743">
        <v>0</v>
      </c>
      <c r="T34" s="754">
        <v>0</v>
      </c>
      <c r="U34" s="754">
        <v>0</v>
      </c>
      <c r="V34" s="743">
        <v>0</v>
      </c>
      <c r="W34" s="743">
        <v>0</v>
      </c>
      <c r="X34" s="754">
        <v>0</v>
      </c>
      <c r="Y34" s="755">
        <f>SUM(E34:X34)</f>
        <v>16429</v>
      </c>
      <c r="Z34" s="743">
        <v>0</v>
      </c>
      <c r="AA34" s="743">
        <v>0</v>
      </c>
      <c r="AB34" s="743">
        <v>0</v>
      </c>
      <c r="AC34" s="743">
        <v>0</v>
      </c>
      <c r="AD34" s="756">
        <v>0</v>
      </c>
      <c r="AE34" s="743">
        <v>0</v>
      </c>
      <c r="AF34" s="743">
        <v>0</v>
      </c>
      <c r="AG34" s="743">
        <v>0</v>
      </c>
      <c r="AH34" s="743">
        <v>0</v>
      </c>
      <c r="AI34" s="743">
        <v>0</v>
      </c>
      <c r="AJ34" s="743">
        <v>0</v>
      </c>
      <c r="AK34" s="743">
        <v>0</v>
      </c>
      <c r="AL34" s="743">
        <v>0</v>
      </c>
      <c r="AM34" s="743">
        <v>0</v>
      </c>
      <c r="AN34" s="743">
        <f>ROUND('G-2.15,3.15-3.17,4.01,5.07 CAP'!J13,)</f>
        <v>643</v>
      </c>
      <c r="AO34" s="743">
        <f>ROUND('G-2.15,3.15-3.17,4.01,5.07 CAP'!Q13,1)</f>
        <v>-433.7</v>
      </c>
      <c r="AP34" s="743">
        <f>ROUND('G-2.15,3.15-3.17,4.01,5.07 CAP'!V13,)</f>
        <v>1046</v>
      </c>
      <c r="AQ34" s="743">
        <v>0</v>
      </c>
      <c r="AR34" s="743">
        <v>0</v>
      </c>
      <c r="AS34" s="743">
        <v>0</v>
      </c>
      <c r="AT34" s="757">
        <f>ROUND('G-2.15,3.15-3.17,4.01,5.07 CAP'!AC13,)</f>
        <v>879</v>
      </c>
      <c r="AU34" s="757">
        <v>0</v>
      </c>
      <c r="AV34" s="757">
        <v>0</v>
      </c>
      <c r="AW34" s="758">
        <f>SUM(Y34:AV34)</f>
        <v>18563.3</v>
      </c>
      <c r="AX34" s="759"/>
      <c r="AY34" s="743">
        <v>0</v>
      </c>
      <c r="AZ34" s="743">
        <v>0</v>
      </c>
      <c r="BA34" s="756">
        <v>0</v>
      </c>
      <c r="BB34" s="743">
        <v>0</v>
      </c>
      <c r="BC34" s="743">
        <v>0</v>
      </c>
      <c r="BD34" s="743">
        <v>0</v>
      </c>
      <c r="BE34" s="743">
        <v>0</v>
      </c>
      <c r="BF34" s="757">
        <f>ROUND('G-2.15,3.15-3.17,4.01,5.07 CAP'!AJ13,)</f>
        <v>823</v>
      </c>
      <c r="BG34" s="757"/>
      <c r="BH34" s="760">
        <f>SUM(AW34:BG34)</f>
        <v>19386.3</v>
      </c>
      <c r="BI34" s="540">
        <f>BH34-AW34</f>
        <v>823</v>
      </c>
      <c r="BJ34" s="632"/>
      <c r="BK34" s="633"/>
      <c r="BL34" s="633"/>
      <c r="BM34" s="633"/>
      <c r="BN34" s="633"/>
      <c r="BO34" s="633"/>
      <c r="BP34" s="633"/>
      <c r="BQ34" s="633"/>
      <c r="BR34" s="633"/>
    </row>
    <row r="35" spans="1:70" s="734" customFormat="1">
      <c r="A35" s="661">
        <v>15</v>
      </c>
      <c r="C35" s="775" t="s">
        <v>20</v>
      </c>
      <c r="D35" s="775"/>
      <c r="E35" s="776">
        <f>'ROO INPUT 1.00'!$F36</f>
        <v>21003</v>
      </c>
      <c r="F35" s="762">
        <v>0</v>
      </c>
      <c r="G35" s="762">
        <v>0</v>
      </c>
      <c r="H35" s="762">
        <v>0</v>
      </c>
      <c r="I35" s="762">
        <f>-ROUND(('G-2.01 Elim B&amp;O'!F26/1000),)</f>
        <v>-8688</v>
      </c>
      <c r="J35" s="762">
        <f>ROUND(('G-2.02,3.11,5.04 Prop Tax'!H34/1000),)</f>
        <v>256</v>
      </c>
      <c r="K35" s="762">
        <v>0</v>
      </c>
      <c r="L35" s="762">
        <v>0</v>
      </c>
      <c r="M35" s="762">
        <v>0</v>
      </c>
      <c r="N35" s="762">
        <v>0</v>
      </c>
      <c r="O35" s="762">
        <v>0</v>
      </c>
      <c r="P35" s="762">
        <f>ROUND(('G-2.08 RET'!F31/1000),)</f>
        <v>-4</v>
      </c>
      <c r="Q35" s="762">
        <v>0</v>
      </c>
      <c r="R35" s="762">
        <f>ROUND((R$14+R$15)*CF!$E$19,0)</f>
        <v>1</v>
      </c>
      <c r="S35" s="762">
        <f>ROUND((S$14+S$15)*CF!$E$19,0)</f>
        <v>-1022</v>
      </c>
      <c r="T35" s="763">
        <v>0</v>
      </c>
      <c r="U35" s="763">
        <v>0</v>
      </c>
      <c r="V35" s="762">
        <v>0</v>
      </c>
      <c r="W35" s="762">
        <v>0</v>
      </c>
      <c r="X35" s="763">
        <v>0</v>
      </c>
      <c r="Y35" s="764">
        <f>SUM(E35:X35)</f>
        <v>11546</v>
      </c>
      <c r="Z35" s="762">
        <f>ROUND((Z$14+Z$15)*CF!$E$19,0)</f>
        <v>-3429</v>
      </c>
      <c r="AA35" s="762">
        <v>0</v>
      </c>
      <c r="AB35" s="762">
        <v>0</v>
      </c>
      <c r="AC35" s="762">
        <v>0</v>
      </c>
      <c r="AD35" s="765">
        <v>0</v>
      </c>
      <c r="AE35" s="762">
        <v>0</v>
      </c>
      <c r="AF35" s="762">
        <v>0</v>
      </c>
      <c r="AG35" s="762">
        <v>0</v>
      </c>
      <c r="AH35" s="762">
        <v>0</v>
      </c>
      <c r="AI35" s="762">
        <v>0</v>
      </c>
      <c r="AJ35" s="762">
        <f>ROUND(('G-2.02,3.11,5.04 Prop Tax'!H56/1000),)</f>
        <v>813</v>
      </c>
      <c r="AK35" s="762">
        <v>0</v>
      </c>
      <c r="AL35" s="762">
        <v>0</v>
      </c>
      <c r="AM35" s="762">
        <v>0</v>
      </c>
      <c r="AN35" s="762">
        <v>0</v>
      </c>
      <c r="AO35" s="762">
        <v>0</v>
      </c>
      <c r="AP35" s="762">
        <v>0</v>
      </c>
      <c r="AQ35" s="762">
        <v>0</v>
      </c>
      <c r="AR35" s="762">
        <v>0</v>
      </c>
      <c r="AS35" s="762">
        <v>0</v>
      </c>
      <c r="AT35" s="762">
        <v>0</v>
      </c>
      <c r="AU35" s="762">
        <v>0</v>
      </c>
      <c r="AV35" s="762">
        <v>0</v>
      </c>
      <c r="AW35" s="766">
        <f>SUM(Y35:AV35)</f>
        <v>8930</v>
      </c>
      <c r="AX35" s="759"/>
      <c r="AY35" s="762">
        <v>0</v>
      </c>
      <c r="AZ35" s="762">
        <v>0</v>
      </c>
      <c r="BA35" s="765">
        <v>0</v>
      </c>
      <c r="BB35" s="762">
        <v>0</v>
      </c>
      <c r="BC35" s="762">
        <f>ROUND(('G-2.02,3.11,5.04 Prop Tax'!H78/1000),)</f>
        <v>27</v>
      </c>
      <c r="BD35" s="762">
        <v>0</v>
      </c>
      <c r="BE35" s="762">
        <v>0</v>
      </c>
      <c r="BF35" s="762">
        <v>0</v>
      </c>
      <c r="BG35" s="762">
        <v>0</v>
      </c>
      <c r="BH35" s="767">
        <f>SUM(AW35:BG35)</f>
        <v>8957</v>
      </c>
      <c r="BI35" s="768">
        <f>BH35-AW35</f>
        <v>27</v>
      </c>
      <c r="BJ35" s="632"/>
      <c r="BK35" s="633"/>
      <c r="BL35" s="633"/>
      <c r="BM35" s="633"/>
      <c r="BN35" s="633"/>
      <c r="BO35" s="633"/>
      <c r="BP35" s="633"/>
      <c r="BQ35" s="633"/>
      <c r="BR35" s="633"/>
    </row>
    <row r="36" spans="1:70" s="734" customFormat="1" ht="13.15" customHeight="1">
      <c r="A36" s="661">
        <v>16</v>
      </c>
      <c r="B36" s="775" t="s">
        <v>46</v>
      </c>
      <c r="C36" s="775"/>
      <c r="E36" s="769">
        <f t="shared" ref="E36:N36" si="76">SUM(E33:E35)</f>
        <v>50359</v>
      </c>
      <c r="F36" s="769">
        <f t="shared" si="76"/>
        <v>0</v>
      </c>
      <c r="G36" s="769">
        <f t="shared" si="76"/>
        <v>0</v>
      </c>
      <c r="H36" s="769">
        <f t="shared" si="76"/>
        <v>0</v>
      </c>
      <c r="I36" s="769">
        <f t="shared" si="76"/>
        <v>-8688</v>
      </c>
      <c r="J36" s="769">
        <f>SUM(J33:J35)</f>
        <v>256</v>
      </c>
      <c r="K36" s="769">
        <f t="shared" si="76"/>
        <v>0</v>
      </c>
      <c r="L36" s="769">
        <f t="shared" si="76"/>
        <v>0</v>
      </c>
      <c r="M36" s="769">
        <f t="shared" si="76"/>
        <v>0</v>
      </c>
      <c r="N36" s="769">
        <f t="shared" si="76"/>
        <v>0</v>
      </c>
      <c r="O36" s="769">
        <f t="shared" ref="O36:P36" si="77">SUM(O33:O35)</f>
        <v>0</v>
      </c>
      <c r="P36" s="769">
        <f t="shared" si="77"/>
        <v>-4</v>
      </c>
      <c r="Q36" s="769">
        <f t="shared" ref="Q36:U36" si="78">SUM(Q33:Q35)</f>
        <v>-11</v>
      </c>
      <c r="R36" s="769">
        <f t="shared" si="78"/>
        <v>1</v>
      </c>
      <c r="S36" s="769">
        <f t="shared" si="78"/>
        <v>-1022</v>
      </c>
      <c r="T36" s="770">
        <f t="shared" si="78"/>
        <v>-5</v>
      </c>
      <c r="U36" s="770">
        <f t="shared" si="78"/>
        <v>0</v>
      </c>
      <c r="V36" s="769">
        <f t="shared" ref="V36" si="79">SUM(V33:V35)</f>
        <v>0</v>
      </c>
      <c r="W36" s="769">
        <f t="shared" ref="W36:X36" si="80">SUM(W33:W35)</f>
        <v>0</v>
      </c>
      <c r="X36" s="770">
        <f t="shared" si="80"/>
        <v>0</v>
      </c>
      <c r="Y36" s="755">
        <f>SUM(Y33:Y35)</f>
        <v>40886</v>
      </c>
      <c r="Z36" s="769">
        <f>SUM(Z33:Z35)</f>
        <v>-3429</v>
      </c>
      <c r="AA36" s="769">
        <f>SUM(AA33:AA35)</f>
        <v>0</v>
      </c>
      <c r="AB36" s="769">
        <f>SUM(AB33:AB35)</f>
        <v>0</v>
      </c>
      <c r="AC36" s="769">
        <f t="shared" ref="AC36" si="81">SUM(AC33:AC35)</f>
        <v>-691</v>
      </c>
      <c r="AD36" s="771">
        <f>SUM(AD33:AD35)</f>
        <v>903</v>
      </c>
      <c r="AE36" s="769">
        <f>SUM(AE33:AE35)</f>
        <v>0</v>
      </c>
      <c r="AF36" s="769">
        <f t="shared" ref="AF36:AI36" si="82">SUM(AF33:AF35)</f>
        <v>41.6</v>
      </c>
      <c r="AG36" s="769">
        <f t="shared" ref="AG36" si="83">SUM(AG33:AG35)</f>
        <v>0</v>
      </c>
      <c r="AH36" s="769">
        <f t="shared" si="82"/>
        <v>0</v>
      </c>
      <c r="AI36" s="769">
        <f t="shared" si="82"/>
        <v>0</v>
      </c>
      <c r="AJ36" s="769">
        <f t="shared" ref="AJ36:AK36" si="84">SUM(AJ33:AJ35)</f>
        <v>813</v>
      </c>
      <c r="AK36" s="769">
        <f t="shared" si="84"/>
        <v>0</v>
      </c>
      <c r="AL36" s="769">
        <f>SUM(AL33:AL35)</f>
        <v>0</v>
      </c>
      <c r="AM36" s="769">
        <f t="shared" ref="AM36:AO36" si="85">SUM(AM33:AM35)</f>
        <v>102.03100000000001</v>
      </c>
      <c r="AN36" s="769">
        <f t="shared" si="85"/>
        <v>643</v>
      </c>
      <c r="AO36" s="769">
        <f t="shared" si="85"/>
        <v>-433.7</v>
      </c>
      <c r="AP36" s="769">
        <f t="shared" ref="AP36:AQ36" si="86">SUM(AP33:AP35)</f>
        <v>1046</v>
      </c>
      <c r="AQ36" s="769">
        <f t="shared" si="86"/>
        <v>0</v>
      </c>
      <c r="AR36" s="769">
        <f t="shared" ref="AR36:AS36" si="87">SUM(AR33:AR35)</f>
        <v>0</v>
      </c>
      <c r="AS36" s="769">
        <f t="shared" si="87"/>
        <v>0</v>
      </c>
      <c r="AT36" s="772">
        <f>SUM(AT33:AT35)</f>
        <v>879</v>
      </c>
      <c r="AU36" s="772">
        <f>SUM(AU33:AU35)</f>
        <v>-190.31200000000001</v>
      </c>
      <c r="AV36" s="772">
        <f t="shared" ref="AV36" si="88">SUM(AV33:AV35)</f>
        <v>0</v>
      </c>
      <c r="AW36" s="758">
        <f t="shared" ref="AW36" si="89">SUM(AW33:AW35)</f>
        <v>40569.618999999999</v>
      </c>
      <c r="AX36" s="759"/>
      <c r="AY36" s="769">
        <f>SUM(AY33:AY35)</f>
        <v>0</v>
      </c>
      <c r="AZ36" s="769">
        <f t="shared" ref="AZ36" si="90">SUM(AZ33:AZ35)</f>
        <v>-105</v>
      </c>
      <c r="BA36" s="771">
        <f>SUM(BA33:BA35)</f>
        <v>292</v>
      </c>
      <c r="BB36" s="769">
        <f t="shared" ref="BB36" si="91">SUM(BB33:BB35)</f>
        <v>22.9</v>
      </c>
      <c r="BC36" s="769">
        <f>SUM(BC33:BC35)</f>
        <v>27</v>
      </c>
      <c r="BD36" s="769">
        <f>SUM(BD33:BD35)</f>
        <v>0</v>
      </c>
      <c r="BE36" s="769">
        <f t="shared" ref="BE36" si="92">SUM(BE33:BE35)</f>
        <v>123.26600000000001</v>
      </c>
      <c r="BF36" s="772">
        <f>SUM(BF33:BF35)</f>
        <v>823</v>
      </c>
      <c r="BG36" s="772">
        <f>SUM(BG33:BG35)</f>
        <v>-70.043999999999997</v>
      </c>
      <c r="BH36" s="773">
        <f>SUM(BH33:BH35)</f>
        <v>41682.741000000002</v>
      </c>
      <c r="BI36" s="769">
        <f>SUM(BI33:BI35)</f>
        <v>1113.1219999999994</v>
      </c>
      <c r="BJ36" s="632"/>
      <c r="BK36" s="633"/>
      <c r="BL36" s="633"/>
      <c r="BM36" s="633"/>
      <c r="BN36" s="633"/>
      <c r="BO36" s="633"/>
      <c r="BP36" s="633"/>
      <c r="BQ36" s="633"/>
      <c r="BR36" s="633"/>
    </row>
    <row r="37" spans="1:70" s="734" customFormat="1" ht="9.75" customHeight="1">
      <c r="A37" s="661"/>
      <c r="C37" s="775"/>
      <c r="D37" s="775"/>
      <c r="E37" s="769"/>
      <c r="F37" s="769"/>
      <c r="G37" s="769"/>
      <c r="H37" s="769"/>
      <c r="I37" s="769"/>
      <c r="J37" s="769"/>
      <c r="K37" s="769"/>
      <c r="L37" s="769"/>
      <c r="M37" s="769"/>
      <c r="N37" s="769"/>
      <c r="O37" s="769"/>
      <c r="P37" s="769"/>
      <c r="Q37" s="769"/>
      <c r="R37" s="769"/>
      <c r="S37" s="769"/>
      <c r="T37" s="770"/>
      <c r="U37" s="770"/>
      <c r="V37" s="769"/>
      <c r="W37" s="769"/>
      <c r="X37" s="770"/>
      <c r="Y37" s="755"/>
      <c r="Z37" s="769"/>
      <c r="AA37" s="769"/>
      <c r="AB37" s="769"/>
      <c r="AC37" s="769"/>
      <c r="AD37" s="771"/>
      <c r="AE37" s="769"/>
      <c r="AF37" s="769"/>
      <c r="AG37" s="769"/>
      <c r="AH37" s="769"/>
      <c r="AI37" s="769"/>
      <c r="AJ37" s="769"/>
      <c r="AK37" s="769"/>
      <c r="AL37" s="769"/>
      <c r="AM37" s="769"/>
      <c r="AN37" s="769"/>
      <c r="AO37" s="769"/>
      <c r="AP37" s="769"/>
      <c r="AQ37" s="769"/>
      <c r="AR37" s="769"/>
      <c r="AS37" s="769"/>
      <c r="AT37" s="772"/>
      <c r="AU37" s="772"/>
      <c r="AV37" s="772"/>
      <c r="AW37" s="758"/>
      <c r="AX37" s="759"/>
      <c r="AY37" s="769"/>
      <c r="AZ37" s="769"/>
      <c r="BA37" s="771"/>
      <c r="BB37" s="769"/>
      <c r="BC37" s="769"/>
      <c r="BD37" s="769"/>
      <c r="BE37" s="769"/>
      <c r="BF37" s="772"/>
      <c r="BG37" s="772"/>
      <c r="BH37" s="773"/>
      <c r="BI37" s="769"/>
      <c r="BJ37" s="632"/>
      <c r="BK37" s="633"/>
      <c r="BL37" s="633"/>
      <c r="BM37" s="633"/>
      <c r="BN37" s="633"/>
      <c r="BO37" s="633"/>
      <c r="BP37" s="633"/>
      <c r="BQ37" s="633"/>
      <c r="BR37" s="633"/>
    </row>
    <row r="38" spans="1:70" s="734" customFormat="1" ht="13.15" customHeight="1">
      <c r="A38" s="661">
        <v>17</v>
      </c>
      <c r="B38" s="734" t="s">
        <v>47</v>
      </c>
      <c r="C38" s="775"/>
      <c r="D38" s="775"/>
      <c r="E38" s="769">
        <f>'ROO INPUT 1.00'!$F39</f>
        <v>3993</v>
      </c>
      <c r="F38" s="757">
        <v>0</v>
      </c>
      <c r="G38" s="757">
        <f>ROUND(('G-1.02 Def DR-CR'!I13/1000),)</f>
        <v>0</v>
      </c>
      <c r="H38" s="757">
        <v>0</v>
      </c>
      <c r="I38" s="757">
        <v>0</v>
      </c>
      <c r="J38" s="757">
        <v>0</v>
      </c>
      <c r="K38" s="757">
        <f>ROUND(('G-2.03 Uncoll'!E30/1000),)</f>
        <v>927</v>
      </c>
      <c r="L38" s="757">
        <v>0</v>
      </c>
      <c r="M38" s="757">
        <v>0</v>
      </c>
      <c r="N38" s="757">
        <v>0</v>
      </c>
      <c r="O38" s="757">
        <v>0</v>
      </c>
      <c r="P38" s="757">
        <v>0</v>
      </c>
      <c r="Q38" s="757">
        <v>0</v>
      </c>
      <c r="R38" s="757">
        <f>ROUND((R$14+R$15)*CF!$E$15,0)</f>
        <v>0</v>
      </c>
      <c r="S38" s="743">
        <f>ROUND((S$14+S$15)*CF!$E$15,0)</f>
        <v>-132</v>
      </c>
      <c r="T38" s="754">
        <v>0</v>
      </c>
      <c r="U38" s="770">
        <v>0</v>
      </c>
      <c r="V38" s="743">
        <v>0</v>
      </c>
      <c r="W38" s="769">
        <v>0</v>
      </c>
      <c r="X38" s="770">
        <v>0</v>
      </c>
      <c r="Y38" s="755">
        <f>SUM(E38:X38)</f>
        <v>4788</v>
      </c>
      <c r="Z38" s="743">
        <f>ROUND((Z$14+Z$15)*CF!$E$15,0)</f>
        <v>-443</v>
      </c>
      <c r="AA38" s="757">
        <v>0</v>
      </c>
      <c r="AB38" s="743">
        <v>0</v>
      </c>
      <c r="AC38" s="743">
        <v>0</v>
      </c>
      <c r="AD38" s="771">
        <f>ROUND('G-3.05,5.02 PF NE Labor'!AH73/1000,)</f>
        <v>261</v>
      </c>
      <c r="AE38" s="769">
        <v>0</v>
      </c>
      <c r="AF38" s="769">
        <f>ROUND('G-3.07,5.03 Benefits'!O55/1000,1)</f>
        <v>14.2</v>
      </c>
      <c r="AG38" s="769">
        <v>0</v>
      </c>
      <c r="AH38" s="769">
        <v>0</v>
      </c>
      <c r="AI38" s="743">
        <v>0</v>
      </c>
      <c r="AJ38" s="743">
        <v>0</v>
      </c>
      <c r="AK38" s="757">
        <v>0</v>
      </c>
      <c r="AL38" s="743">
        <v>0</v>
      </c>
      <c r="AM38" s="743">
        <f>ROUND('G-3.14,5.06 PF Misc O&amp;M'!P91/1000,3)</f>
        <v>79.146000000000001</v>
      </c>
      <c r="AN38" s="769">
        <v>0</v>
      </c>
      <c r="AO38" s="743">
        <v>0</v>
      </c>
      <c r="AP38" s="743">
        <v>0</v>
      </c>
      <c r="AQ38" s="743">
        <v>0</v>
      </c>
      <c r="AR38" s="743">
        <v>0</v>
      </c>
      <c r="AS38" s="743">
        <v>0</v>
      </c>
      <c r="AT38" s="757">
        <v>0</v>
      </c>
      <c r="AU38" s="757">
        <v>0</v>
      </c>
      <c r="AV38" s="757">
        <v>0</v>
      </c>
      <c r="AW38" s="758">
        <f>SUM(Y38:AV38)</f>
        <v>4699.3459999999995</v>
      </c>
      <c r="AX38" s="759"/>
      <c r="AY38" s="743">
        <v>0</v>
      </c>
      <c r="AZ38" s="743">
        <v>0</v>
      </c>
      <c r="BA38" s="771">
        <f>ROUND('G-3.05,5.02 PF NE Labor'!AI73/1000,1)</f>
        <v>80.599999999999994</v>
      </c>
      <c r="BB38" s="769">
        <f>ROUND('G-3.07,5.03 Benefits'!P55/1000,1)</f>
        <v>7.8</v>
      </c>
      <c r="BC38" s="743">
        <v>0</v>
      </c>
      <c r="BD38" s="757">
        <v>0</v>
      </c>
      <c r="BE38" s="743">
        <f>ROUND('G-3.14,5.06 PF Misc O&amp;M'!Q91/1000,3)</f>
        <v>40.097999999999999</v>
      </c>
      <c r="BF38" s="757">
        <v>0</v>
      </c>
      <c r="BG38" s="757">
        <v>0</v>
      </c>
      <c r="BH38" s="760">
        <f>SUM(AW38:BG38)</f>
        <v>4827.8440000000001</v>
      </c>
      <c r="BI38" s="540">
        <f>BH38-AW38</f>
        <v>128.4980000000005</v>
      </c>
      <c r="BJ38" s="632"/>
      <c r="BK38" s="633"/>
      <c r="BL38" s="633"/>
      <c r="BM38" s="633"/>
      <c r="BN38" s="633"/>
      <c r="BO38" s="633"/>
      <c r="BP38" s="633"/>
      <c r="BQ38" s="633"/>
      <c r="BR38" s="633"/>
    </row>
    <row r="39" spans="1:70" s="734" customFormat="1">
      <c r="A39" s="661">
        <v>18</v>
      </c>
      <c r="B39" s="734" t="s">
        <v>48</v>
      </c>
      <c r="C39" s="775"/>
      <c r="D39" s="775"/>
      <c r="E39" s="769">
        <f>'ROO INPUT 1.00'!$F40</f>
        <v>14067</v>
      </c>
      <c r="F39" s="743">
        <v>0</v>
      </c>
      <c r="G39" s="743">
        <v>0</v>
      </c>
      <c r="H39" s="743">
        <v>0</v>
      </c>
      <c r="I39" s="743">
        <v>0</v>
      </c>
      <c r="J39" s="743">
        <v>0</v>
      </c>
      <c r="K39" s="743">
        <v>0</v>
      </c>
      <c r="L39" s="743">
        <v>0</v>
      </c>
      <c r="M39" s="743">
        <v>0</v>
      </c>
      <c r="N39" s="743">
        <v>0</v>
      </c>
      <c r="O39" s="743">
        <v>0</v>
      </c>
      <c r="P39" s="743">
        <v>0</v>
      </c>
      <c r="Q39" s="743">
        <v>0</v>
      </c>
      <c r="R39" s="743">
        <v>0</v>
      </c>
      <c r="S39" s="743">
        <f>'G-2.11 EAS'!Q35</f>
        <v>-13330</v>
      </c>
      <c r="T39" s="754">
        <f>ROUND(('G-2.12 Misc'!S13/1000),)</f>
        <v>-1</v>
      </c>
      <c r="U39" s="754">
        <v>0</v>
      </c>
      <c r="V39" s="743">
        <v>0</v>
      </c>
      <c r="W39" s="743">
        <v>0</v>
      </c>
      <c r="X39" s="754">
        <v>0</v>
      </c>
      <c r="Y39" s="755">
        <f>SUM(E39:X39)</f>
        <v>736</v>
      </c>
      <c r="Z39" s="743">
        <v>0</v>
      </c>
      <c r="AA39" s="743">
        <v>0</v>
      </c>
      <c r="AB39" s="743">
        <v>0</v>
      </c>
      <c r="AC39" s="743">
        <v>0</v>
      </c>
      <c r="AD39" s="756">
        <f>ROUND('G-3.05,5.02 PF NE Labor'!AH74/1000,)</f>
        <v>18</v>
      </c>
      <c r="AE39" s="743">
        <v>0</v>
      </c>
      <c r="AF39" s="743">
        <f>ROUND('G-3.07,5.03 Benefits'!O56/1000,)</f>
        <v>1</v>
      </c>
      <c r="AG39" s="743">
        <v>0.4</v>
      </c>
      <c r="AH39" s="743">
        <f>ROUND('G-3.09 PF LIRAP'!M22/1000,)</f>
        <v>78</v>
      </c>
      <c r="AI39" s="743">
        <v>0</v>
      </c>
      <c r="AJ39" s="743">
        <v>0</v>
      </c>
      <c r="AK39" s="743">
        <v>0</v>
      </c>
      <c r="AL39" s="743">
        <v>0</v>
      </c>
      <c r="AM39" s="743">
        <f>ROUND('G-3.14,5.06 PF Misc O&amp;M'!P98/1000,3)</f>
        <v>-86.698999999999998</v>
      </c>
      <c r="AN39" s="743">
        <v>0</v>
      </c>
      <c r="AO39" s="743">
        <v>0</v>
      </c>
      <c r="AP39" s="743">
        <v>0</v>
      </c>
      <c r="AQ39" s="743">
        <v>0</v>
      </c>
      <c r="AR39" s="743">
        <v>0</v>
      </c>
      <c r="AS39" s="743">
        <v>0</v>
      </c>
      <c r="AT39" s="757">
        <v>0</v>
      </c>
      <c r="AU39" s="757">
        <v>0</v>
      </c>
      <c r="AV39" s="757">
        <v>0</v>
      </c>
      <c r="AW39" s="758">
        <f>SUM(Y39:AV39)</f>
        <v>746.70100000000002</v>
      </c>
      <c r="AX39" s="759"/>
      <c r="AY39" s="743">
        <v>0</v>
      </c>
      <c r="AZ39" s="743">
        <v>0</v>
      </c>
      <c r="BA39" s="756">
        <f>ROUND('G-3.05,5.02 PF NE Labor'!AI74/1000,1)</f>
        <v>5.6</v>
      </c>
      <c r="BB39" s="743">
        <f>ROUND('G-3.07,5.03 Benefits'!P56/1000,1)</f>
        <v>0.5</v>
      </c>
      <c r="BC39" s="743">
        <v>0</v>
      </c>
      <c r="BD39" s="743">
        <v>0</v>
      </c>
      <c r="BE39" s="743">
        <f>ROUND('G-3.14,5.06 PF Misc O&amp;M'!Q98/1000,3)</f>
        <v>11.464</v>
      </c>
      <c r="BF39" s="757">
        <v>0</v>
      </c>
      <c r="BG39" s="757">
        <v>0</v>
      </c>
      <c r="BH39" s="760">
        <f>SUM(AW39:BG39)</f>
        <v>764.2650000000001</v>
      </c>
      <c r="BI39" s="540">
        <f>BH39-AW39</f>
        <v>17.564000000000078</v>
      </c>
      <c r="BJ39" s="632"/>
      <c r="BK39" s="633"/>
      <c r="BL39" s="633"/>
      <c r="BM39" s="633"/>
      <c r="BN39" s="633"/>
      <c r="BO39" s="633"/>
      <c r="BP39" s="633"/>
      <c r="BQ39" s="633"/>
      <c r="BR39" s="633"/>
    </row>
    <row r="40" spans="1:70" s="734" customFormat="1">
      <c r="A40" s="661">
        <v>19</v>
      </c>
      <c r="B40" s="734" t="s">
        <v>49</v>
      </c>
      <c r="C40" s="775"/>
      <c r="D40" s="775"/>
      <c r="E40" s="769">
        <f>'ROO INPUT 1.00'!$F41</f>
        <v>0</v>
      </c>
      <c r="F40" s="743">
        <v>0</v>
      </c>
      <c r="G40" s="743">
        <v>0</v>
      </c>
      <c r="H40" s="743">
        <v>0</v>
      </c>
      <c r="I40" s="743">
        <v>0</v>
      </c>
      <c r="J40" s="743">
        <v>0</v>
      </c>
      <c r="K40" s="743">
        <v>0</v>
      </c>
      <c r="L40" s="743">
        <v>0</v>
      </c>
      <c r="M40" s="743">
        <v>0</v>
      </c>
      <c r="N40" s="743">
        <v>0</v>
      </c>
      <c r="O40" s="743">
        <v>0</v>
      </c>
      <c r="P40" s="743">
        <v>0</v>
      </c>
      <c r="Q40" s="743">
        <v>0</v>
      </c>
      <c r="R40" s="743">
        <v>0</v>
      </c>
      <c r="S40" s="743">
        <v>0</v>
      </c>
      <c r="T40" s="754">
        <v>0</v>
      </c>
      <c r="U40" s="754">
        <v>0</v>
      </c>
      <c r="V40" s="743">
        <v>0</v>
      </c>
      <c r="W40" s="743">
        <v>0</v>
      </c>
      <c r="X40" s="754">
        <v>0</v>
      </c>
      <c r="Y40" s="755">
        <f>SUM(E40:X40)</f>
        <v>0</v>
      </c>
      <c r="Z40" s="743">
        <v>0</v>
      </c>
      <c r="AA40" s="743">
        <v>0</v>
      </c>
      <c r="AB40" s="743">
        <v>0</v>
      </c>
      <c r="AC40" s="743">
        <v>0</v>
      </c>
      <c r="AD40" s="756">
        <v>0</v>
      </c>
      <c r="AE40" s="743">
        <v>0</v>
      </c>
      <c r="AF40" s="743">
        <v>0</v>
      </c>
      <c r="AG40" s="743">
        <v>0</v>
      </c>
      <c r="AH40" s="743">
        <v>0</v>
      </c>
      <c r="AI40" s="743">
        <v>0</v>
      </c>
      <c r="AJ40" s="743">
        <v>0</v>
      </c>
      <c r="AK40" s="743">
        <v>0</v>
      </c>
      <c r="AL40" s="743">
        <v>0</v>
      </c>
      <c r="AM40" s="743">
        <v>0</v>
      </c>
      <c r="AN40" s="743">
        <v>0</v>
      </c>
      <c r="AO40" s="743">
        <v>0</v>
      </c>
      <c r="AP40" s="743">
        <v>0</v>
      </c>
      <c r="AQ40" s="743">
        <v>0</v>
      </c>
      <c r="AR40" s="743">
        <v>0</v>
      </c>
      <c r="AS40" s="743">
        <v>0</v>
      </c>
      <c r="AT40" s="757">
        <v>0</v>
      </c>
      <c r="AU40" s="757">
        <v>0</v>
      </c>
      <c r="AV40" s="757">
        <v>0</v>
      </c>
      <c r="AW40" s="758">
        <f>SUM(Y40:AV40)</f>
        <v>0</v>
      </c>
      <c r="AX40" s="759"/>
      <c r="AY40" s="743">
        <v>0</v>
      </c>
      <c r="AZ40" s="743">
        <v>0</v>
      </c>
      <c r="BA40" s="756">
        <v>0</v>
      </c>
      <c r="BB40" s="743">
        <v>0</v>
      </c>
      <c r="BC40" s="743">
        <v>0</v>
      </c>
      <c r="BD40" s="743">
        <v>0</v>
      </c>
      <c r="BE40" s="743">
        <v>0</v>
      </c>
      <c r="BF40" s="757">
        <v>0</v>
      </c>
      <c r="BG40" s="757">
        <v>0</v>
      </c>
      <c r="BH40" s="760">
        <f>SUM(AW40:BG40)</f>
        <v>0</v>
      </c>
      <c r="BI40" s="540">
        <f>BH40-AW40</f>
        <v>0</v>
      </c>
      <c r="BJ40" s="632"/>
      <c r="BK40" s="633"/>
      <c r="BL40" s="633"/>
      <c r="BM40" s="633"/>
      <c r="BN40" s="633"/>
      <c r="BO40" s="633"/>
      <c r="BP40" s="633"/>
      <c r="BQ40" s="633"/>
      <c r="BR40" s="633"/>
    </row>
    <row r="41" spans="1:70" s="734" customFormat="1" ht="7.5" customHeight="1">
      <c r="A41" s="661"/>
      <c r="C41" s="775"/>
      <c r="D41" s="775"/>
      <c r="E41" s="769"/>
      <c r="F41" s="743"/>
      <c r="G41" s="743"/>
      <c r="H41" s="743"/>
      <c r="I41" s="743"/>
      <c r="J41" s="743"/>
      <c r="K41" s="743"/>
      <c r="L41" s="743"/>
      <c r="M41" s="743"/>
      <c r="N41" s="743"/>
      <c r="O41" s="743"/>
      <c r="P41" s="743"/>
      <c r="Q41" s="743"/>
      <c r="R41" s="743"/>
      <c r="S41" s="743"/>
      <c r="T41" s="754"/>
      <c r="U41" s="754"/>
      <c r="V41" s="743"/>
      <c r="W41" s="743"/>
      <c r="X41" s="754"/>
      <c r="Y41" s="755"/>
      <c r="Z41" s="743"/>
      <c r="AA41" s="743"/>
      <c r="AB41" s="743"/>
      <c r="AC41" s="743"/>
      <c r="AD41" s="756"/>
      <c r="AE41" s="743"/>
      <c r="AF41" s="743"/>
      <c r="AG41" s="743"/>
      <c r="AH41" s="743"/>
      <c r="AI41" s="743"/>
      <c r="AJ41" s="743"/>
      <c r="AK41" s="743"/>
      <c r="AL41" s="743"/>
      <c r="AM41" s="743"/>
      <c r="AN41" s="743"/>
      <c r="AO41" s="743"/>
      <c r="AP41" s="743"/>
      <c r="AQ41" s="743"/>
      <c r="AR41" s="743"/>
      <c r="AS41" s="743"/>
      <c r="AT41" s="757"/>
      <c r="AU41" s="757"/>
      <c r="AV41" s="757"/>
      <c r="AW41" s="758"/>
      <c r="AX41" s="759"/>
      <c r="AY41" s="743"/>
      <c r="AZ41" s="743"/>
      <c r="BA41" s="756"/>
      <c r="BB41" s="743"/>
      <c r="BC41" s="743"/>
      <c r="BD41" s="743"/>
      <c r="BE41" s="743"/>
      <c r="BF41" s="757"/>
      <c r="BG41" s="757"/>
      <c r="BH41" s="774"/>
      <c r="BI41" s="743"/>
      <c r="BJ41" s="632"/>
      <c r="BK41" s="633"/>
      <c r="BL41" s="633"/>
      <c r="BM41" s="633"/>
      <c r="BN41" s="633"/>
      <c r="BO41" s="633"/>
      <c r="BP41" s="633"/>
      <c r="BQ41" s="633"/>
      <c r="BR41" s="633"/>
    </row>
    <row r="42" spans="1:70" s="734" customFormat="1">
      <c r="A42" s="661"/>
      <c r="B42" s="734" t="s">
        <v>50</v>
      </c>
      <c r="C42" s="775"/>
      <c r="D42" s="775"/>
      <c r="E42" s="769"/>
      <c r="F42" s="743"/>
      <c r="G42" s="743"/>
      <c r="H42" s="743"/>
      <c r="I42" s="743"/>
      <c r="J42" s="743"/>
      <c r="K42" s="743"/>
      <c r="L42" s="743"/>
      <c r="M42" s="743"/>
      <c r="N42" s="743"/>
      <c r="O42" s="743"/>
      <c r="P42" s="743"/>
      <c r="Q42" s="743"/>
      <c r="R42" s="743"/>
      <c r="S42" s="743"/>
      <c r="T42" s="754"/>
      <c r="U42" s="754"/>
      <c r="V42" s="743"/>
      <c r="W42" s="743"/>
      <c r="X42" s="754"/>
      <c r="Y42" s="755"/>
      <c r="Z42" s="743"/>
      <c r="AA42" s="743"/>
      <c r="AB42" s="743"/>
      <c r="AC42" s="743"/>
      <c r="AD42" s="756"/>
      <c r="AE42" s="743"/>
      <c r="AF42" s="743"/>
      <c r="AG42" s="743"/>
      <c r="AH42" s="743"/>
      <c r="AI42" s="743"/>
      <c r="AJ42" s="743"/>
      <c r="AK42" s="743"/>
      <c r="AL42" s="743"/>
      <c r="AM42" s="743"/>
      <c r="AN42" s="743"/>
      <c r="AO42" s="743"/>
      <c r="AP42" s="743"/>
      <c r="AQ42" s="743"/>
      <c r="AR42" s="743"/>
      <c r="AS42" s="743"/>
      <c r="AT42" s="757"/>
      <c r="AU42" s="757"/>
      <c r="AV42" s="757"/>
      <c r="AW42" s="758"/>
      <c r="AX42" s="759"/>
      <c r="AY42" s="743"/>
      <c r="AZ42" s="743"/>
      <c r="BA42" s="756"/>
      <c r="BB42" s="743"/>
      <c r="BC42" s="743"/>
      <c r="BD42" s="743"/>
      <c r="BE42" s="743"/>
      <c r="BF42" s="757"/>
      <c r="BG42" s="757"/>
      <c r="BH42" s="774"/>
      <c r="BI42" s="743"/>
      <c r="BJ42" s="632"/>
      <c r="BK42" s="633"/>
      <c r="BL42" s="633"/>
      <c r="BM42" s="633"/>
      <c r="BN42" s="633"/>
      <c r="BO42" s="633"/>
      <c r="BP42" s="633"/>
      <c r="BQ42" s="633"/>
      <c r="BR42" s="633"/>
    </row>
    <row r="43" spans="1:70" s="734" customFormat="1">
      <c r="A43" s="661">
        <v>20</v>
      </c>
      <c r="C43" s="775" t="s">
        <v>42</v>
      </c>
      <c r="D43" s="775"/>
      <c r="E43" s="769">
        <f>'ROO INPUT 1.00'!$F44</f>
        <v>24398</v>
      </c>
      <c r="F43" s="743">
        <v>0</v>
      </c>
      <c r="G43" s="743">
        <v>0</v>
      </c>
      <c r="H43" s="743">
        <v>0</v>
      </c>
      <c r="I43" s="743">
        <v>0</v>
      </c>
      <c r="J43" s="743">
        <v>0</v>
      </c>
      <c r="K43" s="743">
        <v>0</v>
      </c>
      <c r="L43" s="743">
        <f>ROUND(('G-2.04 Reg Exp'!C20/1000),)</f>
        <v>398</v>
      </c>
      <c r="M43" s="743">
        <f>ROUND(('G-2.05 I&amp;D'!D17/1000),)</f>
        <v>-18</v>
      </c>
      <c r="N43" s="743">
        <v>0</v>
      </c>
      <c r="O43" s="743">
        <f>ROUND(('G-2.07 OSC'!H18/1000),)</f>
        <v>-10</v>
      </c>
      <c r="P43" s="743">
        <v>0</v>
      </c>
      <c r="Q43" s="743">
        <v>0</v>
      </c>
      <c r="R43" s="743">
        <f>ROUND((R$14+R$15)*CF!$E$17,0)</f>
        <v>0</v>
      </c>
      <c r="S43" s="743">
        <f>ROUND((S$14+S$15)*CF!$E$17,0)</f>
        <v>-107</v>
      </c>
      <c r="T43" s="754">
        <f>ROUND(('G-2.12 Misc'!S3/1000),)</f>
        <v>-410</v>
      </c>
      <c r="U43" s="754">
        <f>ROUND(('G-2.13 Incentives'!K27/1000),3)</f>
        <v>250.28299999999999</v>
      </c>
      <c r="V43" s="743">
        <v>0</v>
      </c>
      <c r="W43" s="743">
        <v>0</v>
      </c>
      <c r="X43" s="754">
        <v>0</v>
      </c>
      <c r="Y43" s="755">
        <f>SUM(E43:X43)</f>
        <v>24501.282999999999</v>
      </c>
      <c r="Z43" s="743">
        <f>ROUND((Z$14+Z$15)*CF!$E$17,0)</f>
        <v>-358</v>
      </c>
      <c r="AA43" s="743">
        <v>0</v>
      </c>
      <c r="AB43" s="743">
        <v>0</v>
      </c>
      <c r="AC43" s="743">
        <v>0</v>
      </c>
      <c r="AD43" s="756">
        <f>ROUND('G-3.05,5.02 PF NE Labor'!AH75/1000,)</f>
        <v>617</v>
      </c>
      <c r="AE43" s="4193">
        <f>ROUND('G-3.06 PF Exec Labor'!F55/1000,)</f>
        <v>35</v>
      </c>
      <c r="AF43" s="743">
        <f>ROUND('G-3.07,5.03 Benefits'!O57/1000,1)</f>
        <v>34.1</v>
      </c>
      <c r="AG43" s="743">
        <f>ROUND('G-3.08 PF Incentives'!K27/1000,1)</f>
        <v>368.4</v>
      </c>
      <c r="AH43" s="743">
        <v>0</v>
      </c>
      <c r="AI43" s="743">
        <f>ROUND('G-3.10 PF CCA'!N17/1000,3)</f>
        <v>112.90900000000001</v>
      </c>
      <c r="AJ43" s="743">
        <v>0</v>
      </c>
      <c r="AK43" s="743">
        <f>ROUND('G-3.12 PF Ins'!J21/1000,)</f>
        <v>598</v>
      </c>
      <c r="AL43" s="540">
        <f>ROUND('G-3.13 PF IS-IT'!S20/1000,1)</f>
        <v>20.6</v>
      </c>
      <c r="AM43" s="540">
        <f>ROUND('G-3.14,5.06 PF Misc O&amp;M'!P121/1000,3)</f>
        <v>154.553</v>
      </c>
      <c r="AN43" s="743">
        <v>0</v>
      </c>
      <c r="AO43" s="743">
        <v>0</v>
      </c>
      <c r="AP43" s="743">
        <v>0</v>
      </c>
      <c r="AQ43" s="743">
        <v>0</v>
      </c>
      <c r="AR43" s="743">
        <f>ROUND('G-3.19,5.05 PF Nuc-ETRM'!K18,)</f>
        <v>178</v>
      </c>
      <c r="AS43" s="743">
        <f>ROUND('G-3.20 PF BOD'!G17/1000,)</f>
        <v>150</v>
      </c>
      <c r="AT43" s="757">
        <v>0</v>
      </c>
      <c r="AU43" s="757">
        <f>-ROUND('G-4.02,5.08 PV Offsets'!AP138/1000,3)</f>
        <v>-88.394999999999996</v>
      </c>
      <c r="AV43" s="757">
        <f>ROUND('G-PC Adj. Investor Relations'!G20/1000,)</f>
        <v>-11</v>
      </c>
      <c r="AW43" s="758">
        <f>SUM(Y43:AV43)</f>
        <v>26312.449999999997</v>
      </c>
      <c r="AX43" s="759"/>
      <c r="AY43" s="743">
        <v>0</v>
      </c>
      <c r="AZ43" s="743">
        <v>0</v>
      </c>
      <c r="BA43" s="756">
        <f>ROUND('G-3.05,5.02 PF NE Labor'!AI75/1000,)</f>
        <v>191</v>
      </c>
      <c r="BB43" s="743">
        <f>ROUND('G-3.07,5.03 Benefits'!P57/1000,1)</f>
        <v>18.7</v>
      </c>
      <c r="BC43" s="743">
        <v>0</v>
      </c>
      <c r="BD43" s="743">
        <f>ROUND('G-3.19,5.05 PF Nuc-ETRM'!M18,)</f>
        <v>-65</v>
      </c>
      <c r="BE43" s="743">
        <f>ROUND('G-3.14,5.06 PF Misc O&amp;M'!Q121/1000,3)</f>
        <v>119.52</v>
      </c>
      <c r="BF43" s="757">
        <v>0</v>
      </c>
      <c r="BG43" s="757">
        <f>-ROUND('G-4.02,5.08 PV Offsets'!AS138/1000,3)</f>
        <v>-130.83500000000001</v>
      </c>
      <c r="BH43" s="760">
        <f>SUM(AW43:BG43)</f>
        <v>26445.834999999999</v>
      </c>
      <c r="BI43" s="540">
        <f>BH43-AW43</f>
        <v>133.38500000000204</v>
      </c>
      <c r="BJ43" s="632"/>
      <c r="BK43" s="633"/>
      <c r="BL43" s="633"/>
      <c r="BM43" s="633"/>
      <c r="BN43" s="633"/>
      <c r="BO43" s="633"/>
      <c r="BP43" s="633"/>
      <c r="BQ43" s="633"/>
      <c r="BR43" s="633"/>
    </row>
    <row r="44" spans="1:70" s="734" customFormat="1">
      <c r="A44" s="661">
        <v>21</v>
      </c>
      <c r="C44" s="775" t="s">
        <v>188</v>
      </c>
      <c r="D44" s="775"/>
      <c r="E44" s="769">
        <f>'ROO INPUT 1.00'!$F45</f>
        <v>12802</v>
      </c>
      <c r="F44" s="743">
        <v>0</v>
      </c>
      <c r="G44" s="743">
        <v>0</v>
      </c>
      <c r="H44" s="743">
        <v>0</v>
      </c>
      <c r="I44" s="743">
        <v>0</v>
      </c>
      <c r="J44" s="743">
        <v>0</v>
      </c>
      <c r="K44" s="743">
        <v>0</v>
      </c>
      <c r="L44" s="743">
        <v>0</v>
      </c>
      <c r="M44" s="743">
        <v>0</v>
      </c>
      <c r="N44" s="743">
        <v>0</v>
      </c>
      <c r="O44" s="743">
        <v>0</v>
      </c>
      <c r="P44" s="743">
        <v>0</v>
      </c>
      <c r="Q44" s="743">
        <v>0</v>
      </c>
      <c r="R44" s="743">
        <v>0</v>
      </c>
      <c r="S44" s="743">
        <v>0</v>
      </c>
      <c r="T44" s="754">
        <v>0</v>
      </c>
      <c r="U44" s="754">
        <v>0</v>
      </c>
      <c r="V44" s="743">
        <v>0</v>
      </c>
      <c r="W44" s="743">
        <v>0</v>
      </c>
      <c r="X44" s="754">
        <v>0</v>
      </c>
      <c r="Y44" s="755">
        <f>SUM(E44:X44)</f>
        <v>12802</v>
      </c>
      <c r="Z44" s="743">
        <v>0</v>
      </c>
      <c r="AA44" s="743">
        <v>0</v>
      </c>
      <c r="AB44" s="743">
        <v>0</v>
      </c>
      <c r="AC44" s="743">
        <v>0</v>
      </c>
      <c r="AD44" s="756">
        <v>0</v>
      </c>
      <c r="AE44" s="743">
        <v>0</v>
      </c>
      <c r="AF44" s="743">
        <v>0</v>
      </c>
      <c r="AG44" s="743">
        <v>0</v>
      </c>
      <c r="AH44" s="743">
        <v>0</v>
      </c>
      <c r="AI44" s="743">
        <v>0</v>
      </c>
      <c r="AJ44" s="743">
        <v>0</v>
      </c>
      <c r="AK44" s="743">
        <v>0</v>
      </c>
      <c r="AL44" s="743">
        <v>0</v>
      </c>
      <c r="AM44" s="743">
        <v>0</v>
      </c>
      <c r="AN44" s="743">
        <f>ROUND('G-2.15,3.15-3.17,4.01,5.07 CAP'!J11,)+ROUND('G-2.15,3.15-3.17,4.01,5.07 CAP'!J14,)</f>
        <v>634</v>
      </c>
      <c r="AO44" s="743">
        <f>ROUND('G-2.15,3.15-3.17,4.01,5.07 CAP'!Q11,)+ROUND('G-2.15,3.15-3.17,4.01,5.07 CAP'!Q14,1)</f>
        <v>-461.7</v>
      </c>
      <c r="AP44" s="743">
        <f>ROUND('G-2.15,3.15-3.17,4.01,5.07 CAP'!V11,)+ROUND('G-2.15,3.15-3.17,4.01,5.07 CAP'!V14,)</f>
        <v>1298</v>
      </c>
      <c r="AQ44" s="743">
        <v>0</v>
      </c>
      <c r="AR44" s="743">
        <v>0</v>
      </c>
      <c r="AS44" s="743">
        <v>0</v>
      </c>
      <c r="AT44" s="757">
        <f>ROUND('G-2.15,3.15-3.17,4.01,5.07 CAP'!AC11,)+ROUND('G-2.15,3.15-3.17,4.01,5.07 CAP'!AC14,)</f>
        <v>1243</v>
      </c>
      <c r="AU44" s="757">
        <v>0</v>
      </c>
      <c r="AV44" s="757">
        <v>0</v>
      </c>
      <c r="AW44" s="758">
        <f>SUM(Y44:AV44)</f>
        <v>15515.3</v>
      </c>
      <c r="AX44" s="759"/>
      <c r="AY44" s="743">
        <v>0</v>
      </c>
      <c r="AZ44" s="743">
        <v>0</v>
      </c>
      <c r="BA44" s="756">
        <v>0</v>
      </c>
      <c r="BB44" s="743">
        <v>0</v>
      </c>
      <c r="BC44" s="743">
        <v>0</v>
      </c>
      <c r="BD44" s="743">
        <v>0</v>
      </c>
      <c r="BE44" s="743">
        <v>0</v>
      </c>
      <c r="BF44" s="757">
        <f>ROUND('G-2.15,3.15-3.17,4.01,5.07 CAP'!AJ11,)+ROUND('G-2.15,3.15-3.17,4.01,5.07 CAP'!AJ14,)</f>
        <v>878</v>
      </c>
      <c r="BG44" s="757">
        <v>0</v>
      </c>
      <c r="BH44" s="760">
        <f>SUM(AW44:BG44)</f>
        <v>16393.3</v>
      </c>
      <c r="BI44" s="540">
        <f>BH44-AW44</f>
        <v>878</v>
      </c>
      <c r="BJ44" s="632"/>
      <c r="BK44" s="633"/>
      <c r="BL44" s="633"/>
      <c r="BM44" s="633"/>
      <c r="BN44" s="633"/>
      <c r="BO44" s="633"/>
      <c r="BP44" s="633"/>
      <c r="BQ44" s="633"/>
      <c r="BR44" s="633"/>
    </row>
    <row r="45" spans="1:70">
      <c r="A45" s="621">
        <v>22</v>
      </c>
      <c r="C45" s="478" t="s">
        <v>370</v>
      </c>
      <c r="D45" s="752"/>
      <c r="E45" s="753">
        <f>'ROO INPUT 1.00'!$F46</f>
        <v>1612</v>
      </c>
      <c r="F45" s="743">
        <v>0</v>
      </c>
      <c r="G45" s="743">
        <v>0</v>
      </c>
      <c r="H45" s="743">
        <v>0</v>
      </c>
      <c r="I45" s="743">
        <v>0</v>
      </c>
      <c r="J45" s="743">
        <v>0</v>
      </c>
      <c r="K45" s="743">
        <v>0</v>
      </c>
      <c r="L45" s="743">
        <v>0</v>
      </c>
      <c r="M45" s="743">
        <v>0</v>
      </c>
      <c r="N45" s="743">
        <v>0</v>
      </c>
      <c r="O45" s="743">
        <v>0</v>
      </c>
      <c r="P45" s="743">
        <v>0</v>
      </c>
      <c r="Q45" s="743">
        <v>0</v>
      </c>
      <c r="R45" s="743">
        <v>0</v>
      </c>
      <c r="S45" s="743">
        <f>'G-2.11 EAS'!Q41</f>
        <v>1</v>
      </c>
      <c r="T45" s="754">
        <v>0</v>
      </c>
      <c r="U45" s="754">
        <v>0</v>
      </c>
      <c r="V45" s="743">
        <v>0</v>
      </c>
      <c r="W45" s="743">
        <v>0</v>
      </c>
      <c r="X45" s="754">
        <v>0</v>
      </c>
      <c r="Y45" s="755">
        <f>SUM(E45:X45)</f>
        <v>1613</v>
      </c>
      <c r="Z45" s="743">
        <v>0</v>
      </c>
      <c r="AA45" s="743">
        <f>ROUND(('G-3.02 PF Def DR&amp;CR'!J22/1000),)</f>
        <v>-244</v>
      </c>
      <c r="AB45" s="743">
        <v>0</v>
      </c>
      <c r="AC45" s="743">
        <f>ROUND('G-3.04,5.01 PF AMI'!D13/1000,)</f>
        <v>-112</v>
      </c>
      <c r="AD45" s="756">
        <v>0</v>
      </c>
      <c r="AE45" s="743">
        <v>0</v>
      </c>
      <c r="AF45" s="743">
        <f>ROUND('G-3.07,5.03 Benefits'!F52/1000,0)</f>
        <v>-1731</v>
      </c>
      <c r="AG45" s="743">
        <v>0</v>
      </c>
      <c r="AH45" s="743">
        <v>0</v>
      </c>
      <c r="AI45" s="743">
        <v>0</v>
      </c>
      <c r="AJ45" s="743">
        <v>0</v>
      </c>
      <c r="AK45" s="743">
        <v>0</v>
      </c>
      <c r="AL45" s="743">
        <v>0</v>
      </c>
      <c r="AM45" s="743">
        <v>0</v>
      </c>
      <c r="AN45" s="743">
        <v>0</v>
      </c>
      <c r="AO45" s="743">
        <v>0</v>
      </c>
      <c r="AP45" s="743">
        <v>0</v>
      </c>
      <c r="AQ45" s="743">
        <f>ROUND('G-3.18 New Reg Amort'!H16/1000,)</f>
        <v>300</v>
      </c>
      <c r="AR45" s="743">
        <v>0</v>
      </c>
      <c r="AS45" s="743">
        <v>0</v>
      </c>
      <c r="AT45" s="757">
        <v>0</v>
      </c>
      <c r="AU45" s="757">
        <v>0</v>
      </c>
      <c r="AV45" s="757">
        <v>0</v>
      </c>
      <c r="AW45" s="758">
        <f>SUM(Y45:AV45)</f>
        <v>-174</v>
      </c>
      <c r="AX45" s="759"/>
      <c r="AY45" s="743">
        <v>0</v>
      </c>
      <c r="AZ45" s="743">
        <v>0</v>
      </c>
      <c r="BA45" s="756">
        <v>0</v>
      </c>
      <c r="BB45" s="743">
        <v>0</v>
      </c>
      <c r="BC45" s="743">
        <v>0</v>
      </c>
      <c r="BD45" s="743">
        <v>0</v>
      </c>
      <c r="BE45" s="743">
        <v>0</v>
      </c>
      <c r="BF45" s="757">
        <v>0</v>
      </c>
      <c r="BG45" s="757">
        <v>0</v>
      </c>
      <c r="BH45" s="760">
        <f>SUM(AW45:BG45)</f>
        <v>-174</v>
      </c>
      <c r="BI45" s="540">
        <f>BH45-AW45</f>
        <v>0</v>
      </c>
    </row>
    <row r="46" spans="1:70">
      <c r="A46" s="621">
        <v>23</v>
      </c>
      <c r="C46" s="752" t="s">
        <v>20</v>
      </c>
      <c r="D46" s="752"/>
      <c r="E46" s="761">
        <f>'ROO INPUT 1.00'!$F47</f>
        <v>1132</v>
      </c>
      <c r="F46" s="762">
        <v>0</v>
      </c>
      <c r="G46" s="762">
        <v>0</v>
      </c>
      <c r="H46" s="762">
        <v>0</v>
      </c>
      <c r="I46" s="762">
        <v>0</v>
      </c>
      <c r="J46" s="762">
        <v>0</v>
      </c>
      <c r="K46" s="762">
        <v>0</v>
      </c>
      <c r="L46" s="762">
        <v>0</v>
      </c>
      <c r="M46" s="762">
        <v>0</v>
      </c>
      <c r="N46" s="762">
        <v>0</v>
      </c>
      <c r="O46" s="762">
        <v>0</v>
      </c>
      <c r="P46" s="762">
        <v>0</v>
      </c>
      <c r="Q46" s="762">
        <v>0</v>
      </c>
      <c r="R46" s="762">
        <v>0</v>
      </c>
      <c r="S46" s="762">
        <v>0</v>
      </c>
      <c r="T46" s="763">
        <v>0</v>
      </c>
      <c r="U46" s="763">
        <v>0</v>
      </c>
      <c r="V46" s="762">
        <v>0</v>
      </c>
      <c r="W46" s="762">
        <v>0</v>
      </c>
      <c r="X46" s="763">
        <v>0</v>
      </c>
      <c r="Y46" s="764">
        <f>SUM(E46:X46)</f>
        <v>1132</v>
      </c>
      <c r="Z46" s="762">
        <v>0</v>
      </c>
      <c r="AA46" s="762">
        <v>0</v>
      </c>
      <c r="AB46" s="762">
        <v>0</v>
      </c>
      <c r="AC46" s="762">
        <v>0</v>
      </c>
      <c r="AD46" s="765">
        <v>0</v>
      </c>
      <c r="AE46" s="762">
        <v>0</v>
      </c>
      <c r="AF46" s="762">
        <v>0</v>
      </c>
      <c r="AG46" s="762">
        <v>0</v>
      </c>
      <c r="AH46" s="762">
        <v>0</v>
      </c>
      <c r="AI46" s="762">
        <v>0</v>
      </c>
      <c r="AJ46" s="762">
        <v>0</v>
      </c>
      <c r="AK46" s="762">
        <v>0</v>
      </c>
      <c r="AL46" s="762">
        <v>0</v>
      </c>
      <c r="AM46" s="762">
        <v>0</v>
      </c>
      <c r="AN46" s="762">
        <v>0</v>
      </c>
      <c r="AO46" s="762">
        <v>0</v>
      </c>
      <c r="AP46" s="762">
        <v>0</v>
      </c>
      <c r="AQ46" s="762">
        <v>0</v>
      </c>
      <c r="AR46" s="762">
        <v>0</v>
      </c>
      <c r="AS46" s="762">
        <v>0</v>
      </c>
      <c r="AT46" s="762">
        <v>0</v>
      </c>
      <c r="AU46" s="762">
        <v>0</v>
      </c>
      <c r="AV46" s="762">
        <v>0</v>
      </c>
      <c r="AW46" s="766">
        <f>SUM(Y46:AV46)</f>
        <v>1132</v>
      </c>
      <c r="AX46" s="759"/>
      <c r="AY46" s="762">
        <v>0</v>
      </c>
      <c r="AZ46" s="762">
        <v>0</v>
      </c>
      <c r="BA46" s="765">
        <v>0</v>
      </c>
      <c r="BB46" s="762">
        <v>0</v>
      </c>
      <c r="BC46" s="762">
        <v>0</v>
      </c>
      <c r="BD46" s="762">
        <v>0</v>
      </c>
      <c r="BE46" s="762">
        <v>0</v>
      </c>
      <c r="BF46" s="762">
        <v>0</v>
      </c>
      <c r="BG46" s="762">
        <v>0</v>
      </c>
      <c r="BH46" s="767">
        <f>SUM(AW46:BG46)</f>
        <v>1132</v>
      </c>
      <c r="BI46" s="768">
        <f>BH46-AW46</f>
        <v>0</v>
      </c>
    </row>
    <row r="47" spans="1:70">
      <c r="A47" s="621">
        <v>24</v>
      </c>
      <c r="B47" s="752" t="s">
        <v>51</v>
      </c>
      <c r="C47" s="752"/>
      <c r="E47" s="761">
        <f>SUM(E43:E46)</f>
        <v>39944</v>
      </c>
      <c r="F47" s="776">
        <f t="shared" ref="F47:N47" si="93">SUM(F43:F46)</f>
        <v>0</v>
      </c>
      <c r="G47" s="776">
        <f t="shared" si="93"/>
        <v>0</v>
      </c>
      <c r="H47" s="776">
        <f t="shared" si="93"/>
        <v>0</v>
      </c>
      <c r="I47" s="776">
        <f t="shared" si="93"/>
        <v>0</v>
      </c>
      <c r="J47" s="776">
        <f>SUM(J43:J46)</f>
        <v>0</v>
      </c>
      <c r="K47" s="776">
        <f t="shared" si="93"/>
        <v>0</v>
      </c>
      <c r="L47" s="776">
        <f t="shared" si="93"/>
        <v>398</v>
      </c>
      <c r="M47" s="776">
        <f t="shared" si="93"/>
        <v>-18</v>
      </c>
      <c r="N47" s="776">
        <f t="shared" si="93"/>
        <v>0</v>
      </c>
      <c r="O47" s="776">
        <f t="shared" ref="O47:P47" si="94">SUM(O43:O46)</f>
        <v>-10</v>
      </c>
      <c r="P47" s="776">
        <f t="shared" si="94"/>
        <v>0</v>
      </c>
      <c r="Q47" s="776">
        <f t="shared" ref="Q47:T47" si="95">SUM(Q43:Q46)</f>
        <v>0</v>
      </c>
      <c r="R47" s="776">
        <f t="shared" si="95"/>
        <v>0</v>
      </c>
      <c r="S47" s="776">
        <f t="shared" si="95"/>
        <v>-106</v>
      </c>
      <c r="T47" s="777">
        <f t="shared" si="95"/>
        <v>-410</v>
      </c>
      <c r="U47" s="777">
        <f>SUM(U43:U46)</f>
        <v>250.28299999999999</v>
      </c>
      <c r="V47" s="776">
        <f>SUM(V43:V46)</f>
        <v>0</v>
      </c>
      <c r="W47" s="776">
        <f>SUM(W43:W46)</f>
        <v>0</v>
      </c>
      <c r="X47" s="777">
        <f>SUM(X43:X46)</f>
        <v>0</v>
      </c>
      <c r="Y47" s="764">
        <f t="shared" ref="Y47" si="96">SUM(Y43:Y46)</f>
        <v>40048.282999999996</v>
      </c>
      <c r="Z47" s="776">
        <f>SUM(Z43:Z46)</f>
        <v>-358</v>
      </c>
      <c r="AA47" s="776">
        <f>SUM(AA43:AA46)</f>
        <v>-244</v>
      </c>
      <c r="AB47" s="776">
        <f>SUM(AB43:AB46)</f>
        <v>0</v>
      </c>
      <c r="AC47" s="776">
        <f t="shared" ref="AC47:AD47" si="97">SUM(AC43:AC46)</f>
        <v>-112</v>
      </c>
      <c r="AD47" s="778">
        <f t="shared" si="97"/>
        <v>617</v>
      </c>
      <c r="AE47" s="776">
        <f>SUM(AE43:AE46)</f>
        <v>35</v>
      </c>
      <c r="AF47" s="776">
        <f t="shared" ref="AF47:AI47" si="98">SUM(AF43:AF46)</f>
        <v>-1696.9</v>
      </c>
      <c r="AG47" s="776">
        <f t="shared" ref="AG47" si="99">SUM(AG43:AG46)</f>
        <v>368.4</v>
      </c>
      <c r="AH47" s="776">
        <f t="shared" si="98"/>
        <v>0</v>
      </c>
      <c r="AI47" s="776">
        <f t="shared" si="98"/>
        <v>112.90900000000001</v>
      </c>
      <c r="AJ47" s="776">
        <f t="shared" ref="AJ47:AK47" si="100">SUM(AJ43:AJ46)</f>
        <v>0</v>
      </c>
      <c r="AK47" s="776">
        <f t="shared" si="100"/>
        <v>598</v>
      </c>
      <c r="AL47" s="776">
        <f>SUM(AL43:AL46)</f>
        <v>20.6</v>
      </c>
      <c r="AM47" s="776">
        <f t="shared" ref="AM47" si="101">SUM(AM43:AM46)</f>
        <v>154.553</v>
      </c>
      <c r="AN47" s="776">
        <f>SUM(AN43:AN46)</f>
        <v>634</v>
      </c>
      <c r="AO47" s="776">
        <f t="shared" ref="AO47" si="102">SUM(AO43:AO46)</f>
        <v>-461.7</v>
      </c>
      <c r="AP47" s="776">
        <f t="shared" ref="AP47:AQ47" si="103">SUM(AP43:AP46)</f>
        <v>1298</v>
      </c>
      <c r="AQ47" s="776">
        <f t="shared" si="103"/>
        <v>300</v>
      </c>
      <c r="AR47" s="776">
        <f>SUM(AR43:AR46)</f>
        <v>178</v>
      </c>
      <c r="AS47" s="776">
        <f>SUM(AS43:AS46)</f>
        <v>150</v>
      </c>
      <c r="AT47" s="776">
        <f>SUM(AT43:AT46)</f>
        <v>1243</v>
      </c>
      <c r="AU47" s="776">
        <f>SUM(AU43:AU46)</f>
        <v>-88.394999999999996</v>
      </c>
      <c r="AV47" s="776">
        <f t="shared" ref="AV47" si="104">SUM(AV43:AV46)</f>
        <v>-11</v>
      </c>
      <c r="AW47" s="766">
        <f t="shared" ref="AW47" si="105">SUM(AW43:AW46)</f>
        <v>42785.75</v>
      </c>
      <c r="AX47" s="759"/>
      <c r="AY47" s="776">
        <f>SUM(AY43:AY46)</f>
        <v>0</v>
      </c>
      <c r="AZ47" s="776">
        <f t="shared" ref="AZ47" si="106">SUM(AZ43:AZ46)</f>
        <v>0</v>
      </c>
      <c r="BA47" s="778">
        <f>SUM(BA43:BA46)</f>
        <v>191</v>
      </c>
      <c r="BB47" s="776">
        <f t="shared" ref="BB47" si="107">SUM(BB43:BB46)</f>
        <v>18.7</v>
      </c>
      <c r="BC47" s="776">
        <f>SUM(BC43:BC46)</f>
        <v>0</v>
      </c>
      <c r="BD47" s="776">
        <f>SUM(BD43:BD46)</f>
        <v>-65</v>
      </c>
      <c r="BE47" s="776">
        <f t="shared" ref="BE47" si="108">SUM(BE43:BE46)</f>
        <v>119.52</v>
      </c>
      <c r="BF47" s="776">
        <f>SUM(BF43:BF46)</f>
        <v>878</v>
      </c>
      <c r="BG47" s="776">
        <f>SUM(BG43:BG46)</f>
        <v>-130.83500000000001</v>
      </c>
      <c r="BH47" s="779">
        <f>SUM(BH43:BH46)</f>
        <v>43797.134999999995</v>
      </c>
      <c r="BI47" s="776">
        <f>SUM(BI43:BI46)</f>
        <v>1011.385000000002</v>
      </c>
    </row>
    <row r="48" spans="1:70" ht="19.5" customHeight="1">
      <c r="A48" s="621">
        <v>25</v>
      </c>
      <c r="B48" s="622" t="s">
        <v>52</v>
      </c>
      <c r="C48" s="752"/>
      <c r="D48" s="752"/>
      <c r="E48" s="761">
        <f t="shared" ref="E48:Y48" si="109">E20+E24+E30+E36+E38+E39+E40+E47</f>
        <v>260577</v>
      </c>
      <c r="F48" s="776">
        <f t="shared" si="109"/>
        <v>0</v>
      </c>
      <c r="G48" s="776">
        <f t="shared" si="109"/>
        <v>0</v>
      </c>
      <c r="H48" s="776">
        <f t="shared" si="109"/>
        <v>0</v>
      </c>
      <c r="I48" s="776">
        <f t="shared" si="109"/>
        <v>-8688</v>
      </c>
      <c r="J48" s="776">
        <f>J20+J24+J30+J36+J38+J39+J40+J47</f>
        <v>288</v>
      </c>
      <c r="K48" s="776">
        <f t="shared" si="109"/>
        <v>927</v>
      </c>
      <c r="L48" s="776">
        <f t="shared" si="109"/>
        <v>398</v>
      </c>
      <c r="M48" s="776">
        <f t="shared" si="109"/>
        <v>-18</v>
      </c>
      <c r="N48" s="776">
        <f t="shared" si="109"/>
        <v>0</v>
      </c>
      <c r="O48" s="776">
        <f t="shared" si="109"/>
        <v>-10</v>
      </c>
      <c r="P48" s="776">
        <f t="shared" si="109"/>
        <v>-4</v>
      </c>
      <c r="Q48" s="776">
        <f t="shared" ref="Q48:T48" si="110">Q20+Q24+Q30+Q36+Q38+Q39+Q40+Q47</f>
        <v>-11</v>
      </c>
      <c r="R48" s="776">
        <f>R20+R24+R30+R36+R38+R39+R40+R47</f>
        <v>-56</v>
      </c>
      <c r="S48" s="776">
        <f t="shared" si="110"/>
        <v>-72773</v>
      </c>
      <c r="T48" s="777">
        <f t="shared" si="110"/>
        <v>-416</v>
      </c>
      <c r="U48" s="777">
        <f>U20+U24+U30+U36+U38+U39+U40+U47</f>
        <v>250.28299999999999</v>
      </c>
      <c r="V48" s="776">
        <f>V20+V24+V30+V36+V38+V39+V40+V47</f>
        <v>0</v>
      </c>
      <c r="W48" s="776">
        <f>W20+W24+W30+W36+W38+W39+W40+W47</f>
        <v>0</v>
      </c>
      <c r="X48" s="777">
        <f>X20+X24+X30+X36+X38+X39+X40+X47</f>
        <v>0</v>
      </c>
      <c r="Y48" s="764">
        <f t="shared" si="109"/>
        <v>180464.283</v>
      </c>
      <c r="Z48" s="776">
        <f t="shared" ref="Z48:AI48" si="111">Z20+Z24+Z30+Z36+Z38+Z39+Z40+Z47</f>
        <v>-94600</v>
      </c>
      <c r="AA48" s="776">
        <f t="shared" si="111"/>
        <v>-244</v>
      </c>
      <c r="AB48" s="776">
        <f t="shared" si="111"/>
        <v>0</v>
      </c>
      <c r="AC48" s="776">
        <f t="shared" si="111"/>
        <v>-803</v>
      </c>
      <c r="AD48" s="778">
        <f t="shared" si="111"/>
        <v>1862.3</v>
      </c>
      <c r="AE48" s="776">
        <f t="shared" si="111"/>
        <v>35</v>
      </c>
      <c r="AF48" s="776">
        <f t="shared" si="111"/>
        <v>-1636.3000000000002</v>
      </c>
      <c r="AG48" s="776">
        <f t="shared" ref="AG48" si="112">AG20+AG24+AG30+AG36+AG38+AG39+AG40+AG47</f>
        <v>368.79999999999995</v>
      </c>
      <c r="AH48" s="776">
        <f t="shared" si="111"/>
        <v>78</v>
      </c>
      <c r="AI48" s="776">
        <f t="shared" si="111"/>
        <v>112.90900000000001</v>
      </c>
      <c r="AJ48" s="776">
        <f t="shared" ref="AJ48:AK48" si="113">AJ20+AJ24+AJ30+AJ36+AJ38+AJ39+AJ40+AJ47</f>
        <v>865</v>
      </c>
      <c r="AK48" s="776">
        <f t="shared" si="113"/>
        <v>598</v>
      </c>
      <c r="AL48" s="776">
        <f>AL20+AL24+AL30+AL36+AL38+AL39+AL40+AL47</f>
        <v>20.6</v>
      </c>
      <c r="AM48" s="776">
        <f t="shared" ref="AM48" si="114">AM20+AM24+AM30+AM36+AM38+AM39+AM40+AM47</f>
        <v>223.423</v>
      </c>
      <c r="AN48" s="776">
        <f>AN20+AN24+AN30+AN36+AN38+AN39+AN40+AN47</f>
        <v>1289</v>
      </c>
      <c r="AO48" s="776">
        <f t="shared" ref="AO48" si="115">AO20+AO24+AO30+AO36+AO38+AO39+AO40+AO47</f>
        <v>-902.2</v>
      </c>
      <c r="AP48" s="776">
        <f t="shared" ref="AP48:AQ48" si="116">AP20+AP24+AP30+AP36+AP38+AP39+AP40+AP47</f>
        <v>2364</v>
      </c>
      <c r="AQ48" s="776">
        <f t="shared" si="116"/>
        <v>300</v>
      </c>
      <c r="AR48" s="776">
        <f>AR20+AR24+AR30+AR36+AR38+AR39+AR40+AR47</f>
        <v>178</v>
      </c>
      <c r="AS48" s="776">
        <f>AS20+AS24+AS30+AS36+AS38+AS39+AS40+AS47</f>
        <v>150</v>
      </c>
      <c r="AT48" s="776">
        <f t="shared" ref="AT48:AU48" si="117">AT20+AT24+AT30+AT36+AT38+AT39+AT40+AT47</f>
        <v>2146</v>
      </c>
      <c r="AU48" s="776">
        <f t="shared" si="117"/>
        <v>-278.70699999999999</v>
      </c>
      <c r="AV48" s="776">
        <f t="shared" ref="AV48" si="118">AV20+AV24+AV30+AV36+AV38+AV39+AV40+AV47</f>
        <v>-11</v>
      </c>
      <c r="AW48" s="766">
        <f t="shared" ref="AW48" si="119">AW20+AW24+AW30+AW36+AW38+AW39+AW40+AW47</f>
        <v>92580.108000000007</v>
      </c>
      <c r="AX48" s="759"/>
      <c r="AY48" s="776">
        <f>AY20+AY24+AY30+AY36+AY38+AY39+AY40+AY47</f>
        <v>0</v>
      </c>
      <c r="AZ48" s="776">
        <f t="shared" ref="AZ48:BC48" si="120">AZ20+AZ24+AZ30+AZ36+AZ38+AZ39+AZ40+AZ47</f>
        <v>-105</v>
      </c>
      <c r="BA48" s="778">
        <f>BA20+BA24+BA30+BA36+BA38+BA39+BA40+BA47</f>
        <v>588.20000000000005</v>
      </c>
      <c r="BB48" s="776">
        <f t="shared" si="120"/>
        <v>52</v>
      </c>
      <c r="BC48" s="776">
        <f t="shared" si="120"/>
        <v>29</v>
      </c>
      <c r="BD48" s="776">
        <f>BD20+BD24+BD30+BD36+BD38+BD39+BD40+BD47</f>
        <v>-65</v>
      </c>
      <c r="BE48" s="776">
        <f t="shared" ref="BE48" si="121">BE20+BE24+BE30+BE36+BE38+BE39+BE40+BE47</f>
        <v>345.46100000000001</v>
      </c>
      <c r="BF48" s="776">
        <f t="shared" ref="BF48" si="122">BF20+BF24+BF30+BF36+BF38+BF39+BF40+BF47</f>
        <v>1724</v>
      </c>
      <c r="BG48" s="776">
        <f t="shared" ref="BG48" si="123">BG20+BG24+BG30+BG36+BG38+BG39+BG40+BG47</f>
        <v>-200.87900000000002</v>
      </c>
      <c r="BH48" s="779">
        <f>BH20+BH24+BH30+BH36+BH38+BH39+BH40+BH47</f>
        <v>94947.889999999985</v>
      </c>
      <c r="BI48" s="776">
        <f>BI20+BI24+BI30+BI36+BI38+BI39+BI40+BI47</f>
        <v>2367.782000000002</v>
      </c>
    </row>
    <row r="49" spans="1:70" ht="9" customHeight="1">
      <c r="C49" s="752"/>
      <c r="D49" s="752"/>
      <c r="E49" s="753"/>
      <c r="F49" s="769"/>
      <c r="G49" s="769"/>
      <c r="H49" s="769"/>
      <c r="I49" s="769"/>
      <c r="J49" s="769"/>
      <c r="K49" s="769"/>
      <c r="L49" s="769"/>
      <c r="M49" s="769"/>
      <c r="N49" s="769"/>
      <c r="O49" s="769"/>
      <c r="P49" s="769"/>
      <c r="Q49" s="769"/>
      <c r="R49" s="769"/>
      <c r="S49" s="769"/>
      <c r="T49" s="770"/>
      <c r="U49" s="770"/>
      <c r="V49" s="769"/>
      <c r="W49" s="769"/>
      <c r="X49" s="770"/>
      <c r="Y49" s="755"/>
      <c r="Z49" s="769"/>
      <c r="AA49" s="769"/>
      <c r="AB49" s="769"/>
      <c r="AC49" s="769"/>
      <c r="AD49" s="771"/>
      <c r="AE49" s="769"/>
      <c r="AF49" s="769"/>
      <c r="AG49" s="769"/>
      <c r="AH49" s="769"/>
      <c r="AI49" s="769"/>
      <c r="AJ49" s="769"/>
      <c r="AK49" s="769"/>
      <c r="AL49" s="769"/>
      <c r="AM49" s="769"/>
      <c r="AN49" s="769"/>
      <c r="AO49" s="769"/>
      <c r="AP49" s="769"/>
      <c r="AQ49" s="769"/>
      <c r="AR49" s="769"/>
      <c r="AS49" s="769"/>
      <c r="AT49" s="772"/>
      <c r="AU49" s="772"/>
      <c r="AV49" s="772"/>
      <c r="AW49" s="758"/>
      <c r="AX49" s="759"/>
      <c r="AY49" s="769"/>
      <c r="AZ49" s="769"/>
      <c r="BA49" s="771"/>
      <c r="BB49" s="769"/>
      <c r="BC49" s="769"/>
      <c r="BD49" s="769"/>
      <c r="BE49" s="769"/>
      <c r="BF49" s="772"/>
      <c r="BG49" s="772"/>
      <c r="BH49" s="773"/>
      <c r="BI49" s="769"/>
    </row>
    <row r="50" spans="1:70" ht="13.15" customHeight="1">
      <c r="A50" s="621">
        <v>26</v>
      </c>
      <c r="B50" s="622" t="s">
        <v>53</v>
      </c>
      <c r="C50" s="752"/>
      <c r="D50" s="752"/>
      <c r="E50" s="753">
        <f t="shared" ref="E50:P50" si="124">E17-E48</f>
        <v>28262</v>
      </c>
      <c r="F50" s="769">
        <f t="shared" si="124"/>
        <v>0</v>
      </c>
      <c r="G50" s="769">
        <f t="shared" si="124"/>
        <v>0</v>
      </c>
      <c r="H50" s="769">
        <f t="shared" si="124"/>
        <v>0</v>
      </c>
      <c r="I50" s="769">
        <f t="shared" si="124"/>
        <v>42</v>
      </c>
      <c r="J50" s="769">
        <f>J17-J48</f>
        <v>-288</v>
      </c>
      <c r="K50" s="769">
        <f t="shared" si="124"/>
        <v>-927</v>
      </c>
      <c r="L50" s="769">
        <f t="shared" si="124"/>
        <v>-398</v>
      </c>
      <c r="M50" s="769">
        <f t="shared" si="124"/>
        <v>18</v>
      </c>
      <c r="N50" s="769">
        <f t="shared" si="124"/>
        <v>0</v>
      </c>
      <c r="O50" s="769">
        <f t="shared" si="124"/>
        <v>10</v>
      </c>
      <c r="P50" s="769">
        <f t="shared" si="124"/>
        <v>4</v>
      </c>
      <c r="Q50" s="769">
        <f t="shared" ref="Q50:T50" si="125">Q17-Q48</f>
        <v>11</v>
      </c>
      <c r="R50" s="769">
        <f t="shared" si="125"/>
        <v>-43</v>
      </c>
      <c r="S50" s="769">
        <f t="shared" si="125"/>
        <v>12195</v>
      </c>
      <c r="T50" s="770">
        <f t="shared" si="125"/>
        <v>416</v>
      </c>
      <c r="U50" s="770">
        <f>U17-U48</f>
        <v>-250.28299999999999</v>
      </c>
      <c r="V50" s="769">
        <f>V17-V48</f>
        <v>0</v>
      </c>
      <c r="W50" s="769">
        <f>W17-W48</f>
        <v>0</v>
      </c>
      <c r="X50" s="770">
        <f>X17-X48</f>
        <v>0</v>
      </c>
      <c r="Y50" s="755">
        <f>SUM(E50:X50)</f>
        <v>39051.716999999997</v>
      </c>
      <c r="Z50" s="769">
        <f>Z17-Z48</f>
        <v>2433</v>
      </c>
      <c r="AA50" s="769">
        <f>AA17-AA48</f>
        <v>244</v>
      </c>
      <c r="AB50" s="769">
        <f>AB17-AB48</f>
        <v>0</v>
      </c>
      <c r="AC50" s="769">
        <f t="shared" ref="AC50:AI50" si="126">AC17-AC48</f>
        <v>803</v>
      </c>
      <c r="AD50" s="771">
        <f t="shared" si="126"/>
        <v>-1862.3</v>
      </c>
      <c r="AE50" s="769">
        <f t="shared" si="126"/>
        <v>-35</v>
      </c>
      <c r="AF50" s="769">
        <f t="shared" si="126"/>
        <v>1636.3000000000002</v>
      </c>
      <c r="AG50" s="769">
        <f t="shared" ref="AG50" si="127">AG17-AG48</f>
        <v>-368.79999999999995</v>
      </c>
      <c r="AH50" s="769">
        <f t="shared" si="126"/>
        <v>-78</v>
      </c>
      <c r="AI50" s="769">
        <f t="shared" si="126"/>
        <v>-112.90900000000001</v>
      </c>
      <c r="AJ50" s="769">
        <f t="shared" ref="AJ50:AK50" si="128">AJ17-AJ48</f>
        <v>-865</v>
      </c>
      <c r="AK50" s="769">
        <f t="shared" si="128"/>
        <v>-598</v>
      </c>
      <c r="AL50" s="769">
        <f>AL17-AL48</f>
        <v>-20.6</v>
      </c>
      <c r="AM50" s="769">
        <f t="shared" ref="AM50" si="129">AM17-AM48</f>
        <v>-223.423</v>
      </c>
      <c r="AN50" s="769">
        <f>AN17-AN48</f>
        <v>-1289</v>
      </c>
      <c r="AO50" s="769">
        <f t="shared" ref="AO50" si="130">AO17-AO48</f>
        <v>902.2</v>
      </c>
      <c r="AP50" s="769">
        <f t="shared" ref="AP50:AQ50" si="131">AP17-AP48</f>
        <v>-2364</v>
      </c>
      <c r="AQ50" s="769">
        <f t="shared" si="131"/>
        <v>-300</v>
      </c>
      <c r="AR50" s="769">
        <f>AR17-AR48</f>
        <v>-178</v>
      </c>
      <c r="AS50" s="769">
        <f>AS17-AS48</f>
        <v>-150</v>
      </c>
      <c r="AT50" s="772">
        <f>AT17-AT48</f>
        <v>-2146</v>
      </c>
      <c r="AU50" s="772">
        <f>AU17-AU48</f>
        <v>537.70699999999999</v>
      </c>
      <c r="AV50" s="772">
        <f t="shared" ref="AV50" si="132">AV17-AV48</f>
        <v>11</v>
      </c>
      <c r="AW50" s="758">
        <f t="shared" ref="AW50" si="133">AW17-AW48</f>
        <v>35027.891999999993</v>
      </c>
      <c r="AX50" s="759"/>
      <c r="AY50" s="769">
        <f>AY17-AY48</f>
        <v>0</v>
      </c>
      <c r="AZ50" s="769">
        <f t="shared" ref="AZ50" si="134">AZ17-AZ48</f>
        <v>105</v>
      </c>
      <c r="BA50" s="771">
        <f t="shared" ref="BA50:BB50" si="135">BA17-BA48</f>
        <v>-588.20000000000005</v>
      </c>
      <c r="BB50" s="769">
        <f t="shared" si="135"/>
        <v>-52</v>
      </c>
      <c r="BC50" s="769">
        <f>BC17-BC48</f>
        <v>-29</v>
      </c>
      <c r="BD50" s="769">
        <f>BD17-BD48</f>
        <v>65</v>
      </c>
      <c r="BE50" s="769">
        <f t="shared" ref="BE50" si="136">BE17-BE48</f>
        <v>-345.46100000000001</v>
      </c>
      <c r="BF50" s="772">
        <f>BF17-BF48</f>
        <v>-1724</v>
      </c>
      <c r="BG50" s="772">
        <f>BG17-BG48</f>
        <v>192.87900000000002</v>
      </c>
      <c r="BH50" s="773">
        <f>BH17-BH48</f>
        <v>32652.110000000015</v>
      </c>
      <c r="BI50" s="769">
        <f>BI17-BI48</f>
        <v>-2375.782000000002</v>
      </c>
    </row>
    <row r="51" spans="1:70" ht="6" customHeight="1">
      <c r="C51" s="752"/>
      <c r="D51" s="752"/>
      <c r="E51" s="753"/>
      <c r="F51" s="769"/>
      <c r="G51" s="769"/>
      <c r="H51" s="769"/>
      <c r="I51" s="769"/>
      <c r="J51" s="769"/>
      <c r="K51" s="769"/>
      <c r="L51" s="769"/>
      <c r="M51" s="769"/>
      <c r="N51" s="769"/>
      <c r="O51" s="769"/>
      <c r="P51" s="769"/>
      <c r="Q51" s="769"/>
      <c r="R51" s="769"/>
      <c r="S51" s="769"/>
      <c r="T51" s="770"/>
      <c r="U51" s="770"/>
      <c r="V51" s="769"/>
      <c r="W51" s="769"/>
      <c r="X51" s="770"/>
      <c r="Y51" s="755"/>
      <c r="Z51" s="769"/>
      <c r="AA51" s="769"/>
      <c r="AB51" s="769"/>
      <c r="AC51" s="769"/>
      <c r="AD51" s="771"/>
      <c r="AE51" s="769"/>
      <c r="AF51" s="769"/>
      <c r="AG51" s="769"/>
      <c r="AH51" s="769"/>
      <c r="AI51" s="769"/>
      <c r="AJ51" s="769"/>
      <c r="AK51" s="769"/>
      <c r="AL51" s="769"/>
      <c r="AM51" s="769"/>
      <c r="AN51" s="769"/>
      <c r="AO51" s="769"/>
      <c r="AP51" s="769"/>
      <c r="AQ51" s="769"/>
      <c r="AR51" s="769"/>
      <c r="AS51" s="769"/>
      <c r="AT51" s="772"/>
      <c r="AU51" s="772"/>
      <c r="AV51" s="772"/>
      <c r="AW51" s="758"/>
      <c r="AX51" s="759"/>
      <c r="AY51" s="769"/>
      <c r="AZ51" s="769"/>
      <c r="BA51" s="771"/>
      <c r="BB51" s="769"/>
      <c r="BC51" s="769"/>
      <c r="BD51" s="769"/>
      <c r="BE51" s="769"/>
      <c r="BF51" s="772"/>
      <c r="BG51" s="772"/>
      <c r="BH51" s="773"/>
      <c r="BI51" s="769"/>
    </row>
    <row r="52" spans="1:70" ht="13.15" customHeight="1">
      <c r="B52" s="622" t="s">
        <v>54</v>
      </c>
      <c r="C52" s="752"/>
      <c r="D52" s="752"/>
      <c r="E52" s="753"/>
      <c r="F52" s="743"/>
      <c r="G52" s="743"/>
      <c r="H52" s="743"/>
      <c r="I52" s="743"/>
      <c r="J52" s="743"/>
      <c r="K52" s="743"/>
      <c r="L52" s="743"/>
      <c r="M52" s="743"/>
      <c r="N52" s="743"/>
      <c r="O52" s="743"/>
      <c r="P52" s="743"/>
      <c r="Q52" s="743"/>
      <c r="R52" s="743"/>
      <c r="S52" s="743"/>
      <c r="T52" s="754"/>
      <c r="U52" s="754"/>
      <c r="V52" s="743"/>
      <c r="W52" s="743"/>
      <c r="X52" s="754"/>
      <c r="Y52" s="755"/>
      <c r="Z52" s="743"/>
      <c r="AA52" s="743"/>
      <c r="AB52" s="743"/>
      <c r="AC52" s="743"/>
      <c r="AD52" s="756"/>
      <c r="AE52" s="743"/>
      <c r="AF52" s="743"/>
      <c r="AG52" s="743"/>
      <c r="AH52" s="743"/>
      <c r="AI52" s="743"/>
      <c r="AJ52" s="743"/>
      <c r="AK52" s="743"/>
      <c r="AL52" s="743"/>
      <c r="AM52" s="743"/>
      <c r="AN52" s="743"/>
      <c r="AO52" s="743"/>
      <c r="AP52" s="743"/>
      <c r="AQ52" s="743"/>
      <c r="AR52" s="743"/>
      <c r="AS52" s="743"/>
      <c r="AT52" s="757"/>
      <c r="AU52" s="757"/>
      <c r="AV52" s="757"/>
      <c r="AW52" s="758"/>
      <c r="AX52" s="759"/>
      <c r="AY52" s="743"/>
      <c r="AZ52" s="743"/>
      <c r="BA52" s="756"/>
      <c r="BB52" s="743"/>
      <c r="BC52" s="743"/>
      <c r="BD52" s="743"/>
      <c r="BE52" s="743"/>
      <c r="BF52" s="757"/>
      <c r="BG52" s="757"/>
      <c r="BH52" s="774"/>
      <c r="BI52" s="743"/>
    </row>
    <row r="53" spans="1:70">
      <c r="A53" s="621">
        <v>27</v>
      </c>
      <c r="B53" s="752" t="s">
        <v>55</v>
      </c>
      <c r="D53" s="752"/>
      <c r="E53" s="753">
        <f>'ROO INPUT 1.00'!$F54</f>
        <v>-4387</v>
      </c>
      <c r="F53" s="743">
        <f t="shared" ref="F53:M53" si="137">F50*0.21</f>
        <v>0</v>
      </c>
      <c r="G53" s="743">
        <f t="shared" si="137"/>
        <v>0</v>
      </c>
      <c r="H53" s="743">
        <f t="shared" si="137"/>
        <v>0</v>
      </c>
      <c r="I53" s="743">
        <f t="shared" si="137"/>
        <v>8.82</v>
      </c>
      <c r="J53" s="743">
        <f t="shared" si="137"/>
        <v>-60.48</v>
      </c>
      <c r="K53" s="743">
        <f t="shared" si="137"/>
        <v>-194.67</v>
      </c>
      <c r="L53" s="743">
        <f t="shared" si="137"/>
        <v>-83.58</v>
      </c>
      <c r="M53" s="743">
        <f t="shared" si="137"/>
        <v>3.78</v>
      </c>
      <c r="N53" s="743">
        <f>'G-2.06 FIT'!F20</f>
        <v>0</v>
      </c>
      <c r="O53" s="743">
        <f t="shared" ref="O53:U53" si="138">O50*0.21</f>
        <v>2.1</v>
      </c>
      <c r="P53" s="743">
        <f t="shared" si="138"/>
        <v>0.84</v>
      </c>
      <c r="Q53" s="743">
        <f t="shared" si="138"/>
        <v>2.31</v>
      </c>
      <c r="R53" s="743">
        <f t="shared" si="138"/>
        <v>-9.0299999999999994</v>
      </c>
      <c r="S53" s="743">
        <f t="shared" si="138"/>
        <v>2560.9499999999998</v>
      </c>
      <c r="T53" s="754">
        <f t="shared" si="138"/>
        <v>87.36</v>
      </c>
      <c r="U53" s="754">
        <f t="shared" si="138"/>
        <v>-52.559429999999992</v>
      </c>
      <c r="V53" s="743">
        <f>'DEBT CALC 2.14'!E66</f>
        <v>57</v>
      </c>
      <c r="W53" s="743">
        <f>W50*0.21</f>
        <v>0</v>
      </c>
      <c r="X53" s="754">
        <f t="shared" ref="X53" si="139">X50*0.21</f>
        <v>0</v>
      </c>
      <c r="Y53" s="755">
        <f>SUM(E53:X53)</f>
        <v>-2064.1594299999988</v>
      </c>
      <c r="Z53" s="743">
        <f t="shared" ref="Z53:AV53" si="140">Z50*0.21</f>
        <v>510.93</v>
      </c>
      <c r="AA53" s="743">
        <f t="shared" ref="AA53:AB53" si="141">AA50*0.21</f>
        <v>51.239999999999995</v>
      </c>
      <c r="AB53" s="743">
        <f t="shared" si="141"/>
        <v>0</v>
      </c>
      <c r="AC53" s="743">
        <f t="shared" ref="AC53:AH53" si="142">AC50*0.21</f>
        <v>168.63</v>
      </c>
      <c r="AD53" s="756">
        <f t="shared" si="142"/>
        <v>-391.08299999999997</v>
      </c>
      <c r="AE53" s="743">
        <f t="shared" si="142"/>
        <v>-7.35</v>
      </c>
      <c r="AF53" s="743">
        <f t="shared" si="142"/>
        <v>343.62300000000005</v>
      </c>
      <c r="AG53" s="743">
        <f t="shared" ref="AG53" si="143">AG50*0.21</f>
        <v>-77.447999999999993</v>
      </c>
      <c r="AH53" s="743">
        <f t="shared" si="142"/>
        <v>-16.38</v>
      </c>
      <c r="AI53" s="743">
        <f>AI50*0.21</f>
        <v>-23.710889999999999</v>
      </c>
      <c r="AJ53" s="743">
        <f>AJ50*0.21</f>
        <v>-181.65</v>
      </c>
      <c r="AK53" s="743">
        <f t="shared" ref="AK53:AM53" si="144">AK50*0.21</f>
        <v>-125.58</v>
      </c>
      <c r="AL53" s="743">
        <f t="shared" si="144"/>
        <v>-4.3260000000000005</v>
      </c>
      <c r="AM53" s="743">
        <f t="shared" si="144"/>
        <v>-46.91883</v>
      </c>
      <c r="AN53" s="743">
        <f>AN50*0.21</f>
        <v>-270.69</v>
      </c>
      <c r="AO53" s="743">
        <f t="shared" ref="AO53" si="145">AO50*0.21</f>
        <v>189.46199999999999</v>
      </c>
      <c r="AP53" s="743">
        <f t="shared" ref="AP53:AQ53" si="146">AP50*0.21</f>
        <v>-496.44</v>
      </c>
      <c r="AQ53" s="743">
        <f t="shared" si="146"/>
        <v>-63</v>
      </c>
      <c r="AR53" s="743">
        <f>AR50*0.21</f>
        <v>-37.379999999999995</v>
      </c>
      <c r="AS53" s="743">
        <f>AS50*0.21</f>
        <v>-31.5</v>
      </c>
      <c r="AT53" s="743">
        <f t="shared" ref="AT53:AU53" si="147">AT50*0.21</f>
        <v>-450.65999999999997</v>
      </c>
      <c r="AU53" s="743">
        <f t="shared" si="147"/>
        <v>112.91847</v>
      </c>
      <c r="AV53" s="743">
        <f t="shared" si="140"/>
        <v>2.31</v>
      </c>
      <c r="AW53" s="758">
        <f>SUM(Y53:AV53)</f>
        <v>-2909.162679999999</v>
      </c>
      <c r="AX53" s="759"/>
      <c r="AY53" s="743">
        <f>AY50*0.21</f>
        <v>0</v>
      </c>
      <c r="AZ53" s="743">
        <f t="shared" ref="AZ53:BC53" si="148">AZ50*0.21</f>
        <v>22.05</v>
      </c>
      <c r="BA53" s="756">
        <f>BA50*0.21</f>
        <v>-123.52200000000001</v>
      </c>
      <c r="BB53" s="743">
        <f t="shared" si="148"/>
        <v>-10.92</v>
      </c>
      <c r="BC53" s="743">
        <f t="shared" si="148"/>
        <v>-6.09</v>
      </c>
      <c r="BD53" s="743">
        <f>BD50*0.21</f>
        <v>13.65</v>
      </c>
      <c r="BE53" s="743">
        <f t="shared" ref="BE53" si="149">BE50*0.21</f>
        <v>-72.546809999999994</v>
      </c>
      <c r="BF53" s="743">
        <f t="shared" ref="BF53" si="150">BF50*0.21</f>
        <v>-362.03999999999996</v>
      </c>
      <c r="BG53" s="743">
        <f t="shared" ref="BG53" si="151">BG50*0.21</f>
        <v>40.50459</v>
      </c>
      <c r="BH53" s="760">
        <f>SUM(AW53:BG53)</f>
        <v>-3408.0768999999987</v>
      </c>
      <c r="BI53" s="540">
        <f>BH53-AW53</f>
        <v>-498.91421999999966</v>
      </c>
    </row>
    <row r="54" spans="1:70">
      <c r="A54" s="621">
        <v>28</v>
      </c>
      <c r="B54" s="752" t="s">
        <v>170</v>
      </c>
      <c r="D54" s="752"/>
      <c r="E54" s="753">
        <f>'ROO INPUT 1.00'!$F55</f>
        <v>0</v>
      </c>
      <c r="F54" s="743">
        <f>(F81*'RR SUMMARY'!$Q$14)*-0.21</f>
        <v>-3.0493049999999999</v>
      </c>
      <c r="G54" s="743">
        <f>(G81*'RR SUMMARY'!$Q$14)*-0.21</f>
        <v>0</v>
      </c>
      <c r="H54" s="743">
        <f>(H81*'RR SUMMARY'!$Q$14)*-0.21</f>
        <v>3.4972560000000001</v>
      </c>
      <c r="I54" s="743">
        <f>(I81*'RR SUMMARY'!$Q$14)*-0.21</f>
        <v>0</v>
      </c>
      <c r="J54" s="743">
        <f>(J81*'RR SUMMARY'!$Q$14)*-0.21</f>
        <v>0</v>
      </c>
      <c r="K54" s="743">
        <f>(K81*'RR SUMMARY'!$Q$14)*-0.21</f>
        <v>0</v>
      </c>
      <c r="L54" s="743">
        <f>(L81*'RR SUMMARY'!$Q$14)*-0.21</f>
        <v>0</v>
      </c>
      <c r="M54" s="743">
        <f>(M81*'RR SUMMARY'!$Q$14)*-0.21</f>
        <v>0</v>
      </c>
      <c r="N54" s="743">
        <f>(N81*'RR SUMMARY'!$Q$14)*-0.21</f>
        <v>0</v>
      </c>
      <c r="O54" s="743">
        <f>(O81*'RR SUMMARY'!$Q$14)*-0.21</f>
        <v>0</v>
      </c>
      <c r="P54" s="743">
        <f>(P81*'RR SUMMARY'!$Q$14)*-0.21</f>
        <v>0</v>
      </c>
      <c r="Q54" s="743">
        <f>(Q81*'RR SUMMARY'!$Q$14)*-0.21</f>
        <v>0</v>
      </c>
      <c r="R54" s="743">
        <f>(R81*'RR SUMMARY'!$Q$14)*-0.21</f>
        <v>0</v>
      </c>
      <c r="S54" s="743">
        <f>(S81*'RR SUMMARY'!$Q$14)*-0.21</f>
        <v>0</v>
      </c>
      <c r="T54" s="754">
        <f>(T81*'RR SUMMARY'!$Q$14)*-0.21</f>
        <v>0</v>
      </c>
      <c r="U54" s="754">
        <f>(U81*'RR SUMMARY'!$Q$14)*-0.21</f>
        <v>0</v>
      </c>
      <c r="V54" s="743">
        <f>(V81*'RR SUMMARY'!$Q$14)*-0.21</f>
        <v>0</v>
      </c>
      <c r="W54" s="743">
        <f>(W81*'RR SUMMARY'!$Q$14)*-0.21</f>
        <v>-66.965975999999998</v>
      </c>
      <c r="X54" s="754">
        <f>(X81*'RR SUMMARY'!$Q$14)*-0.21</f>
        <v>0</v>
      </c>
      <c r="Y54" s="755">
        <f>SUM(E54:X54)</f>
        <v>-66.518024999999994</v>
      </c>
      <c r="Z54" s="743">
        <f>(Z81*'RR SUMMARY'!$Q$14)*-0.21</f>
        <v>0</v>
      </c>
      <c r="AA54" s="743">
        <f>(AA81*'RR SUMMARY'!$Q$14)*-0.21</f>
        <v>0</v>
      </c>
      <c r="AB54" s="743">
        <f>(AB81*'RR SUMMARY'!$Q$14)*-0.21</f>
        <v>0</v>
      </c>
      <c r="AC54" s="743">
        <f>(AC81*'RR SUMMARY'!$Q$14)*-0.21</f>
        <v>11.554976999999999</v>
      </c>
      <c r="AD54" s="756">
        <f>(AD81*'RR SUMMARY'!$Q$14)*-0.21</f>
        <v>0</v>
      </c>
      <c r="AE54" s="743">
        <f>(AE81*'RR SUMMARY'!$Q$14)*-0.21</f>
        <v>0</v>
      </c>
      <c r="AF54" s="743">
        <f>(AF81*'RR SUMMARY'!$Q$14)*-0.21</f>
        <v>0</v>
      </c>
      <c r="AG54" s="743">
        <f>(AG81*'RR SUMMARY'!$Q$14)*-0.21</f>
        <v>0</v>
      </c>
      <c r="AH54" s="743">
        <f>(AH81*'RR SUMMARY'!$Q$14)*-0.21</f>
        <v>0</v>
      </c>
      <c r="AI54" s="743">
        <f>(AI81*'RR SUMMARY'!$Q$14)*-0.21</f>
        <v>0</v>
      </c>
      <c r="AJ54" s="743">
        <f>(AJ81*'RR SUMMARY'!$Q$14)*-0.21</f>
        <v>0</v>
      </c>
      <c r="AK54" s="743">
        <f>(AK81*'RR SUMMARY'!$Q$14)*-0.21</f>
        <v>0</v>
      </c>
      <c r="AL54" s="743">
        <f>(AL81*'RR SUMMARY'!$Q$14)*-0.21</f>
        <v>0</v>
      </c>
      <c r="AM54" s="743">
        <f>(AM81*'RR SUMMARY'!$Q$14)*-0.21</f>
        <v>0</v>
      </c>
      <c r="AN54" s="743">
        <f>(AN81*'RR SUMMARY'!$Q$14)*-0.21</f>
        <v>-103.21168830000001</v>
      </c>
      <c r="AO54" s="743">
        <f>(AO81*'RR SUMMARY'!$Q$14)*-0.21</f>
        <v>0</v>
      </c>
      <c r="AP54" s="743">
        <f>(AP81*'RR SUMMARY'!$Q$14)*-0.21</f>
        <v>-137.04224309999998</v>
      </c>
      <c r="AQ54" s="743">
        <f>(AQ81*'RR SUMMARY'!$Q$14)*-0.21</f>
        <v>0</v>
      </c>
      <c r="AR54" s="743">
        <f>(AR81*'RR SUMMARY'!$Q$14)*-0.21</f>
        <v>0</v>
      </c>
      <c r="AS54" s="743">
        <f>(AS81*'RR SUMMARY'!$Q$14)*-0.21</f>
        <v>0</v>
      </c>
      <c r="AT54" s="743">
        <f>(AT81*'RR SUMMARY'!$Q$14)*-0.21</f>
        <v>-15.536343900000002</v>
      </c>
      <c r="AU54" s="743">
        <f>(AU81*'RR SUMMARY'!$Q$14)*-0.21</f>
        <v>0</v>
      </c>
      <c r="AV54" s="743">
        <f>(AV81*'RR SUMMARY'!$Q$14)*-0.21</f>
        <v>0</v>
      </c>
      <c r="AW54" s="758">
        <f>SUM(Y54:AV54)</f>
        <v>-310.75332330000003</v>
      </c>
      <c r="AX54" s="759"/>
      <c r="AY54" s="743">
        <f>(AY81*'RR SUMMARY'!$Q$14)*-0.21</f>
        <v>0</v>
      </c>
      <c r="AZ54" s="743">
        <f>(AZ81*'RR SUMMARY'!$Q$14)*-0.21</f>
        <v>4.5766559999999998</v>
      </c>
      <c r="BA54" s="756">
        <f>(BA81*'RR SUMMARY'!$Q$14)*-0.21</f>
        <v>0</v>
      </c>
      <c r="BB54" s="743">
        <f>(BB81*'RR SUMMARY'!$Q$14)*-0.21</f>
        <v>0</v>
      </c>
      <c r="BC54" s="743">
        <f>(BC81*'RR SUMMARY'!$Q$14)*-0.21</f>
        <v>0</v>
      </c>
      <c r="BD54" s="743">
        <f>(BD81*'RR SUMMARY'!$Q$14)*-0.21</f>
        <v>0</v>
      </c>
      <c r="BE54" s="743">
        <f>(BE81*'RR SUMMARY'!$Q$14)*-0.21</f>
        <v>0</v>
      </c>
      <c r="BF54" s="743">
        <f>(BF81*'RR SUMMARY'!$Q$14)*-0.21</f>
        <v>-92.180220300000002</v>
      </c>
      <c r="BG54" s="743">
        <f>(BG81*'RR SUMMARY'!$Q$14)*-0.21</f>
        <v>0</v>
      </c>
      <c r="BH54" s="760">
        <f>SUM(AW54:BG54)</f>
        <v>-398.35688760000005</v>
      </c>
      <c r="BI54" s="540">
        <f>BH54-AW54</f>
        <v>-87.603564300000016</v>
      </c>
    </row>
    <row r="55" spans="1:70">
      <c r="A55" s="621">
        <v>29</v>
      </c>
      <c r="B55" s="752" t="s">
        <v>56</v>
      </c>
      <c r="D55" s="752"/>
      <c r="E55" s="753">
        <f>'ROO INPUT 1.00'!$F56</f>
        <v>-3743</v>
      </c>
      <c r="F55" s="743">
        <v>0</v>
      </c>
      <c r="G55" s="743">
        <v>0</v>
      </c>
      <c r="H55" s="743">
        <v>0</v>
      </c>
      <c r="I55" s="743">
        <v>0</v>
      </c>
      <c r="J55" s="743">
        <v>0</v>
      </c>
      <c r="K55" s="743">
        <v>0</v>
      </c>
      <c r="L55" s="743">
        <v>0</v>
      </c>
      <c r="M55" s="743">
        <v>0</v>
      </c>
      <c r="N55" s="743">
        <f>ROUND(('G-2.06 FIT'!F30/1000),)</f>
        <v>-101</v>
      </c>
      <c r="O55" s="743">
        <v>0</v>
      </c>
      <c r="P55" s="743">
        <v>0</v>
      </c>
      <c r="Q55" s="743">
        <v>0</v>
      </c>
      <c r="R55" s="743">
        <v>0</v>
      </c>
      <c r="S55" s="743">
        <v>0</v>
      </c>
      <c r="T55" s="754">
        <v>0</v>
      </c>
      <c r="U55" s="754">
        <v>0</v>
      </c>
      <c r="V55" s="743">
        <v>0</v>
      </c>
      <c r="W55" s="743">
        <v>0</v>
      </c>
      <c r="X55" s="754">
        <v>0</v>
      </c>
      <c r="Y55" s="755">
        <f>SUM(E55:X55)</f>
        <v>-3844</v>
      </c>
      <c r="Z55" s="743">
        <v>0</v>
      </c>
      <c r="AA55" s="743">
        <v>0</v>
      </c>
      <c r="AB55" s="743">
        <f>ROUND('G-3.03 PF EDIT'!E11/1000,)</f>
        <v>136</v>
      </c>
      <c r="AC55" s="743">
        <v>0</v>
      </c>
      <c r="AD55" s="756">
        <v>0</v>
      </c>
      <c r="AE55" s="743">
        <v>0</v>
      </c>
      <c r="AF55" s="743">
        <v>0</v>
      </c>
      <c r="AG55" s="743">
        <v>0</v>
      </c>
      <c r="AH55" s="743">
        <v>0</v>
      </c>
      <c r="AI55" s="743">
        <v>0</v>
      </c>
      <c r="AJ55" s="743">
        <v>0</v>
      </c>
      <c r="AK55" s="743">
        <v>0</v>
      </c>
      <c r="AL55" s="743">
        <v>0</v>
      </c>
      <c r="AM55" s="743">
        <v>0</v>
      </c>
      <c r="AN55" s="743">
        <v>0</v>
      </c>
      <c r="AO55" s="743">
        <v>0</v>
      </c>
      <c r="AP55" s="743">
        <v>0</v>
      </c>
      <c r="AQ55" s="743">
        <v>0</v>
      </c>
      <c r="AR55" s="743">
        <v>0</v>
      </c>
      <c r="AS55" s="743">
        <v>0</v>
      </c>
      <c r="AT55" s="757">
        <v>0</v>
      </c>
      <c r="AU55" s="757">
        <v>0</v>
      </c>
      <c r="AV55" s="757">
        <v>0</v>
      </c>
      <c r="AW55" s="758">
        <f>SUM(Y55:AV55)</f>
        <v>-3708</v>
      </c>
      <c r="AX55" s="759"/>
      <c r="AY55" s="743">
        <v>0</v>
      </c>
      <c r="AZ55" s="743">
        <v>0</v>
      </c>
      <c r="BA55" s="756">
        <v>0</v>
      </c>
      <c r="BB55" s="743">
        <v>0</v>
      </c>
      <c r="BC55" s="743">
        <v>0</v>
      </c>
      <c r="BD55" s="743">
        <v>0</v>
      </c>
      <c r="BE55" s="743">
        <v>0</v>
      </c>
      <c r="BF55" s="757">
        <v>0</v>
      </c>
      <c r="BG55" s="757">
        <v>0</v>
      </c>
      <c r="BH55" s="760">
        <f>SUM(AW55:BG55)</f>
        <v>-3708</v>
      </c>
      <c r="BI55" s="540">
        <f>BH55-AW55</f>
        <v>0</v>
      </c>
    </row>
    <row r="56" spans="1:70">
      <c r="A56" s="621">
        <v>30</v>
      </c>
      <c r="B56" s="752" t="s">
        <v>57</v>
      </c>
      <c r="D56" s="752"/>
      <c r="E56" s="761">
        <f>'ROO INPUT 1.00'!$F57</f>
        <v>0</v>
      </c>
      <c r="F56" s="762">
        <v>0</v>
      </c>
      <c r="G56" s="762">
        <v>0</v>
      </c>
      <c r="H56" s="762">
        <v>0</v>
      </c>
      <c r="I56" s="762">
        <v>0</v>
      </c>
      <c r="J56" s="762">
        <v>0</v>
      </c>
      <c r="K56" s="762">
        <v>0</v>
      </c>
      <c r="L56" s="762">
        <v>0</v>
      </c>
      <c r="M56" s="762">
        <v>0</v>
      </c>
      <c r="N56" s="762">
        <v>0</v>
      </c>
      <c r="O56" s="762">
        <v>0</v>
      </c>
      <c r="P56" s="762">
        <v>0</v>
      </c>
      <c r="Q56" s="762">
        <v>0</v>
      </c>
      <c r="R56" s="762">
        <v>0</v>
      </c>
      <c r="S56" s="762">
        <v>9626</v>
      </c>
      <c r="T56" s="763">
        <v>0</v>
      </c>
      <c r="U56" s="763">
        <v>0</v>
      </c>
      <c r="V56" s="762">
        <v>0</v>
      </c>
      <c r="W56" s="762">
        <v>0</v>
      </c>
      <c r="X56" s="763">
        <v>0</v>
      </c>
      <c r="Y56" s="764">
        <f>SUM(E56:X56)</f>
        <v>9626</v>
      </c>
      <c r="Z56" s="762">
        <v>0</v>
      </c>
      <c r="AA56" s="762">
        <v>0</v>
      </c>
      <c r="AB56" s="762">
        <v>0</v>
      </c>
      <c r="AC56" s="762">
        <v>0</v>
      </c>
      <c r="AD56" s="765">
        <v>0</v>
      </c>
      <c r="AE56" s="762">
        <v>0</v>
      </c>
      <c r="AF56" s="762">
        <v>0</v>
      </c>
      <c r="AG56" s="762">
        <v>0</v>
      </c>
      <c r="AH56" s="762">
        <v>0</v>
      </c>
      <c r="AI56" s="762">
        <v>0</v>
      </c>
      <c r="AJ56" s="762">
        <v>0</v>
      </c>
      <c r="AK56" s="762">
        <v>0</v>
      </c>
      <c r="AL56" s="762">
        <v>0</v>
      </c>
      <c r="AM56" s="762">
        <v>0</v>
      </c>
      <c r="AN56" s="762">
        <v>0</v>
      </c>
      <c r="AO56" s="762">
        <v>0</v>
      </c>
      <c r="AP56" s="762">
        <v>0</v>
      </c>
      <c r="AQ56" s="762">
        <v>0</v>
      </c>
      <c r="AR56" s="762">
        <v>0</v>
      </c>
      <c r="AS56" s="762">
        <v>0</v>
      </c>
      <c r="AT56" s="762">
        <v>0</v>
      </c>
      <c r="AU56" s="762">
        <v>0</v>
      </c>
      <c r="AV56" s="762">
        <v>0</v>
      </c>
      <c r="AW56" s="766">
        <f>SUM(Y56:AV56)</f>
        <v>9626</v>
      </c>
      <c r="AX56" s="759"/>
      <c r="AY56" s="762">
        <v>0</v>
      </c>
      <c r="AZ56" s="762">
        <v>0</v>
      </c>
      <c r="BA56" s="765">
        <v>0</v>
      </c>
      <c r="BB56" s="762">
        <v>0</v>
      </c>
      <c r="BC56" s="762">
        <v>0</v>
      </c>
      <c r="BD56" s="762">
        <v>0</v>
      </c>
      <c r="BE56" s="762">
        <v>0</v>
      </c>
      <c r="BF56" s="762">
        <v>0</v>
      </c>
      <c r="BG56" s="762">
        <v>0</v>
      </c>
      <c r="BH56" s="767">
        <f>SUM(AW56:BG56)</f>
        <v>9626</v>
      </c>
      <c r="BI56" s="768">
        <f>BH56-AW56</f>
        <v>0</v>
      </c>
    </row>
    <row r="57" spans="1:70" ht="9.75" customHeight="1">
      <c r="E57" s="753"/>
      <c r="F57" s="769"/>
      <c r="G57" s="769"/>
      <c r="H57" s="769"/>
      <c r="I57" s="769"/>
      <c r="J57" s="769"/>
      <c r="K57" s="769"/>
      <c r="L57" s="769"/>
      <c r="M57" s="769"/>
      <c r="N57" s="769"/>
      <c r="O57" s="769"/>
      <c r="P57" s="769"/>
      <c r="Q57" s="769"/>
      <c r="R57" s="769"/>
      <c r="S57" s="769"/>
      <c r="T57" s="770"/>
      <c r="U57" s="770"/>
      <c r="V57" s="769"/>
      <c r="W57" s="769"/>
      <c r="X57" s="770"/>
      <c r="Y57" s="755"/>
      <c r="Z57" s="769"/>
      <c r="AA57" s="769"/>
      <c r="AB57" s="769"/>
      <c r="AC57" s="769"/>
      <c r="AD57" s="771"/>
      <c r="AE57" s="769"/>
      <c r="AF57" s="769"/>
      <c r="AG57" s="769"/>
      <c r="AH57" s="769"/>
      <c r="AI57" s="769"/>
      <c r="AJ57" s="769"/>
      <c r="AK57" s="769"/>
      <c r="AL57" s="769"/>
      <c r="AM57" s="769"/>
      <c r="AN57" s="769"/>
      <c r="AO57" s="769"/>
      <c r="AP57" s="769"/>
      <c r="AQ57" s="769"/>
      <c r="AR57" s="769"/>
      <c r="AS57" s="769"/>
      <c r="AT57" s="772"/>
      <c r="AU57" s="772"/>
      <c r="AV57" s="772"/>
      <c r="AW57" s="758"/>
      <c r="AX57" s="759"/>
      <c r="AY57" s="769"/>
      <c r="AZ57" s="769"/>
      <c r="BA57" s="771"/>
      <c r="BB57" s="769"/>
      <c r="BC57" s="769"/>
      <c r="BD57" s="769"/>
      <c r="BE57" s="769"/>
      <c r="BF57" s="772"/>
      <c r="BG57" s="772"/>
      <c r="BH57" s="773"/>
      <c r="BI57" s="769"/>
    </row>
    <row r="58" spans="1:70" s="740" customFormat="1" ht="13.5" thickBot="1">
      <c r="A58" s="621">
        <v>31</v>
      </c>
      <c r="B58" s="740" t="s">
        <v>58</v>
      </c>
      <c r="E58" s="780">
        <f>E50-SUM(E53:E56)</f>
        <v>36392</v>
      </c>
      <c r="F58" s="781">
        <f t="shared" ref="F58:O58" si="152">F50-SUM(F53:F56)</f>
        <v>3.0493049999999999</v>
      </c>
      <c r="G58" s="781">
        <f>G50-SUM(G53:G56)</f>
        <v>0</v>
      </c>
      <c r="H58" s="781">
        <f t="shared" si="152"/>
        <v>-3.4972560000000001</v>
      </c>
      <c r="I58" s="781">
        <f t="shared" si="152"/>
        <v>33.18</v>
      </c>
      <c r="J58" s="781">
        <f>J50-SUM(J53:J56)</f>
        <v>-227.52</v>
      </c>
      <c r="K58" s="781">
        <f t="shared" si="152"/>
        <v>-732.33</v>
      </c>
      <c r="L58" s="781">
        <f t="shared" si="152"/>
        <v>-314.42</v>
      </c>
      <c r="M58" s="781">
        <f t="shared" si="152"/>
        <v>14.22</v>
      </c>
      <c r="N58" s="781">
        <f t="shared" si="152"/>
        <v>101</v>
      </c>
      <c r="O58" s="781">
        <f t="shared" si="152"/>
        <v>7.9</v>
      </c>
      <c r="P58" s="781">
        <f t="shared" ref="P58:Q58" si="153">P50-SUM(P53:P56)</f>
        <v>3.16</v>
      </c>
      <c r="Q58" s="781">
        <f t="shared" si="153"/>
        <v>8.69</v>
      </c>
      <c r="R58" s="781">
        <f>R50-SUM(R53:R56)</f>
        <v>-33.97</v>
      </c>
      <c r="S58" s="781">
        <f t="shared" ref="S58" si="154">S50-SUM(S53:S56)</f>
        <v>8.0499999999992724</v>
      </c>
      <c r="T58" s="782">
        <f>T50-SUM(T53:T56)</f>
        <v>328.64</v>
      </c>
      <c r="U58" s="782">
        <f>U50-SUM(U53:U56)</f>
        <v>-197.72357</v>
      </c>
      <c r="V58" s="781">
        <f t="shared" ref="V58" si="155">V50-SUM(V53:V56)</f>
        <v>-57</v>
      </c>
      <c r="W58" s="781">
        <f>W50-SUM(W53:W56)</f>
        <v>66.965975999999998</v>
      </c>
      <c r="X58" s="782">
        <f>X50-SUM(X53:X56)</f>
        <v>0</v>
      </c>
      <c r="Y58" s="783">
        <f>Y50-SUM(Y53:Y56)+Y57</f>
        <v>35400.394454999994</v>
      </c>
      <c r="Z58" s="781">
        <f t="shared" ref="Z58" si="156">Z50-SUM(Z53:Z56)</f>
        <v>1922.07</v>
      </c>
      <c r="AA58" s="781">
        <f t="shared" ref="AA58:AB58" si="157">AA50-SUM(AA53:AA56)</f>
        <v>192.76</v>
      </c>
      <c r="AB58" s="781">
        <f t="shared" si="157"/>
        <v>-136</v>
      </c>
      <c r="AC58" s="781">
        <f t="shared" ref="AC58:AH58" si="158">AC50-SUM(AC53:AC56)</f>
        <v>622.815023</v>
      </c>
      <c r="AD58" s="784">
        <f t="shared" si="158"/>
        <v>-1471.2170000000001</v>
      </c>
      <c r="AE58" s="781">
        <f t="shared" si="158"/>
        <v>-27.65</v>
      </c>
      <c r="AF58" s="781">
        <f t="shared" si="158"/>
        <v>1292.6770000000001</v>
      </c>
      <c r="AG58" s="781">
        <f t="shared" ref="AG58" si="159">AG50-SUM(AG53:AG56)</f>
        <v>-291.35199999999998</v>
      </c>
      <c r="AH58" s="781">
        <f t="shared" si="158"/>
        <v>-61.620000000000005</v>
      </c>
      <c r="AI58" s="781">
        <f>AI50-SUM(AI53:AI56)</f>
        <v>-89.198110000000014</v>
      </c>
      <c r="AJ58" s="781">
        <f>AJ50-SUM(AJ53:AJ56)</f>
        <v>-683.35</v>
      </c>
      <c r="AK58" s="781">
        <f t="shared" ref="AK58:AM58" si="160">AK50-SUM(AK53:AK56)</f>
        <v>-472.42</v>
      </c>
      <c r="AL58" s="781">
        <f t="shared" si="160"/>
        <v>-16.274000000000001</v>
      </c>
      <c r="AM58" s="781">
        <f t="shared" si="160"/>
        <v>-176.50416999999999</v>
      </c>
      <c r="AN58" s="781">
        <f>AN50-SUM(AN53:AN56)</f>
        <v>-915.09831170000007</v>
      </c>
      <c r="AO58" s="781">
        <f t="shared" ref="AO58" si="161">AO50-SUM(AO53:AO56)</f>
        <v>712.73800000000006</v>
      </c>
      <c r="AP58" s="781">
        <f t="shared" ref="AP58:AQ58" si="162">AP50-SUM(AP53:AP56)</f>
        <v>-1730.5177569</v>
      </c>
      <c r="AQ58" s="781">
        <f t="shared" si="162"/>
        <v>-237</v>
      </c>
      <c r="AR58" s="781">
        <f>AR50-SUM(AR53:AR56)</f>
        <v>-140.62</v>
      </c>
      <c r="AS58" s="781">
        <f>AS50-SUM(AS53:AS56)</f>
        <v>-118.5</v>
      </c>
      <c r="AT58" s="781">
        <f t="shared" ref="AT58:AU58" si="163">AT50-SUM(AT53:AT56)</f>
        <v>-1679.8036560999999</v>
      </c>
      <c r="AU58" s="781">
        <f t="shared" si="163"/>
        <v>424.78852999999998</v>
      </c>
      <c r="AV58" s="781">
        <f t="shared" ref="AV58" si="164">AV50-SUM(AV53:AV56)</f>
        <v>8.69</v>
      </c>
      <c r="AW58" s="785">
        <f>AW50-SUM(AW53:AW56)+AW57</f>
        <v>32329.808003299993</v>
      </c>
      <c r="AX58" s="749"/>
      <c r="AY58" s="781">
        <f>AY50-SUM(AY53:AY56)</f>
        <v>0</v>
      </c>
      <c r="AZ58" s="781">
        <f t="shared" ref="AZ58:BC58" si="165">AZ50-SUM(AZ53:AZ56)</f>
        <v>78.373344000000003</v>
      </c>
      <c r="BA58" s="784">
        <f t="shared" si="165"/>
        <v>-464.67800000000005</v>
      </c>
      <c r="BB58" s="781">
        <f t="shared" si="165"/>
        <v>-41.08</v>
      </c>
      <c r="BC58" s="781">
        <f t="shared" si="165"/>
        <v>-22.91</v>
      </c>
      <c r="BD58" s="781">
        <f>BD50-SUM(BD53:BD56)</f>
        <v>51.35</v>
      </c>
      <c r="BE58" s="781">
        <f t="shared" ref="BE58" si="166">BE50-SUM(BE53:BE56)</f>
        <v>-272.91419000000002</v>
      </c>
      <c r="BF58" s="781">
        <f t="shared" ref="BF58" si="167">BF50-SUM(BF53:BF56)</f>
        <v>-1269.7797797000001</v>
      </c>
      <c r="BG58" s="781">
        <f t="shared" ref="BG58" si="168">BG50-SUM(BG53:BG56)</f>
        <v>152.37441000000001</v>
      </c>
      <c r="BH58" s="786">
        <f>BH50-SUM(BH53:BH56)</f>
        <v>30540.543787600014</v>
      </c>
      <c r="BI58" s="781">
        <f>BI50-SUM(BI53:BI56)</f>
        <v>-1789.2642157000023</v>
      </c>
      <c r="BJ58" s="751"/>
      <c r="BK58" s="633"/>
      <c r="BL58" s="633"/>
      <c r="BM58" s="633"/>
      <c r="BN58" s="633"/>
      <c r="BO58" s="633"/>
      <c r="BP58" s="633"/>
      <c r="BQ58" s="633"/>
      <c r="BR58" s="633"/>
    </row>
    <row r="59" spans="1:70" ht="6" customHeight="1" thickTop="1">
      <c r="E59" s="753"/>
      <c r="F59" s="769"/>
      <c r="G59" s="769"/>
      <c r="H59" s="769"/>
      <c r="I59" s="769"/>
      <c r="J59" s="769"/>
      <c r="K59" s="769"/>
      <c r="L59" s="769"/>
      <c r="M59" s="769"/>
      <c r="N59" s="769"/>
      <c r="O59" s="769"/>
      <c r="P59" s="769"/>
      <c r="Q59" s="769"/>
      <c r="R59" s="769"/>
      <c r="S59" s="769"/>
      <c r="T59" s="770"/>
      <c r="U59" s="787"/>
      <c r="V59" s="769"/>
      <c r="W59" s="769"/>
      <c r="X59" s="787"/>
      <c r="Y59" s="755"/>
      <c r="Z59" s="769"/>
      <c r="AA59" s="769"/>
      <c r="AB59" s="769"/>
      <c r="AC59" s="769"/>
      <c r="AD59" s="788"/>
      <c r="AE59" s="789"/>
      <c r="AF59" s="789"/>
      <c r="AG59" s="789"/>
      <c r="AH59" s="789"/>
      <c r="AI59" s="769"/>
      <c r="AJ59" s="769"/>
      <c r="AK59" s="769"/>
      <c r="AL59" s="769"/>
      <c r="AM59" s="769"/>
      <c r="AN59" s="769"/>
      <c r="AO59" s="769"/>
      <c r="AP59" s="769"/>
      <c r="AQ59" s="769"/>
      <c r="AR59" s="769"/>
      <c r="AS59" s="769"/>
      <c r="AT59" s="772"/>
      <c r="AU59" s="772"/>
      <c r="AV59" s="772"/>
      <c r="AW59" s="758"/>
      <c r="AX59" s="759"/>
      <c r="AY59" s="769"/>
      <c r="AZ59" s="769"/>
      <c r="BA59" s="788"/>
      <c r="BB59" s="789"/>
      <c r="BC59" s="769"/>
      <c r="BD59" s="769"/>
      <c r="BE59" s="769"/>
      <c r="BF59" s="772"/>
      <c r="BG59" s="772"/>
      <c r="BH59" s="773"/>
      <c r="BI59" s="769"/>
    </row>
    <row r="60" spans="1:70">
      <c r="B60" s="622" t="s">
        <v>103</v>
      </c>
      <c r="E60" s="753"/>
      <c r="F60" s="769"/>
      <c r="G60" s="769"/>
      <c r="H60" s="769"/>
      <c r="I60" s="769"/>
      <c r="J60" s="769"/>
      <c r="K60" s="769"/>
      <c r="L60" s="769"/>
      <c r="M60" s="769"/>
      <c r="N60" s="769"/>
      <c r="O60" s="769"/>
      <c r="P60" s="769"/>
      <c r="Q60" s="769"/>
      <c r="R60" s="769"/>
      <c r="S60" s="769"/>
      <c r="T60" s="770"/>
      <c r="U60" s="787"/>
      <c r="V60" s="769"/>
      <c r="W60" s="769"/>
      <c r="X60" s="787"/>
      <c r="Y60" s="755"/>
      <c r="Z60" s="769"/>
      <c r="AA60" s="769"/>
      <c r="AB60" s="769"/>
      <c r="AC60" s="769"/>
      <c r="AD60" s="788"/>
      <c r="AE60" s="789"/>
      <c r="AF60" s="789"/>
      <c r="AG60" s="789"/>
      <c r="AH60" s="789"/>
      <c r="AI60" s="769"/>
      <c r="AJ60" s="769"/>
      <c r="AK60" s="769"/>
      <c r="AL60" s="769"/>
      <c r="AM60" s="769"/>
      <c r="AN60" s="769"/>
      <c r="AO60" s="769"/>
      <c r="AP60" s="769"/>
      <c r="AQ60" s="769"/>
      <c r="AR60" s="769"/>
      <c r="AS60" s="769"/>
      <c r="AT60" s="772"/>
      <c r="AU60" s="772"/>
      <c r="AV60" s="772"/>
      <c r="AW60" s="758"/>
      <c r="AX60" s="759"/>
      <c r="AY60" s="769"/>
      <c r="AZ60" s="769"/>
      <c r="BA60" s="788"/>
      <c r="BB60" s="789"/>
      <c r="BC60" s="769"/>
      <c r="BD60" s="769"/>
      <c r="BE60" s="769"/>
      <c r="BF60" s="772"/>
      <c r="BG60" s="772"/>
      <c r="BH60" s="773"/>
      <c r="BI60" s="769"/>
    </row>
    <row r="61" spans="1:70">
      <c r="B61" s="622" t="s">
        <v>104</v>
      </c>
      <c r="E61" s="753"/>
      <c r="F61" s="743"/>
      <c r="G61" s="743"/>
      <c r="H61" s="743"/>
      <c r="I61" s="743"/>
      <c r="J61" s="743"/>
      <c r="K61" s="743"/>
      <c r="L61" s="743"/>
      <c r="M61" s="743"/>
      <c r="N61" s="743"/>
      <c r="O61" s="743"/>
      <c r="P61" s="743"/>
      <c r="Q61" s="743"/>
      <c r="R61" s="743"/>
      <c r="S61" s="743"/>
      <c r="T61" s="754"/>
      <c r="U61" s="790"/>
      <c r="V61" s="743"/>
      <c r="W61" s="743"/>
      <c r="X61" s="790"/>
      <c r="Y61" s="755"/>
      <c r="Z61" s="743"/>
      <c r="AA61" s="743"/>
      <c r="AB61" s="743"/>
      <c r="AC61" s="743"/>
      <c r="AD61" s="791"/>
      <c r="AE61" s="792"/>
      <c r="AF61" s="792"/>
      <c r="AG61" s="792"/>
      <c r="AH61" s="792"/>
      <c r="AI61" s="743"/>
      <c r="AJ61" s="743"/>
      <c r="AK61" s="743"/>
      <c r="AL61" s="743"/>
      <c r="AM61" s="743"/>
      <c r="AN61" s="743"/>
      <c r="AO61" s="743"/>
      <c r="AP61" s="743"/>
      <c r="AQ61" s="743"/>
      <c r="AR61" s="743"/>
      <c r="AS61" s="743"/>
      <c r="AT61" s="757"/>
      <c r="AU61" s="757"/>
      <c r="AV61" s="757"/>
      <c r="AW61" s="758"/>
      <c r="AX61" s="759"/>
      <c r="AY61" s="743"/>
      <c r="AZ61" s="743"/>
      <c r="BA61" s="791"/>
      <c r="BB61" s="792"/>
      <c r="BC61" s="743"/>
      <c r="BD61" s="743"/>
      <c r="BE61" s="743"/>
      <c r="BF61" s="757"/>
      <c r="BG61" s="757"/>
      <c r="BH61" s="774"/>
      <c r="BI61" s="743"/>
    </row>
    <row r="62" spans="1:70">
      <c r="A62" s="621">
        <v>32</v>
      </c>
      <c r="B62" s="752"/>
      <c r="C62" s="752" t="s">
        <v>41</v>
      </c>
      <c r="D62" s="752"/>
      <c r="E62" s="741">
        <f>'ROO INPUT 1.00'!$F63</f>
        <v>34499.699999999997</v>
      </c>
      <c r="F62" s="742">
        <v>0</v>
      </c>
      <c r="G62" s="742">
        <v>0</v>
      </c>
      <c r="H62" s="742">
        <v>0</v>
      </c>
      <c r="I62" s="742">
        <v>0</v>
      </c>
      <c r="J62" s="742">
        <v>0</v>
      </c>
      <c r="K62" s="742">
        <v>0</v>
      </c>
      <c r="L62" s="742">
        <v>0</v>
      </c>
      <c r="M62" s="742">
        <v>0</v>
      </c>
      <c r="N62" s="742">
        <v>0</v>
      </c>
      <c r="O62" s="742">
        <v>0</v>
      </c>
      <c r="P62" s="742">
        <v>0</v>
      </c>
      <c r="Q62" s="742">
        <v>0</v>
      </c>
      <c r="R62" s="742">
        <v>0</v>
      </c>
      <c r="S62" s="742">
        <v>0</v>
      </c>
      <c r="T62" s="744">
        <v>0</v>
      </c>
      <c r="U62" s="793">
        <v>0</v>
      </c>
      <c r="V62" s="742">
        <v>0</v>
      </c>
      <c r="W62" s="742">
        <f>ROUND('G-2.15,3.15-3.17,4.01,5.07 CAP'!C24,)</f>
        <v>550</v>
      </c>
      <c r="X62" s="793">
        <v>0</v>
      </c>
      <c r="Y62" s="745">
        <f>SUM(E62:X62)</f>
        <v>35049.699999999997</v>
      </c>
      <c r="Z62" s="742">
        <v>0</v>
      </c>
      <c r="AA62" s="742">
        <v>0</v>
      </c>
      <c r="AB62" s="742">
        <v>0</v>
      </c>
      <c r="AC62" s="742">
        <v>0</v>
      </c>
      <c r="AD62" s="794">
        <v>0</v>
      </c>
      <c r="AE62" s="795">
        <v>0</v>
      </c>
      <c r="AF62" s="795">
        <v>0</v>
      </c>
      <c r="AG62" s="795">
        <v>0</v>
      </c>
      <c r="AH62" s="795">
        <v>0</v>
      </c>
      <c r="AI62" s="742">
        <v>0</v>
      </c>
      <c r="AJ62" s="742">
        <v>0</v>
      </c>
      <c r="AK62" s="742">
        <v>0</v>
      </c>
      <c r="AL62" s="742">
        <v>0</v>
      </c>
      <c r="AM62" s="742">
        <v>0</v>
      </c>
      <c r="AN62" s="742">
        <f>ROUND('G-2.15,3.15-3.17,4.01,5.07 CAP'!J24,)</f>
        <v>797</v>
      </c>
      <c r="AO62" s="742">
        <v>0</v>
      </c>
      <c r="AP62" s="742">
        <f>ROUND('G-2.15,3.15-3.17,4.01,5.07 CAP'!V24,)</f>
        <v>1522</v>
      </c>
      <c r="AQ62" s="742">
        <v>0</v>
      </c>
      <c r="AR62" s="742">
        <v>0</v>
      </c>
      <c r="AS62" s="742">
        <v>0</v>
      </c>
      <c r="AT62" s="742">
        <f>ROUND('G-2.15,3.15-3.17,4.01,5.07 CAP'!AC24,)</f>
        <v>754</v>
      </c>
      <c r="AU62" s="747">
        <v>0</v>
      </c>
      <c r="AV62" s="747">
        <v>0</v>
      </c>
      <c r="AW62" s="748">
        <f>SUM(Y62:AV62)</f>
        <v>38122.699999999997</v>
      </c>
      <c r="AX62" s="749"/>
      <c r="AY62" s="742">
        <v>0</v>
      </c>
      <c r="AZ62" s="742">
        <v>0</v>
      </c>
      <c r="BA62" s="794">
        <v>0</v>
      </c>
      <c r="BB62" s="795">
        <v>0</v>
      </c>
      <c r="BC62" s="742">
        <v>0</v>
      </c>
      <c r="BD62" s="742">
        <v>0</v>
      </c>
      <c r="BE62" s="742">
        <v>0</v>
      </c>
      <c r="BF62" s="742">
        <f>ROUND('G-2.15,3.15-3.17,4.01,5.07 CAP'!AJ24,)</f>
        <v>1506</v>
      </c>
      <c r="BG62" s="747">
        <v>0</v>
      </c>
      <c r="BH62" s="750">
        <f>SUM(AW62:BG62)</f>
        <v>39628.699999999997</v>
      </c>
      <c r="BI62" s="742">
        <f>BH62-AW62</f>
        <v>1506</v>
      </c>
    </row>
    <row r="63" spans="1:70">
      <c r="A63" s="621">
        <v>33</v>
      </c>
      <c r="B63" s="752"/>
      <c r="C63" s="752" t="s">
        <v>60</v>
      </c>
      <c r="D63" s="752"/>
      <c r="E63" s="753">
        <f>'ROO INPUT 1.00'!$F64</f>
        <v>650522.69999999995</v>
      </c>
      <c r="F63" s="743">
        <v>0</v>
      </c>
      <c r="G63" s="743">
        <v>0</v>
      </c>
      <c r="H63" s="743">
        <v>0</v>
      </c>
      <c r="I63" s="743">
        <v>0</v>
      </c>
      <c r="J63" s="743">
        <v>0</v>
      </c>
      <c r="K63" s="743">
        <v>0</v>
      </c>
      <c r="L63" s="743">
        <v>0</v>
      </c>
      <c r="M63" s="743">
        <v>0</v>
      </c>
      <c r="N63" s="743">
        <v>0</v>
      </c>
      <c r="O63" s="743">
        <v>0</v>
      </c>
      <c r="P63" s="743">
        <v>0</v>
      </c>
      <c r="Q63" s="743">
        <v>0</v>
      </c>
      <c r="R63" s="743">
        <v>0</v>
      </c>
      <c r="S63" s="743">
        <v>0</v>
      </c>
      <c r="T63" s="754">
        <v>0</v>
      </c>
      <c r="U63" s="790">
        <v>0</v>
      </c>
      <c r="V63" s="743">
        <v>0</v>
      </c>
      <c r="W63" s="743">
        <f>ROUND('G-2.15,3.15-3.17,4.01,5.07 CAP'!C25,)</f>
        <v>21260</v>
      </c>
      <c r="X63" s="790">
        <v>0</v>
      </c>
      <c r="Y63" s="755">
        <f>SUM(E63:X63)</f>
        <v>671782.7</v>
      </c>
      <c r="Z63" s="743">
        <v>0</v>
      </c>
      <c r="AA63" s="743">
        <v>0</v>
      </c>
      <c r="AB63" s="743">
        <v>0</v>
      </c>
      <c r="AC63" s="743">
        <v>0</v>
      </c>
      <c r="AD63" s="791">
        <v>0</v>
      </c>
      <c r="AE63" s="792">
        <v>0</v>
      </c>
      <c r="AF63" s="792">
        <v>0</v>
      </c>
      <c r="AG63" s="792">
        <v>0</v>
      </c>
      <c r="AH63" s="792">
        <v>0</v>
      </c>
      <c r="AI63" s="743">
        <v>0</v>
      </c>
      <c r="AJ63" s="743">
        <v>0</v>
      </c>
      <c r="AK63" s="743">
        <v>0</v>
      </c>
      <c r="AL63" s="743">
        <v>0</v>
      </c>
      <c r="AM63" s="743">
        <v>0</v>
      </c>
      <c r="AN63" s="743">
        <f>ROUND('G-2.15,3.15-3.17,4.01,5.07 CAP'!J25,0)</f>
        <v>23831</v>
      </c>
      <c r="AO63" s="743">
        <v>0</v>
      </c>
      <c r="AP63" s="743">
        <f>ROUND('G-2.15,3.15-3.17,4.01,5.07 CAP'!V25,)</f>
        <v>36634</v>
      </c>
      <c r="AQ63" s="743">
        <v>0</v>
      </c>
      <c r="AR63" s="743">
        <v>0</v>
      </c>
      <c r="AS63" s="743">
        <v>0</v>
      </c>
      <c r="AT63" s="743">
        <f>ROUND('G-2.15,3.15-3.17,4.01,5.07 CAP'!AC25,)</f>
        <v>14747</v>
      </c>
      <c r="AU63" s="757">
        <v>0</v>
      </c>
      <c r="AV63" s="757">
        <v>0</v>
      </c>
      <c r="AW63" s="758">
        <f>SUM(Y63:AV63)</f>
        <v>746994.7</v>
      </c>
      <c r="AX63" s="759"/>
      <c r="AY63" s="743">
        <v>0</v>
      </c>
      <c r="AZ63" s="743">
        <v>0</v>
      </c>
      <c r="BA63" s="791">
        <v>0</v>
      </c>
      <c r="BB63" s="792">
        <v>0</v>
      </c>
      <c r="BC63" s="743">
        <v>0</v>
      </c>
      <c r="BD63" s="743">
        <v>0</v>
      </c>
      <c r="BE63" s="743">
        <v>0</v>
      </c>
      <c r="BF63" s="743">
        <f>ROUND('G-2.15,3.15-3.17,4.01,5.07 CAP'!AJ25,)</f>
        <v>32044</v>
      </c>
      <c r="BG63" s="757">
        <v>0</v>
      </c>
      <c r="BH63" s="760">
        <f>SUM(AW63:BG63)</f>
        <v>779038.7</v>
      </c>
      <c r="BI63" s="540">
        <f>BH63-AW63</f>
        <v>32044</v>
      </c>
    </row>
    <row r="64" spans="1:70">
      <c r="A64" s="621">
        <v>34</v>
      </c>
      <c r="B64" s="752"/>
      <c r="C64" s="752" t="s">
        <v>61</v>
      </c>
      <c r="D64" s="752"/>
      <c r="E64" s="761">
        <f>'ROO INPUT 1.00'!$F65</f>
        <v>161473</v>
      </c>
      <c r="F64" s="762">
        <v>0</v>
      </c>
      <c r="G64" s="762">
        <v>0</v>
      </c>
      <c r="H64" s="762">
        <v>0</v>
      </c>
      <c r="I64" s="762">
        <v>0</v>
      </c>
      <c r="J64" s="762">
        <v>0</v>
      </c>
      <c r="K64" s="762">
        <v>0</v>
      </c>
      <c r="L64" s="762">
        <v>0</v>
      </c>
      <c r="M64" s="762">
        <v>0</v>
      </c>
      <c r="N64" s="762">
        <v>0</v>
      </c>
      <c r="O64" s="762">
        <v>0</v>
      </c>
      <c r="P64" s="762">
        <v>0</v>
      </c>
      <c r="Q64" s="762">
        <v>0</v>
      </c>
      <c r="R64" s="762">
        <v>0</v>
      </c>
      <c r="S64" s="762">
        <v>0</v>
      </c>
      <c r="T64" s="763">
        <v>0</v>
      </c>
      <c r="U64" s="796">
        <v>0</v>
      </c>
      <c r="V64" s="762">
        <v>0</v>
      </c>
      <c r="W64" s="762">
        <f>ROUND(SUM('G-2.15,3.15-3.17,4.01,5.07 CAP'!C23,'G-2.15,3.15-3.17,4.01,5.07 CAP'!C26),)</f>
        <v>2797</v>
      </c>
      <c r="X64" s="796">
        <v>0</v>
      </c>
      <c r="Y64" s="764">
        <f>SUM(E64:X64)</f>
        <v>164270</v>
      </c>
      <c r="Z64" s="762">
        <v>0</v>
      </c>
      <c r="AA64" s="762">
        <v>0</v>
      </c>
      <c r="AB64" s="762">
        <v>0</v>
      </c>
      <c r="AC64" s="762">
        <v>0</v>
      </c>
      <c r="AD64" s="797">
        <v>0</v>
      </c>
      <c r="AE64" s="798">
        <v>0</v>
      </c>
      <c r="AF64" s="798">
        <v>0</v>
      </c>
      <c r="AG64" s="798">
        <v>0</v>
      </c>
      <c r="AH64" s="798">
        <v>0</v>
      </c>
      <c r="AI64" s="762">
        <v>0</v>
      </c>
      <c r="AJ64" s="762">
        <v>0</v>
      </c>
      <c r="AK64" s="762">
        <v>0</v>
      </c>
      <c r="AL64" s="762">
        <v>0</v>
      </c>
      <c r="AM64" s="762">
        <v>0</v>
      </c>
      <c r="AN64" s="762">
        <f>ROUND('G-2.15,3.15-3.17,4.01,5.07 CAP'!J23,)+ROUND('G-2.15,3.15-3.17,4.01,5.07 CAP'!J26,0)</f>
        <v>835</v>
      </c>
      <c r="AO64" s="762">
        <v>0</v>
      </c>
      <c r="AP64" s="762">
        <f>ROUND('G-2.15,3.15-3.17,4.01,5.07 CAP'!V23,)+ROUND('G-2.15,3.15-3.17,4.01,5.07 CAP'!V26,)</f>
        <v>5859</v>
      </c>
      <c r="AQ64" s="762">
        <v>0</v>
      </c>
      <c r="AR64" s="762">
        <v>0</v>
      </c>
      <c r="AS64" s="762">
        <v>0</v>
      </c>
      <c r="AT64" s="762">
        <f>ROUND('G-2.15,3.15-3.17,4.01,5.07 CAP'!AC23,)+ROUND('G-2.15,3.15-3.17,4.01,5.07 CAP'!AC26,)</f>
        <v>1128</v>
      </c>
      <c r="AU64" s="762">
        <v>0</v>
      </c>
      <c r="AV64" s="762">
        <v>0</v>
      </c>
      <c r="AW64" s="766">
        <f>SUM(Y64:AV64)</f>
        <v>172092</v>
      </c>
      <c r="AX64" s="759"/>
      <c r="AY64" s="762">
        <v>0</v>
      </c>
      <c r="AZ64" s="762">
        <v>0</v>
      </c>
      <c r="BA64" s="797">
        <v>0</v>
      </c>
      <c r="BB64" s="798">
        <v>0</v>
      </c>
      <c r="BC64" s="762">
        <v>0</v>
      </c>
      <c r="BD64" s="762">
        <v>0</v>
      </c>
      <c r="BE64" s="762">
        <v>0</v>
      </c>
      <c r="BF64" s="762">
        <f>ROUND(SUM('G-2.15,3.15-3.17,4.01,5.07 CAP'!AJ23,'G-2.15,3.15-3.17,4.01,5.07 CAP'!AJ26),)</f>
        <v>2720</v>
      </c>
      <c r="BG64" s="762">
        <v>0</v>
      </c>
      <c r="BH64" s="767">
        <f>SUM(AW64:BG64)</f>
        <v>174812</v>
      </c>
      <c r="BI64" s="768">
        <f>BH64-AW64</f>
        <v>2720</v>
      </c>
    </row>
    <row r="65" spans="1:70" ht="15.75" customHeight="1">
      <c r="A65" s="621">
        <v>35</v>
      </c>
      <c r="B65" s="752" t="s">
        <v>62</v>
      </c>
      <c r="C65" s="752"/>
      <c r="E65" s="753">
        <f>SUM(E62:E64)</f>
        <v>846495.39999999991</v>
      </c>
      <c r="F65" s="769">
        <f t="shared" ref="F65:N65" si="169">SUM(F62:F64)</f>
        <v>0</v>
      </c>
      <c r="G65" s="769">
        <f t="shared" si="169"/>
        <v>0</v>
      </c>
      <c r="H65" s="769">
        <f t="shared" si="169"/>
        <v>0</v>
      </c>
      <c r="I65" s="769">
        <f t="shared" si="169"/>
        <v>0</v>
      </c>
      <c r="J65" s="769">
        <f>SUM(J62:J64)</f>
        <v>0</v>
      </c>
      <c r="K65" s="769">
        <f t="shared" si="169"/>
        <v>0</v>
      </c>
      <c r="L65" s="769">
        <f t="shared" si="169"/>
        <v>0</v>
      </c>
      <c r="M65" s="769">
        <f t="shared" si="169"/>
        <v>0</v>
      </c>
      <c r="N65" s="769">
        <f t="shared" si="169"/>
        <v>0</v>
      </c>
      <c r="O65" s="769">
        <f t="shared" ref="O65:Y65" si="170">SUM(O62:O64)</f>
        <v>0</v>
      </c>
      <c r="P65" s="769">
        <f t="shared" si="170"/>
        <v>0</v>
      </c>
      <c r="Q65" s="769">
        <f t="shared" ref="Q65:U65" si="171">SUM(Q62:Q64)</f>
        <v>0</v>
      </c>
      <c r="R65" s="769">
        <f t="shared" si="171"/>
        <v>0</v>
      </c>
      <c r="S65" s="769">
        <f t="shared" si="171"/>
        <v>0</v>
      </c>
      <c r="T65" s="770">
        <f t="shared" si="171"/>
        <v>0</v>
      </c>
      <c r="U65" s="770">
        <f t="shared" si="171"/>
        <v>0</v>
      </c>
      <c r="V65" s="769">
        <f t="shared" ref="V65" si="172">SUM(V62:V64)</f>
        <v>0</v>
      </c>
      <c r="W65" s="769">
        <f t="shared" ref="W65:X65" si="173">SUM(W62:W64)</f>
        <v>24607</v>
      </c>
      <c r="X65" s="770">
        <f t="shared" si="173"/>
        <v>0</v>
      </c>
      <c r="Y65" s="755">
        <f t="shared" si="170"/>
        <v>871102.39999999991</v>
      </c>
      <c r="Z65" s="769">
        <f>SUM(Z62:Z64)</f>
        <v>0</v>
      </c>
      <c r="AA65" s="769">
        <f>SUM(AA62:AA64)</f>
        <v>0</v>
      </c>
      <c r="AB65" s="769">
        <f>SUM(AB62:AB64)</f>
        <v>0</v>
      </c>
      <c r="AC65" s="769">
        <f t="shared" ref="AC65:AI65" si="174">SUM(AC62:AC64)</f>
        <v>0</v>
      </c>
      <c r="AD65" s="771">
        <f t="shared" si="174"/>
        <v>0</v>
      </c>
      <c r="AE65" s="769">
        <f t="shared" si="174"/>
        <v>0</v>
      </c>
      <c r="AF65" s="769">
        <f t="shared" si="174"/>
        <v>0</v>
      </c>
      <c r="AG65" s="769">
        <f t="shared" ref="AG65" si="175">SUM(AG62:AG64)</f>
        <v>0</v>
      </c>
      <c r="AH65" s="769">
        <f t="shared" si="174"/>
        <v>0</v>
      </c>
      <c r="AI65" s="769">
        <f t="shared" si="174"/>
        <v>0</v>
      </c>
      <c r="AJ65" s="769">
        <f t="shared" ref="AJ65:AK65" si="176">SUM(AJ62:AJ64)</f>
        <v>0</v>
      </c>
      <c r="AK65" s="769">
        <f t="shared" si="176"/>
        <v>0</v>
      </c>
      <c r="AL65" s="769">
        <f>SUM(AL62:AL64)</f>
        <v>0</v>
      </c>
      <c r="AM65" s="769">
        <f t="shared" ref="AM65:AO65" si="177">SUM(AM62:AM64)</f>
        <v>0</v>
      </c>
      <c r="AN65" s="769">
        <f t="shared" si="177"/>
        <v>25463</v>
      </c>
      <c r="AO65" s="769">
        <f t="shared" si="177"/>
        <v>0</v>
      </c>
      <c r="AP65" s="769">
        <f t="shared" ref="AP65:AQ65" si="178">SUM(AP62:AP64)</f>
        <v>44015</v>
      </c>
      <c r="AQ65" s="769">
        <f t="shared" si="178"/>
        <v>0</v>
      </c>
      <c r="AR65" s="769">
        <f t="shared" ref="AR65:AS65" si="179">SUM(AR62:AR64)</f>
        <v>0</v>
      </c>
      <c r="AS65" s="769">
        <f t="shared" si="179"/>
        <v>0</v>
      </c>
      <c r="AT65" s="769">
        <f>SUM(AT62:AT64)</f>
        <v>16629</v>
      </c>
      <c r="AU65" s="772">
        <f>SUM(AU62:AU64)</f>
        <v>0</v>
      </c>
      <c r="AV65" s="772">
        <f t="shared" ref="AV65" si="180">SUM(AV62:AV64)</f>
        <v>0</v>
      </c>
      <c r="AW65" s="758">
        <f t="shared" ref="AW65" si="181">SUM(AW62:AW64)</f>
        <v>957209.39999999991</v>
      </c>
      <c r="AX65" s="759"/>
      <c r="AY65" s="769">
        <f>SUM(AY62:AY64)</f>
        <v>0</v>
      </c>
      <c r="AZ65" s="769">
        <f t="shared" ref="AZ65" si="182">SUM(AZ62:AZ64)</f>
        <v>0</v>
      </c>
      <c r="BA65" s="771">
        <f t="shared" ref="BA65:BB65" si="183">SUM(BA62:BA64)</f>
        <v>0</v>
      </c>
      <c r="BB65" s="769">
        <f t="shared" si="183"/>
        <v>0</v>
      </c>
      <c r="BC65" s="769">
        <f>SUM(BC62:BC64)</f>
        <v>0</v>
      </c>
      <c r="BD65" s="769">
        <f>SUM(BD62:BD64)</f>
        <v>0</v>
      </c>
      <c r="BE65" s="769">
        <f t="shared" ref="BE65" si="184">SUM(BE62:BE64)</f>
        <v>0</v>
      </c>
      <c r="BF65" s="769">
        <f>SUM(BF62:BF64)</f>
        <v>36270</v>
      </c>
      <c r="BG65" s="772">
        <f>SUM(BG62:BG64)</f>
        <v>0</v>
      </c>
      <c r="BH65" s="773">
        <f>SUM(BH62:BH64)</f>
        <v>993479.39999999991</v>
      </c>
      <c r="BI65" s="769">
        <f>SUM(BI62:BI64)</f>
        <v>36270</v>
      </c>
    </row>
    <row r="66" spans="1:70" ht="3.75" customHeight="1">
      <c r="B66" s="752"/>
      <c r="C66" s="752"/>
      <c r="E66" s="753"/>
      <c r="F66" s="769"/>
      <c r="G66" s="769"/>
      <c r="H66" s="769"/>
      <c r="I66" s="769"/>
      <c r="J66" s="769"/>
      <c r="K66" s="769"/>
      <c r="L66" s="769"/>
      <c r="M66" s="769"/>
      <c r="N66" s="769"/>
      <c r="O66" s="769"/>
      <c r="P66" s="769"/>
      <c r="Q66" s="769"/>
      <c r="R66" s="769"/>
      <c r="S66" s="769"/>
      <c r="T66" s="770"/>
      <c r="U66" s="770"/>
      <c r="V66" s="769"/>
      <c r="W66" s="769"/>
      <c r="X66" s="770"/>
      <c r="Y66" s="755"/>
      <c r="Z66" s="769"/>
      <c r="AA66" s="769"/>
      <c r="AB66" s="769"/>
      <c r="AC66" s="769"/>
      <c r="AD66" s="771"/>
      <c r="AE66" s="769"/>
      <c r="AF66" s="769"/>
      <c r="AG66" s="769"/>
      <c r="AH66" s="769"/>
      <c r="AI66" s="769"/>
      <c r="AJ66" s="769"/>
      <c r="AK66" s="769"/>
      <c r="AL66" s="769"/>
      <c r="AM66" s="769"/>
      <c r="AN66" s="769"/>
      <c r="AO66" s="769"/>
      <c r="AP66" s="769"/>
      <c r="AQ66" s="769"/>
      <c r="AR66" s="769"/>
      <c r="AS66" s="769"/>
      <c r="AT66" s="769"/>
      <c r="AU66" s="772"/>
      <c r="AV66" s="772"/>
      <c r="AW66" s="758"/>
      <c r="AX66" s="759"/>
      <c r="AY66" s="769"/>
      <c r="AZ66" s="769"/>
      <c r="BA66" s="771"/>
      <c r="BB66" s="769"/>
      <c r="BC66" s="769"/>
      <c r="BD66" s="769"/>
      <c r="BE66" s="769"/>
      <c r="BF66" s="769"/>
      <c r="BG66" s="772"/>
      <c r="BH66" s="773"/>
      <c r="BI66" s="769"/>
    </row>
    <row r="67" spans="1:70">
      <c r="B67" s="752" t="s">
        <v>190</v>
      </c>
      <c r="C67" s="752"/>
      <c r="D67" s="752"/>
      <c r="E67" s="753"/>
      <c r="F67" s="743"/>
      <c r="G67" s="743"/>
      <c r="H67" s="743"/>
      <c r="I67" s="743"/>
      <c r="J67" s="743"/>
      <c r="K67" s="743"/>
      <c r="L67" s="743"/>
      <c r="M67" s="743"/>
      <c r="N67" s="743"/>
      <c r="O67" s="743"/>
      <c r="P67" s="743"/>
      <c r="Q67" s="743"/>
      <c r="R67" s="743"/>
      <c r="S67" s="743"/>
      <c r="T67" s="754"/>
      <c r="U67" s="754"/>
      <c r="V67" s="743"/>
      <c r="W67" s="743"/>
      <c r="X67" s="754"/>
      <c r="Y67" s="755"/>
      <c r="Z67" s="743"/>
      <c r="AA67" s="743"/>
      <c r="AB67" s="743"/>
      <c r="AC67" s="743"/>
      <c r="AD67" s="756"/>
      <c r="AE67" s="743"/>
      <c r="AF67" s="743"/>
      <c r="AG67" s="743"/>
      <c r="AH67" s="743"/>
      <c r="AI67" s="743"/>
      <c r="AJ67" s="743"/>
      <c r="AK67" s="743"/>
      <c r="AL67" s="743"/>
      <c r="AM67" s="743"/>
      <c r="AN67" s="743"/>
      <c r="AO67" s="743"/>
      <c r="AP67" s="743"/>
      <c r="AQ67" s="743"/>
      <c r="AR67" s="743"/>
      <c r="AS67" s="743"/>
      <c r="AT67" s="743"/>
      <c r="AU67" s="757"/>
      <c r="AV67" s="757"/>
      <c r="AW67" s="758"/>
      <c r="AX67" s="759"/>
      <c r="AY67" s="743"/>
      <c r="AZ67" s="743"/>
      <c r="BA67" s="756"/>
      <c r="BB67" s="743"/>
      <c r="BC67" s="743"/>
      <c r="BD67" s="743"/>
      <c r="BE67" s="743"/>
      <c r="BF67" s="743"/>
      <c r="BG67" s="757"/>
      <c r="BH67" s="774"/>
      <c r="BI67" s="743"/>
    </row>
    <row r="68" spans="1:70">
      <c r="A68" s="621">
        <v>36</v>
      </c>
      <c r="B68" s="752"/>
      <c r="C68" s="752" t="s">
        <v>41</v>
      </c>
      <c r="D68" s="752"/>
      <c r="E68" s="753">
        <f>'ROO INPUT 1.00'!$F69</f>
        <v>-13149</v>
      </c>
      <c r="F68" s="743">
        <v>0</v>
      </c>
      <c r="G68" s="743">
        <v>0</v>
      </c>
      <c r="H68" s="743">
        <v>0</v>
      </c>
      <c r="I68" s="743">
        <v>0</v>
      </c>
      <c r="J68" s="743">
        <v>0</v>
      </c>
      <c r="K68" s="743">
        <v>0</v>
      </c>
      <c r="L68" s="743">
        <v>0</v>
      </c>
      <c r="M68" s="743">
        <v>0</v>
      </c>
      <c r="N68" s="743">
        <v>0</v>
      </c>
      <c r="O68" s="743">
        <v>0</v>
      </c>
      <c r="P68" s="743">
        <v>0</v>
      </c>
      <c r="Q68" s="743">
        <v>0</v>
      </c>
      <c r="R68" s="743">
        <v>0</v>
      </c>
      <c r="S68" s="743">
        <v>0</v>
      </c>
      <c r="T68" s="754">
        <v>0</v>
      </c>
      <c r="U68" s="754">
        <v>0</v>
      </c>
      <c r="V68" s="743">
        <v>0</v>
      </c>
      <c r="W68" s="743">
        <f>ROUND('G-2.15,3.15-3.17,4.01,5.07 CAP'!C31,)</f>
        <v>-258</v>
      </c>
      <c r="X68" s="754">
        <v>0</v>
      </c>
      <c r="Y68" s="755">
        <f>SUM(E68:X68)</f>
        <v>-13407</v>
      </c>
      <c r="Z68" s="743">
        <v>0</v>
      </c>
      <c r="AA68" s="743">
        <v>0</v>
      </c>
      <c r="AB68" s="743">
        <v>0</v>
      </c>
      <c r="AC68" s="743">
        <v>0</v>
      </c>
      <c r="AD68" s="756">
        <v>0</v>
      </c>
      <c r="AE68" s="743">
        <v>0</v>
      </c>
      <c r="AF68" s="743">
        <v>0</v>
      </c>
      <c r="AG68" s="743">
        <v>0</v>
      </c>
      <c r="AH68" s="743">
        <v>0</v>
      </c>
      <c r="AI68" s="743">
        <v>0</v>
      </c>
      <c r="AJ68" s="743">
        <v>0</v>
      </c>
      <c r="AK68" s="743">
        <v>0</v>
      </c>
      <c r="AL68" s="743">
        <v>0</v>
      </c>
      <c r="AM68" s="743">
        <v>0</v>
      </c>
      <c r="AN68" s="743">
        <f>ROUND('G-2.15,3.15-3.17,4.01,5.07 CAP'!J31,1)</f>
        <v>-264.5</v>
      </c>
      <c r="AO68" s="743">
        <v>0</v>
      </c>
      <c r="AP68" s="743">
        <f>ROUND('G-2.15,3.15-3.17,4.01,5.07 CAP'!V31,1)</f>
        <v>-534.20000000000005</v>
      </c>
      <c r="AQ68" s="743">
        <v>0</v>
      </c>
      <c r="AR68" s="743">
        <v>0</v>
      </c>
      <c r="AS68" s="743">
        <v>0</v>
      </c>
      <c r="AT68" s="743">
        <f>ROUND('G-2.15,3.15-3.17,4.01,5.07 CAP'!AC31,)</f>
        <v>-278</v>
      </c>
      <c r="AU68" s="743">
        <v>0</v>
      </c>
      <c r="AV68" s="743">
        <v>0</v>
      </c>
      <c r="AW68" s="758">
        <f>SUM(Y68:AV68)</f>
        <v>-14483.7</v>
      </c>
      <c r="AX68" s="759"/>
      <c r="AY68" s="743">
        <v>0</v>
      </c>
      <c r="AZ68" s="743">
        <v>0</v>
      </c>
      <c r="BA68" s="756">
        <v>0</v>
      </c>
      <c r="BB68" s="743">
        <v>0</v>
      </c>
      <c r="BC68" s="743">
        <v>0</v>
      </c>
      <c r="BD68" s="743">
        <v>0</v>
      </c>
      <c r="BE68" s="743">
        <v>0</v>
      </c>
      <c r="BF68" s="743">
        <f>ROUND('G-2.15,3.15-3.17,4.01,5.07 CAP'!AJ31,)</f>
        <v>-570</v>
      </c>
      <c r="BG68" s="757">
        <v>0</v>
      </c>
      <c r="BH68" s="760">
        <f>SUM(AW68:BG68)</f>
        <v>-15053.7</v>
      </c>
      <c r="BI68" s="540">
        <f>BH68-AW68</f>
        <v>-570</v>
      </c>
    </row>
    <row r="69" spans="1:70">
      <c r="A69" s="621">
        <v>37</v>
      </c>
      <c r="B69" s="752"/>
      <c r="C69" s="752" t="s">
        <v>60</v>
      </c>
      <c r="D69" s="752"/>
      <c r="E69" s="753">
        <f>'ROO INPUT 1.00'!$F70</f>
        <v>-188334</v>
      </c>
      <c r="F69" s="743">
        <v>0</v>
      </c>
      <c r="G69" s="743">
        <v>0</v>
      </c>
      <c r="H69" s="743">
        <v>0</v>
      </c>
      <c r="I69" s="743">
        <v>0</v>
      </c>
      <c r="J69" s="743">
        <v>0</v>
      </c>
      <c r="K69" s="743">
        <v>0</v>
      </c>
      <c r="L69" s="743">
        <v>0</v>
      </c>
      <c r="M69" s="743">
        <v>0</v>
      </c>
      <c r="N69" s="743">
        <v>0</v>
      </c>
      <c r="O69" s="743">
        <v>0</v>
      </c>
      <c r="P69" s="743">
        <v>0</v>
      </c>
      <c r="Q69" s="743">
        <v>0</v>
      </c>
      <c r="R69" s="743">
        <v>0</v>
      </c>
      <c r="S69" s="743">
        <v>0</v>
      </c>
      <c r="T69" s="754">
        <v>0</v>
      </c>
      <c r="U69" s="754">
        <v>0</v>
      </c>
      <c r="V69" s="743">
        <v>0</v>
      </c>
      <c r="W69" s="743">
        <f>ROUND('G-2.15,3.15-3.17,4.01,5.07 CAP'!C32,)</f>
        <v>-7739</v>
      </c>
      <c r="X69" s="754">
        <v>0</v>
      </c>
      <c r="Y69" s="755">
        <f>SUM(E69:X69)</f>
        <v>-196073</v>
      </c>
      <c r="Z69" s="743">
        <v>0</v>
      </c>
      <c r="AA69" s="743">
        <v>0</v>
      </c>
      <c r="AB69" s="743">
        <v>0</v>
      </c>
      <c r="AC69" s="743">
        <v>0</v>
      </c>
      <c r="AD69" s="756">
        <v>0</v>
      </c>
      <c r="AE69" s="743">
        <v>0</v>
      </c>
      <c r="AF69" s="743">
        <v>0</v>
      </c>
      <c r="AG69" s="743">
        <v>0</v>
      </c>
      <c r="AH69" s="743">
        <v>0</v>
      </c>
      <c r="AI69" s="743">
        <v>0</v>
      </c>
      <c r="AJ69" s="743">
        <v>0</v>
      </c>
      <c r="AK69" s="743">
        <v>0</v>
      </c>
      <c r="AL69" s="743">
        <v>0</v>
      </c>
      <c r="AM69" s="743">
        <v>0</v>
      </c>
      <c r="AN69" s="743">
        <f>ROUND('G-2.15,3.15-3.17,4.01,5.07 CAP'!J32,1)</f>
        <v>-7018.6</v>
      </c>
      <c r="AO69" s="743">
        <v>0</v>
      </c>
      <c r="AP69" s="743">
        <f>ROUND('G-2.15,3.15-3.17,4.01,5.07 CAP'!V32,1)</f>
        <v>-15138.5</v>
      </c>
      <c r="AQ69" s="743">
        <v>0</v>
      </c>
      <c r="AR69" s="743">
        <v>0</v>
      </c>
      <c r="AS69" s="743">
        <v>0</v>
      </c>
      <c r="AT69" s="743">
        <f>ROUND('G-2.15,3.15-3.17,4.01,5.07 CAP'!AC32,)</f>
        <v>-8194</v>
      </c>
      <c r="AU69" s="757">
        <v>0</v>
      </c>
      <c r="AV69" s="757">
        <v>0</v>
      </c>
      <c r="AW69" s="758">
        <f>SUM(Y69:AV69)</f>
        <v>-226424.1</v>
      </c>
      <c r="AX69" s="759"/>
      <c r="AY69" s="743">
        <v>0</v>
      </c>
      <c r="AZ69" s="743">
        <v>0</v>
      </c>
      <c r="BA69" s="756">
        <v>0</v>
      </c>
      <c r="BB69" s="743">
        <v>0</v>
      </c>
      <c r="BC69" s="743">
        <v>0</v>
      </c>
      <c r="BD69" s="743">
        <v>0</v>
      </c>
      <c r="BE69" s="743">
        <v>0</v>
      </c>
      <c r="BF69" s="743">
        <f>ROUND('G-2.15,3.15-3.17,4.01,5.07 CAP'!AJ32,)</f>
        <v>-16810</v>
      </c>
      <c r="BG69" s="757">
        <v>0</v>
      </c>
      <c r="BH69" s="760">
        <f>SUM(AW69:BG69)</f>
        <v>-243234.1</v>
      </c>
      <c r="BI69" s="540">
        <f>BH69-AW69</f>
        <v>-16810</v>
      </c>
    </row>
    <row r="70" spans="1:70">
      <c r="A70" s="621">
        <v>38</v>
      </c>
      <c r="B70" s="752"/>
      <c r="C70" s="752" t="s">
        <v>61</v>
      </c>
      <c r="D70" s="752"/>
      <c r="E70" s="753">
        <f>'ROO INPUT 1.00'!$F71</f>
        <v>-62353</v>
      </c>
      <c r="F70" s="743">
        <v>0</v>
      </c>
      <c r="G70" s="743">
        <v>0</v>
      </c>
      <c r="H70" s="743">
        <v>0</v>
      </c>
      <c r="I70" s="743">
        <v>0</v>
      </c>
      <c r="J70" s="743">
        <v>0</v>
      </c>
      <c r="K70" s="743">
        <v>0</v>
      </c>
      <c r="L70" s="743">
        <v>0</v>
      </c>
      <c r="M70" s="743">
        <v>0</v>
      </c>
      <c r="N70" s="743">
        <v>0</v>
      </c>
      <c r="O70" s="743">
        <v>0</v>
      </c>
      <c r="P70" s="743">
        <v>0</v>
      </c>
      <c r="Q70" s="743">
        <v>0</v>
      </c>
      <c r="R70" s="743">
        <v>0</v>
      </c>
      <c r="S70" s="743">
        <v>0</v>
      </c>
      <c r="T70" s="754">
        <v>0</v>
      </c>
      <c r="U70" s="754">
        <v>0</v>
      </c>
      <c r="V70" s="743">
        <v>0</v>
      </c>
      <c r="W70" s="743">
        <f>ROUND(SUM('G-2.15,3.15-3.17,4.01,5.07 CAP'!C30,'G-2.15,3.15-3.17,4.01,5.07 CAP'!C33),)</f>
        <v>-4319</v>
      </c>
      <c r="X70" s="754">
        <v>0</v>
      </c>
      <c r="Y70" s="755">
        <f>SUM(E70:X70)</f>
        <v>-66672</v>
      </c>
      <c r="Z70" s="743">
        <v>0</v>
      </c>
      <c r="AA70" s="743">
        <v>0</v>
      </c>
      <c r="AB70" s="743">
        <v>0</v>
      </c>
      <c r="AC70" s="743"/>
      <c r="AD70" s="756">
        <v>0</v>
      </c>
      <c r="AE70" s="743">
        <v>0</v>
      </c>
      <c r="AF70" s="743">
        <v>0</v>
      </c>
      <c r="AG70" s="743">
        <v>0</v>
      </c>
      <c r="AH70" s="743">
        <v>0</v>
      </c>
      <c r="AI70" s="743">
        <v>0</v>
      </c>
      <c r="AJ70" s="743">
        <v>0</v>
      </c>
      <c r="AK70" s="743">
        <v>0</v>
      </c>
      <c r="AL70" s="743">
        <v>0</v>
      </c>
      <c r="AM70" s="743">
        <v>0</v>
      </c>
      <c r="AN70" s="743">
        <f>ROUND('G-2.15,3.15-3.17,4.01,5.07 CAP'!J30,)+ROUND('G-2.15,3.15-3.17,4.01,5.07 CAP'!J33,)</f>
        <v>346</v>
      </c>
      <c r="AO70" s="743">
        <v>0</v>
      </c>
      <c r="AP70" s="743">
        <f>ROUND('G-2.15,3.15-3.17,4.01,5.07 CAP'!V30,)+ROUND('G-2.15,3.15-3.17,4.01,5.07 CAP'!V33,)</f>
        <v>-2995</v>
      </c>
      <c r="AQ70" s="743">
        <v>0</v>
      </c>
      <c r="AR70" s="743">
        <v>0</v>
      </c>
      <c r="AS70" s="743">
        <v>0</v>
      </c>
      <c r="AT70" s="743">
        <f>ROUND('G-2.15,3.15-3.17,4.01,5.07 CAP'!AC30,1)+ROUND('G-2.15,3.15-3.17,4.01,5.07 CAP'!AC33,1)</f>
        <v>-3713.2999999999997</v>
      </c>
      <c r="AU70" s="762">
        <v>0</v>
      </c>
      <c r="AV70" s="762">
        <v>0</v>
      </c>
      <c r="AW70" s="758">
        <f>SUM(Y70:AV70)</f>
        <v>-73034.3</v>
      </c>
      <c r="AX70" s="759"/>
      <c r="AY70" s="743">
        <v>0</v>
      </c>
      <c r="AZ70" s="743">
        <v>0</v>
      </c>
      <c r="BA70" s="756">
        <v>0</v>
      </c>
      <c r="BB70" s="743">
        <v>0</v>
      </c>
      <c r="BC70" s="743">
        <v>0</v>
      </c>
      <c r="BD70" s="743">
        <v>0</v>
      </c>
      <c r="BE70" s="743">
        <v>0</v>
      </c>
      <c r="BF70" s="743">
        <f>ROUND('G-2.15,3.15-3.17,4.01,5.07 CAP'!AJ30,1)+ROUND('G-2.15,3.15-3.17,4.01,5.07 CAP'!AJ33,1)</f>
        <v>-1691.1</v>
      </c>
      <c r="BG70" s="762">
        <v>0</v>
      </c>
      <c r="BH70" s="767">
        <f>SUM(AW70:BG70)</f>
        <v>-74725.400000000009</v>
      </c>
      <c r="BI70" s="768">
        <f>BH70-AW70</f>
        <v>-1691.1000000000058</v>
      </c>
    </row>
    <row r="71" spans="1:70">
      <c r="A71" s="621">
        <v>39</v>
      </c>
      <c r="B71" s="752" t="s">
        <v>374</v>
      </c>
      <c r="C71" s="752"/>
      <c r="E71" s="799">
        <f>SUM(E68:E70)</f>
        <v>-263836</v>
      </c>
      <c r="F71" s="800">
        <f t="shared" ref="F71:N71" si="185">SUM(F68:F70)</f>
        <v>0</v>
      </c>
      <c r="G71" s="800">
        <f t="shared" si="185"/>
        <v>0</v>
      </c>
      <c r="H71" s="800">
        <f t="shared" si="185"/>
        <v>0</v>
      </c>
      <c r="I71" s="800">
        <f t="shared" si="185"/>
        <v>0</v>
      </c>
      <c r="J71" s="800">
        <f>SUM(J68:J70)</f>
        <v>0</v>
      </c>
      <c r="K71" s="800">
        <f t="shared" si="185"/>
        <v>0</v>
      </c>
      <c r="L71" s="800">
        <f t="shared" si="185"/>
        <v>0</v>
      </c>
      <c r="M71" s="800">
        <f t="shared" si="185"/>
        <v>0</v>
      </c>
      <c r="N71" s="800">
        <f t="shared" si="185"/>
        <v>0</v>
      </c>
      <c r="O71" s="800">
        <f t="shared" ref="O71:P71" si="186">SUM(O68:O70)</f>
        <v>0</v>
      </c>
      <c r="P71" s="800">
        <f t="shared" si="186"/>
        <v>0</v>
      </c>
      <c r="Q71" s="800">
        <f t="shared" ref="Q71:T71" si="187">SUM(Q68:Q70)</f>
        <v>0</v>
      </c>
      <c r="R71" s="800">
        <f t="shared" si="187"/>
        <v>0</v>
      </c>
      <c r="S71" s="800">
        <f t="shared" si="187"/>
        <v>0</v>
      </c>
      <c r="T71" s="801">
        <f t="shared" si="187"/>
        <v>0</v>
      </c>
      <c r="U71" s="801">
        <f t="shared" ref="U71" si="188">SUM(U68:U70)</f>
        <v>0</v>
      </c>
      <c r="V71" s="800">
        <f>SUM(V68:V70)</f>
        <v>0</v>
      </c>
      <c r="W71" s="800">
        <f t="shared" ref="W71:X71" si="189">SUM(W68:W70)</f>
        <v>-12316</v>
      </c>
      <c r="X71" s="801">
        <f t="shared" si="189"/>
        <v>0</v>
      </c>
      <c r="Y71" s="802">
        <f t="shared" ref="Y71" si="190">SUM(Y68:Y70)</f>
        <v>-276152</v>
      </c>
      <c r="Z71" s="800">
        <f>SUM(Z68:Z70)</f>
        <v>0</v>
      </c>
      <c r="AA71" s="800">
        <f>SUM(AA68:AA70)</f>
        <v>0</v>
      </c>
      <c r="AB71" s="800">
        <f>SUM(AB68:AB70)</f>
        <v>0</v>
      </c>
      <c r="AC71" s="800">
        <f t="shared" ref="AC71:AI71" si="191">SUM(AC68:AC70)</f>
        <v>0</v>
      </c>
      <c r="AD71" s="803">
        <f t="shared" si="191"/>
        <v>0</v>
      </c>
      <c r="AE71" s="800">
        <f t="shared" si="191"/>
        <v>0</v>
      </c>
      <c r="AF71" s="800">
        <f t="shared" si="191"/>
        <v>0</v>
      </c>
      <c r="AG71" s="800">
        <f t="shared" ref="AG71" si="192">SUM(AG68:AG70)</f>
        <v>0</v>
      </c>
      <c r="AH71" s="800">
        <f t="shared" si="191"/>
        <v>0</v>
      </c>
      <c r="AI71" s="800">
        <f t="shared" si="191"/>
        <v>0</v>
      </c>
      <c r="AJ71" s="800">
        <f t="shared" ref="AJ71:AK71" si="193">SUM(AJ68:AJ70)</f>
        <v>0</v>
      </c>
      <c r="AK71" s="800">
        <f t="shared" si="193"/>
        <v>0</v>
      </c>
      <c r="AL71" s="800">
        <f>SUM(AL68:AL70)</f>
        <v>0</v>
      </c>
      <c r="AM71" s="800">
        <f t="shared" ref="AM71:AO71" si="194">SUM(AM68:AM70)</f>
        <v>0</v>
      </c>
      <c r="AN71" s="800">
        <f t="shared" si="194"/>
        <v>-6937.1</v>
      </c>
      <c r="AO71" s="800">
        <f t="shared" si="194"/>
        <v>0</v>
      </c>
      <c r="AP71" s="800">
        <f t="shared" ref="AP71:AQ71" si="195">SUM(AP68:AP70)</f>
        <v>-18667.7</v>
      </c>
      <c r="AQ71" s="800">
        <f t="shared" si="195"/>
        <v>0</v>
      </c>
      <c r="AR71" s="800">
        <f t="shared" ref="AR71:AS71" si="196">SUM(AR68:AR70)</f>
        <v>0</v>
      </c>
      <c r="AS71" s="800">
        <f t="shared" si="196"/>
        <v>0</v>
      </c>
      <c r="AT71" s="800">
        <f>SUM(AT68:AT70)</f>
        <v>-12185.3</v>
      </c>
      <c r="AU71" s="800">
        <f>SUM(AU68:AU70)</f>
        <v>0</v>
      </c>
      <c r="AV71" s="800">
        <f t="shared" ref="AV71" si="197">SUM(AV68:AV70)</f>
        <v>0</v>
      </c>
      <c r="AW71" s="804">
        <f t="shared" ref="AW71" si="198">SUM(AW68:AW70)</f>
        <v>-313942.10000000003</v>
      </c>
      <c r="AX71" s="759"/>
      <c r="AY71" s="800">
        <f>SUM(AY68:AY70)</f>
        <v>0</v>
      </c>
      <c r="AZ71" s="800">
        <f t="shared" ref="AZ71" si="199">SUM(AZ68:AZ70)</f>
        <v>0</v>
      </c>
      <c r="BA71" s="803">
        <f t="shared" ref="BA71:BB71" si="200">SUM(BA68:BA70)</f>
        <v>0</v>
      </c>
      <c r="BB71" s="800">
        <f t="shared" si="200"/>
        <v>0</v>
      </c>
      <c r="BC71" s="800">
        <f>SUM(BC68:BC70)</f>
        <v>0</v>
      </c>
      <c r="BD71" s="800">
        <f>SUM(BD68:BD70)</f>
        <v>0</v>
      </c>
      <c r="BE71" s="800">
        <f t="shared" ref="BE71" si="201">SUM(BE68:BE70)</f>
        <v>0</v>
      </c>
      <c r="BF71" s="800">
        <f>SUM(BF68:BF70)</f>
        <v>-19071.099999999999</v>
      </c>
      <c r="BG71" s="800">
        <f>SUM(BG68:BG70)</f>
        <v>0</v>
      </c>
      <c r="BH71" s="805">
        <f>SUM(BH68:BH70)</f>
        <v>-333013.2</v>
      </c>
      <c r="BI71" s="800">
        <f>SUM(BI68:BI70)</f>
        <v>-19071.100000000006</v>
      </c>
    </row>
    <row r="72" spans="1:70">
      <c r="A72" s="621">
        <v>40</v>
      </c>
      <c r="B72" s="752" t="s">
        <v>164</v>
      </c>
      <c r="C72" s="752"/>
      <c r="D72" s="752"/>
      <c r="E72" s="806">
        <f>E65+E71</f>
        <v>582659.39999999991</v>
      </c>
      <c r="F72" s="772">
        <f t="shared" ref="F72:AW72" si="202">F65+F71</f>
        <v>0</v>
      </c>
      <c r="G72" s="772">
        <f t="shared" si="202"/>
        <v>0</v>
      </c>
      <c r="H72" s="772">
        <f t="shared" si="202"/>
        <v>0</v>
      </c>
      <c r="I72" s="772">
        <f t="shared" si="202"/>
        <v>0</v>
      </c>
      <c r="J72" s="772">
        <f t="shared" si="202"/>
        <v>0</v>
      </c>
      <c r="K72" s="772">
        <f t="shared" si="202"/>
        <v>0</v>
      </c>
      <c r="L72" s="772">
        <f t="shared" si="202"/>
        <v>0</v>
      </c>
      <c r="M72" s="772">
        <f t="shared" si="202"/>
        <v>0</v>
      </c>
      <c r="N72" s="772">
        <f t="shared" si="202"/>
        <v>0</v>
      </c>
      <c r="O72" s="772">
        <f t="shared" si="202"/>
        <v>0</v>
      </c>
      <c r="P72" s="772">
        <f t="shared" si="202"/>
        <v>0</v>
      </c>
      <c r="Q72" s="772">
        <f t="shared" si="202"/>
        <v>0</v>
      </c>
      <c r="R72" s="772">
        <f t="shared" si="202"/>
        <v>0</v>
      </c>
      <c r="S72" s="772">
        <f t="shared" ref="S72" si="203">S65+S71</f>
        <v>0</v>
      </c>
      <c r="T72" s="807">
        <f>T65+T71</f>
        <v>0</v>
      </c>
      <c r="U72" s="807">
        <f>U65+U71</f>
        <v>0</v>
      </c>
      <c r="V72" s="772">
        <f>V65+V71</f>
        <v>0</v>
      </c>
      <c r="W72" s="772">
        <f>W65+W71</f>
        <v>12291</v>
      </c>
      <c r="X72" s="807">
        <f>X65+X71</f>
        <v>0</v>
      </c>
      <c r="Y72" s="808">
        <f t="shared" si="202"/>
        <v>594950.39999999991</v>
      </c>
      <c r="Z72" s="772">
        <f t="shared" ref="Z72" si="204">Z65+Z71</f>
        <v>0</v>
      </c>
      <c r="AA72" s="772">
        <f>AA65+AA71</f>
        <v>0</v>
      </c>
      <c r="AB72" s="772">
        <f>AB65+AB71</f>
        <v>0</v>
      </c>
      <c r="AC72" s="772">
        <f t="shared" ref="AC72:AI72" si="205">AC65+AC71</f>
        <v>0</v>
      </c>
      <c r="AD72" s="809">
        <f t="shared" si="205"/>
        <v>0</v>
      </c>
      <c r="AE72" s="772">
        <f t="shared" si="205"/>
        <v>0</v>
      </c>
      <c r="AF72" s="772">
        <f t="shared" si="205"/>
        <v>0</v>
      </c>
      <c r="AG72" s="772">
        <f t="shared" ref="AG72" si="206">AG65+AG71</f>
        <v>0</v>
      </c>
      <c r="AH72" s="772">
        <f t="shared" si="205"/>
        <v>0</v>
      </c>
      <c r="AI72" s="772">
        <f t="shared" si="205"/>
        <v>0</v>
      </c>
      <c r="AJ72" s="772">
        <f t="shared" ref="AJ72:AK72" si="207">AJ65+AJ71</f>
        <v>0</v>
      </c>
      <c r="AK72" s="772">
        <f t="shared" si="207"/>
        <v>0</v>
      </c>
      <c r="AL72" s="772">
        <f>AL65+AL71</f>
        <v>0</v>
      </c>
      <c r="AM72" s="772">
        <f t="shared" ref="AM72" si="208">AM65+AM71</f>
        <v>0</v>
      </c>
      <c r="AN72" s="772">
        <f>AN65+AN71</f>
        <v>18525.900000000001</v>
      </c>
      <c r="AO72" s="772">
        <f t="shared" ref="AO72" si="209">AO65+AO71</f>
        <v>0</v>
      </c>
      <c r="AP72" s="772">
        <f t="shared" ref="AP72:AQ72" si="210">AP65+AP71</f>
        <v>25347.3</v>
      </c>
      <c r="AQ72" s="772">
        <f t="shared" si="210"/>
        <v>0</v>
      </c>
      <c r="AR72" s="772">
        <f>AR65+AR71</f>
        <v>0</v>
      </c>
      <c r="AS72" s="772">
        <f>AS65+AS71</f>
        <v>0</v>
      </c>
      <c r="AT72" s="772">
        <f t="shared" ref="AT72:AU72" si="211">AT65+AT71</f>
        <v>4443.7000000000007</v>
      </c>
      <c r="AU72" s="772">
        <f t="shared" si="211"/>
        <v>0</v>
      </c>
      <c r="AV72" s="772">
        <f t="shared" ref="AV72" si="212">AV65+AV71</f>
        <v>0</v>
      </c>
      <c r="AW72" s="758">
        <f t="shared" si="202"/>
        <v>643267.29999999981</v>
      </c>
      <c r="AX72" s="759"/>
      <c r="AY72" s="772">
        <f>AY65+AY71</f>
        <v>0</v>
      </c>
      <c r="AZ72" s="772">
        <f t="shared" ref="AZ72:BC72" si="213">AZ65+AZ71</f>
        <v>0</v>
      </c>
      <c r="BA72" s="809">
        <f t="shared" si="213"/>
        <v>0</v>
      </c>
      <c r="BB72" s="772">
        <f t="shared" si="213"/>
        <v>0</v>
      </c>
      <c r="BC72" s="772">
        <f t="shared" si="213"/>
        <v>0</v>
      </c>
      <c r="BD72" s="772">
        <f>BD65+BD71</f>
        <v>0</v>
      </c>
      <c r="BE72" s="772">
        <f t="shared" ref="BE72" si="214">BE65+BE71</f>
        <v>0</v>
      </c>
      <c r="BF72" s="772">
        <f>BF65+BF71</f>
        <v>17198.900000000001</v>
      </c>
      <c r="BG72" s="772">
        <f t="shared" ref="BG72" si="215">BG65+BG71</f>
        <v>0</v>
      </c>
      <c r="BH72" s="810">
        <f>BH65+BH71</f>
        <v>660466.19999999995</v>
      </c>
      <c r="BI72" s="772">
        <f>BI65+BI71</f>
        <v>17198.899999999994</v>
      </c>
    </row>
    <row r="73" spans="1:70" s="813" customFormat="1" ht="13.5" customHeight="1">
      <c r="A73" s="811">
        <v>41</v>
      </c>
      <c r="B73" s="812" t="s">
        <v>109</v>
      </c>
      <c r="C73" s="812"/>
      <c r="D73" s="812"/>
      <c r="E73" s="761">
        <f>'ROO INPUT 1.00'!$F74</f>
        <v>-84772</v>
      </c>
      <c r="F73" s="762">
        <f>ROUND(('G-1.01 DFIT'!E28/1000),)</f>
        <v>565</v>
      </c>
      <c r="G73" s="762">
        <v>0</v>
      </c>
      <c r="H73" s="762">
        <v>0</v>
      </c>
      <c r="I73" s="762">
        <v>0</v>
      </c>
      <c r="J73" s="762">
        <v>0</v>
      </c>
      <c r="K73" s="762">
        <v>0</v>
      </c>
      <c r="L73" s="762">
        <v>0</v>
      </c>
      <c r="M73" s="762">
        <v>0</v>
      </c>
      <c r="N73" s="762">
        <v>0</v>
      </c>
      <c r="O73" s="762">
        <v>0</v>
      </c>
      <c r="P73" s="762">
        <v>0</v>
      </c>
      <c r="Q73" s="762">
        <v>0</v>
      </c>
      <c r="R73" s="762">
        <v>0</v>
      </c>
      <c r="S73" s="762">
        <v>0</v>
      </c>
      <c r="T73" s="763">
        <v>0</v>
      </c>
      <c r="U73" s="763">
        <v>0</v>
      </c>
      <c r="V73" s="762">
        <v>0</v>
      </c>
      <c r="W73" s="762">
        <f>ROUND('G-2.15,3.15-3.17,4.01,5.07 CAP'!C41,)</f>
        <v>117</v>
      </c>
      <c r="X73" s="763">
        <v>0</v>
      </c>
      <c r="Y73" s="764">
        <f>SUM(E73:X73)</f>
        <v>-84090</v>
      </c>
      <c r="Z73" s="762">
        <v>0</v>
      </c>
      <c r="AA73" s="762"/>
      <c r="AB73" s="762"/>
      <c r="AC73" s="762">
        <v>0</v>
      </c>
      <c r="AD73" s="765"/>
      <c r="AE73" s="762"/>
      <c r="AF73" s="762"/>
      <c r="AG73" s="762"/>
      <c r="AH73" s="762"/>
      <c r="AI73" s="762">
        <v>0</v>
      </c>
      <c r="AJ73" s="762">
        <v>0</v>
      </c>
      <c r="AK73" s="762"/>
      <c r="AL73" s="762"/>
      <c r="AM73" s="762"/>
      <c r="AN73" s="762">
        <f>ROUND('G-2.15,3.15-3.17,4.01,5.07 CAP'!J41,)</f>
        <v>598</v>
      </c>
      <c r="AO73" s="762"/>
      <c r="AP73" s="762">
        <f>ROUND('G-2.15,3.15-3.17,4.01,5.07 CAP'!V41,)</f>
        <v>45</v>
      </c>
      <c r="AQ73" s="762">
        <v>0</v>
      </c>
      <c r="AR73" s="762">
        <v>0</v>
      </c>
      <c r="AS73" s="762">
        <v>0</v>
      </c>
      <c r="AT73" s="762">
        <f>ROUND('G-2.15,3.15-3.17,4.01,5.07 CAP'!AC41,)</f>
        <v>-1565</v>
      </c>
      <c r="AU73" s="762"/>
      <c r="AV73" s="762"/>
      <c r="AW73" s="766">
        <f>SUM(Y73:AV73)</f>
        <v>-85012</v>
      </c>
      <c r="AX73" s="759"/>
      <c r="AY73" s="762"/>
      <c r="AZ73" s="762">
        <v>0</v>
      </c>
      <c r="BA73" s="765"/>
      <c r="BB73" s="762"/>
      <c r="BC73" s="762">
        <v>0</v>
      </c>
      <c r="BD73" s="762"/>
      <c r="BE73" s="762">
        <v>0</v>
      </c>
      <c r="BF73" s="762">
        <f>ROUND('G-2.15,3.15-3.17,4.01,5.07 CAP'!AJ41,)</f>
        <v>-119</v>
      </c>
      <c r="BG73" s="762"/>
      <c r="BH73" s="767">
        <f>SUM(AW73:BG73)</f>
        <v>-85131</v>
      </c>
      <c r="BI73" s="768">
        <f>BH73-AW73</f>
        <v>-119</v>
      </c>
      <c r="BJ73" s="632"/>
      <c r="BK73" s="633"/>
      <c r="BL73" s="633"/>
      <c r="BM73" s="633"/>
      <c r="BN73" s="633"/>
      <c r="BO73" s="633"/>
      <c r="BP73" s="633"/>
      <c r="BQ73" s="633"/>
      <c r="BR73" s="633"/>
    </row>
    <row r="74" spans="1:70" s="813" customFormat="1">
      <c r="A74" s="811">
        <v>42</v>
      </c>
      <c r="B74" s="812" t="s">
        <v>191</v>
      </c>
      <c r="C74" s="812"/>
      <c r="D74" s="812"/>
      <c r="E74" s="806">
        <f>E72+E73</f>
        <v>497887.39999999991</v>
      </c>
      <c r="F74" s="772">
        <f>F72+F73</f>
        <v>565</v>
      </c>
      <c r="G74" s="772">
        <f t="shared" ref="G74:P74" si="216">G72+G73</f>
        <v>0</v>
      </c>
      <c r="H74" s="772">
        <f t="shared" si="216"/>
        <v>0</v>
      </c>
      <c r="I74" s="772">
        <f t="shared" si="216"/>
        <v>0</v>
      </c>
      <c r="J74" s="772">
        <f>J72+J73</f>
        <v>0</v>
      </c>
      <c r="K74" s="772">
        <f t="shared" si="216"/>
        <v>0</v>
      </c>
      <c r="L74" s="772">
        <f t="shared" si="216"/>
        <v>0</v>
      </c>
      <c r="M74" s="772">
        <f t="shared" si="216"/>
        <v>0</v>
      </c>
      <c r="N74" s="772">
        <f t="shared" si="216"/>
        <v>0</v>
      </c>
      <c r="O74" s="772">
        <f t="shared" si="216"/>
        <v>0</v>
      </c>
      <c r="P74" s="772">
        <f t="shared" si="216"/>
        <v>0</v>
      </c>
      <c r="Q74" s="772">
        <f t="shared" ref="Q74:Y74" si="217">Q72+Q73</f>
        <v>0</v>
      </c>
      <c r="R74" s="772">
        <f t="shared" si="217"/>
        <v>0</v>
      </c>
      <c r="S74" s="772">
        <f t="shared" si="217"/>
        <v>0</v>
      </c>
      <c r="T74" s="807">
        <f t="shared" si="217"/>
        <v>0</v>
      </c>
      <c r="U74" s="807">
        <f>U72+U73</f>
        <v>0</v>
      </c>
      <c r="V74" s="772">
        <f>V72+V73</f>
        <v>0</v>
      </c>
      <c r="W74" s="772">
        <f>W72+W73</f>
        <v>12408</v>
      </c>
      <c r="X74" s="807">
        <f>X72+X73</f>
        <v>0</v>
      </c>
      <c r="Y74" s="808">
        <f t="shared" si="217"/>
        <v>510860.39999999991</v>
      </c>
      <c r="Z74" s="772">
        <f>Z72+Z73</f>
        <v>0</v>
      </c>
      <c r="AA74" s="772">
        <f>AA72+AA73</f>
        <v>0</v>
      </c>
      <c r="AB74" s="772">
        <f>AB72+AB73</f>
        <v>0</v>
      </c>
      <c r="AC74" s="772">
        <f t="shared" ref="AC74:AI74" si="218">AC72+AC73</f>
        <v>0</v>
      </c>
      <c r="AD74" s="809">
        <f t="shared" si="218"/>
        <v>0</v>
      </c>
      <c r="AE74" s="772">
        <f t="shared" si="218"/>
        <v>0</v>
      </c>
      <c r="AF74" s="772">
        <f t="shared" si="218"/>
        <v>0</v>
      </c>
      <c r="AG74" s="772">
        <f t="shared" ref="AG74" si="219">AG72+AG73</f>
        <v>0</v>
      </c>
      <c r="AH74" s="772">
        <f t="shared" si="218"/>
        <v>0</v>
      </c>
      <c r="AI74" s="772">
        <f t="shared" si="218"/>
        <v>0</v>
      </c>
      <c r="AJ74" s="772">
        <f t="shared" ref="AJ74:AK74" si="220">AJ72+AJ73</f>
        <v>0</v>
      </c>
      <c r="AK74" s="772">
        <f t="shared" si="220"/>
        <v>0</v>
      </c>
      <c r="AL74" s="772">
        <f>AL72+AL73</f>
        <v>0</v>
      </c>
      <c r="AM74" s="772">
        <f t="shared" ref="AM74" si="221">AM72+AM73</f>
        <v>0</v>
      </c>
      <c r="AN74" s="772">
        <f>AN72+AN73</f>
        <v>19123.900000000001</v>
      </c>
      <c r="AO74" s="772">
        <f t="shared" ref="AO74" si="222">AO72+AO73</f>
        <v>0</v>
      </c>
      <c r="AP74" s="772">
        <f t="shared" ref="AP74:AQ74" si="223">AP72+AP73</f>
        <v>25392.3</v>
      </c>
      <c r="AQ74" s="772">
        <f t="shared" si="223"/>
        <v>0</v>
      </c>
      <c r="AR74" s="772">
        <f>AR72+AR73</f>
        <v>0</v>
      </c>
      <c r="AS74" s="772">
        <f>AS72+AS73</f>
        <v>0</v>
      </c>
      <c r="AT74" s="772">
        <f>AT72+AT73</f>
        <v>2878.7000000000007</v>
      </c>
      <c r="AU74" s="772">
        <f>AU72+AU73</f>
        <v>0</v>
      </c>
      <c r="AV74" s="772">
        <f t="shared" ref="AV74" si="224">AV72+AV73</f>
        <v>0</v>
      </c>
      <c r="AW74" s="758">
        <f t="shared" ref="AW74" si="225">AW72+AW73</f>
        <v>558255.29999999981</v>
      </c>
      <c r="AX74" s="759"/>
      <c r="AY74" s="772">
        <f>AY72+AY73</f>
        <v>0</v>
      </c>
      <c r="AZ74" s="772">
        <f t="shared" ref="AZ74" si="226">AZ72+AZ73</f>
        <v>0</v>
      </c>
      <c r="BA74" s="772">
        <f t="shared" ref="BA74:BI74" si="227">BA72+BA73</f>
        <v>0</v>
      </c>
      <c r="BB74" s="772">
        <f t="shared" si="227"/>
        <v>0</v>
      </c>
      <c r="BC74" s="772">
        <f t="shared" si="227"/>
        <v>0</v>
      </c>
      <c r="BD74" s="772">
        <f t="shared" ref="BD74:BG74" si="228">BD72+BD73</f>
        <v>0</v>
      </c>
      <c r="BE74" s="772">
        <f t="shared" si="228"/>
        <v>0</v>
      </c>
      <c r="BF74" s="772">
        <f t="shared" si="228"/>
        <v>17079.900000000001</v>
      </c>
      <c r="BG74" s="772">
        <f t="shared" si="228"/>
        <v>0</v>
      </c>
      <c r="BH74" s="810">
        <f t="shared" si="227"/>
        <v>575335.19999999995</v>
      </c>
      <c r="BI74" s="772">
        <f t="shared" si="227"/>
        <v>17079.899999999994</v>
      </c>
      <c r="BJ74" s="632"/>
      <c r="BK74" s="633"/>
      <c r="BL74" s="633"/>
      <c r="BM74" s="633"/>
      <c r="BN74" s="633"/>
      <c r="BO74" s="633"/>
      <c r="BP74" s="633"/>
      <c r="BQ74" s="633"/>
      <c r="BR74" s="633"/>
    </row>
    <row r="75" spans="1:70">
      <c r="A75" s="621">
        <v>43</v>
      </c>
      <c r="B75" s="752" t="s">
        <v>65</v>
      </c>
      <c r="C75" s="752"/>
      <c r="D75" s="752"/>
      <c r="E75" s="753">
        <f>'ROO INPUT 1.00'!$F76</f>
        <v>19552</v>
      </c>
      <c r="F75" s="743">
        <v>0</v>
      </c>
      <c r="G75" s="743">
        <v>0</v>
      </c>
      <c r="H75" s="743">
        <v>0</v>
      </c>
      <c r="I75" s="743">
        <v>0</v>
      </c>
      <c r="J75" s="743">
        <v>0</v>
      </c>
      <c r="K75" s="743">
        <v>0</v>
      </c>
      <c r="L75" s="743">
        <v>0</v>
      </c>
      <c r="M75" s="743">
        <v>0</v>
      </c>
      <c r="N75" s="743">
        <v>0</v>
      </c>
      <c r="O75" s="743">
        <v>0</v>
      </c>
      <c r="P75" s="743">
        <v>0</v>
      </c>
      <c r="Q75" s="743">
        <v>0</v>
      </c>
      <c r="R75" s="743">
        <v>0</v>
      </c>
      <c r="S75" s="743">
        <v>0</v>
      </c>
      <c r="T75" s="754">
        <v>0</v>
      </c>
      <c r="U75" s="754">
        <v>0</v>
      </c>
      <c r="V75" s="743">
        <v>0</v>
      </c>
      <c r="W75" s="743">
        <v>0</v>
      </c>
      <c r="X75" s="754">
        <v>0</v>
      </c>
      <c r="Y75" s="755">
        <f>SUM(E75:X75)</f>
        <v>19552</v>
      </c>
      <c r="Z75" s="743">
        <v>0</v>
      </c>
      <c r="AA75" s="743">
        <v>0</v>
      </c>
      <c r="AB75" s="743">
        <v>0</v>
      </c>
      <c r="AC75" s="743">
        <v>0</v>
      </c>
      <c r="AD75" s="743">
        <v>0</v>
      </c>
      <c r="AE75" s="743">
        <v>0</v>
      </c>
      <c r="AF75" s="743">
        <v>0</v>
      </c>
      <c r="AG75" s="743">
        <v>0</v>
      </c>
      <c r="AH75" s="743">
        <v>0</v>
      </c>
      <c r="AI75" s="743">
        <v>0</v>
      </c>
      <c r="AJ75" s="743">
        <v>0</v>
      </c>
      <c r="AK75" s="743">
        <v>0</v>
      </c>
      <c r="AL75" s="743">
        <v>0</v>
      </c>
      <c r="AM75" s="743">
        <v>0</v>
      </c>
      <c r="AN75" s="743">
        <v>0</v>
      </c>
      <c r="AO75" s="743">
        <v>0</v>
      </c>
      <c r="AP75" s="743">
        <v>0</v>
      </c>
      <c r="AQ75" s="743">
        <v>0</v>
      </c>
      <c r="AR75" s="743">
        <v>0</v>
      </c>
      <c r="AS75" s="743">
        <v>0</v>
      </c>
      <c r="AT75" s="743">
        <v>0</v>
      </c>
      <c r="AU75" s="757">
        <v>0</v>
      </c>
      <c r="AV75" s="757"/>
      <c r="AW75" s="758">
        <f>SUM(Y75:AV75)</f>
        <v>19552</v>
      </c>
      <c r="AX75" s="759"/>
      <c r="AY75" s="743">
        <v>0</v>
      </c>
      <c r="AZ75" s="743">
        <v>0</v>
      </c>
      <c r="BA75" s="743">
        <v>0</v>
      </c>
      <c r="BB75" s="743">
        <v>0</v>
      </c>
      <c r="BC75" s="743">
        <v>0</v>
      </c>
      <c r="BD75" s="743">
        <v>0</v>
      </c>
      <c r="BE75" s="743">
        <v>0</v>
      </c>
      <c r="BF75" s="743">
        <v>0</v>
      </c>
      <c r="BG75" s="743">
        <v>0</v>
      </c>
      <c r="BH75" s="760">
        <f>SUM(AW75:BG75)</f>
        <v>19552</v>
      </c>
      <c r="BI75" s="540">
        <f>BH75-AW75</f>
        <v>0</v>
      </c>
    </row>
    <row r="76" spans="1:70" s="813" customFormat="1">
      <c r="A76" s="811">
        <v>44</v>
      </c>
      <c r="B76" s="812" t="s">
        <v>66</v>
      </c>
      <c r="C76" s="812"/>
      <c r="D76" s="812"/>
      <c r="E76" s="753">
        <f>'ROO INPUT 1.00'!$F77</f>
        <v>0</v>
      </c>
      <c r="F76" s="757">
        <v>0</v>
      </c>
      <c r="G76" s="757">
        <v>0</v>
      </c>
      <c r="H76" s="757">
        <v>0</v>
      </c>
      <c r="I76" s="757">
        <v>0</v>
      </c>
      <c r="J76" s="757">
        <v>0</v>
      </c>
      <c r="K76" s="757">
        <v>0</v>
      </c>
      <c r="L76" s="757">
        <v>0</v>
      </c>
      <c r="M76" s="757">
        <v>0</v>
      </c>
      <c r="N76" s="757">
        <v>0</v>
      </c>
      <c r="O76" s="757">
        <v>0</v>
      </c>
      <c r="P76" s="757">
        <v>0</v>
      </c>
      <c r="Q76" s="757">
        <v>0</v>
      </c>
      <c r="R76" s="757">
        <v>0</v>
      </c>
      <c r="S76" s="757">
        <v>0</v>
      </c>
      <c r="T76" s="814">
        <v>0</v>
      </c>
      <c r="U76" s="814">
        <v>0</v>
      </c>
      <c r="V76" s="757">
        <v>0</v>
      </c>
      <c r="W76" s="757">
        <v>0</v>
      </c>
      <c r="X76" s="814">
        <v>0</v>
      </c>
      <c r="Y76" s="808">
        <f>SUM(E76:X76)</f>
        <v>0</v>
      </c>
      <c r="Z76" s="757">
        <v>0</v>
      </c>
      <c r="AA76" s="743">
        <v>0</v>
      </c>
      <c r="AB76" s="757">
        <v>0</v>
      </c>
      <c r="AC76" s="757">
        <v>0</v>
      </c>
      <c r="AD76" s="757">
        <v>0</v>
      </c>
      <c r="AE76" s="757">
        <v>0</v>
      </c>
      <c r="AF76" s="757">
        <v>0</v>
      </c>
      <c r="AG76" s="757">
        <v>0</v>
      </c>
      <c r="AH76" s="757">
        <v>0</v>
      </c>
      <c r="AI76" s="757">
        <v>0</v>
      </c>
      <c r="AJ76" s="757">
        <v>0</v>
      </c>
      <c r="AK76" s="757">
        <v>0</v>
      </c>
      <c r="AL76" s="757">
        <v>0</v>
      </c>
      <c r="AM76" s="757">
        <v>0</v>
      </c>
      <c r="AN76" s="757">
        <v>0</v>
      </c>
      <c r="AO76" s="757">
        <v>0</v>
      </c>
      <c r="AP76" s="757">
        <v>0</v>
      </c>
      <c r="AQ76" s="757">
        <v>0</v>
      </c>
      <c r="AR76" s="757">
        <v>0</v>
      </c>
      <c r="AS76" s="757">
        <v>0</v>
      </c>
      <c r="AT76" s="757">
        <v>0</v>
      </c>
      <c r="AU76" s="757">
        <v>0</v>
      </c>
      <c r="AV76" s="757"/>
      <c r="AW76" s="758">
        <f>SUM(Y76:AV76)</f>
        <v>0</v>
      </c>
      <c r="AX76" s="759"/>
      <c r="AY76" s="757">
        <v>0</v>
      </c>
      <c r="AZ76" s="757">
        <v>0</v>
      </c>
      <c r="BA76" s="757">
        <v>0</v>
      </c>
      <c r="BB76" s="757">
        <v>0</v>
      </c>
      <c r="BC76" s="757">
        <v>0</v>
      </c>
      <c r="BD76" s="757">
        <v>0</v>
      </c>
      <c r="BE76" s="757">
        <v>0</v>
      </c>
      <c r="BF76" s="757">
        <v>0</v>
      </c>
      <c r="BG76" s="757">
        <v>0</v>
      </c>
      <c r="BH76" s="760">
        <f>SUM(AW76:BG76)</f>
        <v>0</v>
      </c>
      <c r="BI76" s="540">
        <f>BH76-AW76</f>
        <v>0</v>
      </c>
      <c r="BJ76" s="632"/>
      <c r="BK76" s="633"/>
      <c r="BL76" s="633"/>
      <c r="BM76" s="633"/>
      <c r="BN76" s="633"/>
      <c r="BO76" s="633"/>
      <c r="BP76" s="633"/>
      <c r="BQ76" s="633"/>
      <c r="BR76" s="633"/>
    </row>
    <row r="77" spans="1:70" s="813" customFormat="1">
      <c r="A77" s="811">
        <v>45</v>
      </c>
      <c r="B77" s="812" t="s">
        <v>377</v>
      </c>
      <c r="C77" s="812"/>
      <c r="D77" s="812"/>
      <c r="E77" s="753">
        <f>'ROO INPUT 1.00'!$F78</f>
        <v>943</v>
      </c>
      <c r="F77" s="757">
        <v>0</v>
      </c>
      <c r="G77" s="757">
        <v>0</v>
      </c>
      <c r="H77" s="757">
        <v>0</v>
      </c>
      <c r="I77" s="757">
        <v>0</v>
      </c>
      <c r="J77" s="757">
        <v>0</v>
      </c>
      <c r="K77" s="757">
        <v>0</v>
      </c>
      <c r="L77" s="757">
        <v>0</v>
      </c>
      <c r="M77" s="757">
        <v>0</v>
      </c>
      <c r="N77" s="757">
        <v>0</v>
      </c>
      <c r="O77" s="757">
        <v>0</v>
      </c>
      <c r="P77" s="757">
        <v>0</v>
      </c>
      <c r="Q77" s="757">
        <v>0</v>
      </c>
      <c r="R77" s="757">
        <v>0</v>
      </c>
      <c r="S77" s="757">
        <v>0</v>
      </c>
      <c r="T77" s="757">
        <v>0</v>
      </c>
      <c r="U77" s="757">
        <v>0</v>
      </c>
      <c r="V77" s="757">
        <v>0</v>
      </c>
      <c r="W77" s="757">
        <v>0</v>
      </c>
      <c r="X77" s="757">
        <v>0</v>
      </c>
      <c r="Y77" s="808">
        <f>SUM(E77:X77)</f>
        <v>943</v>
      </c>
      <c r="Z77" s="757">
        <v>0</v>
      </c>
      <c r="AA77" s="757">
        <v>0</v>
      </c>
      <c r="AB77" s="743">
        <v>0</v>
      </c>
      <c r="AC77" s="757">
        <f>ROUND('G-3.04,5.01 PF AMI'!D6/1000,)</f>
        <v>-2141</v>
      </c>
      <c r="AD77" s="757">
        <v>0</v>
      </c>
      <c r="AE77" s="757">
        <v>0</v>
      </c>
      <c r="AF77" s="757">
        <v>0</v>
      </c>
      <c r="AG77" s="757">
        <v>0</v>
      </c>
      <c r="AH77" s="757">
        <v>0</v>
      </c>
      <c r="AI77" s="757">
        <v>0</v>
      </c>
      <c r="AJ77" s="757">
        <v>0</v>
      </c>
      <c r="AK77" s="757">
        <v>0</v>
      </c>
      <c r="AL77" s="757">
        <v>0</v>
      </c>
      <c r="AM77" s="757">
        <v>0</v>
      </c>
      <c r="AN77" s="757">
        <v>0</v>
      </c>
      <c r="AO77" s="757">
        <v>0</v>
      </c>
      <c r="AP77" s="757">
        <v>0</v>
      </c>
      <c r="AQ77" s="757">
        <v>0</v>
      </c>
      <c r="AR77" s="757">
        <v>0</v>
      </c>
      <c r="AS77" s="757">
        <v>0</v>
      </c>
      <c r="AT77" s="757">
        <v>0</v>
      </c>
      <c r="AU77" s="757">
        <v>0</v>
      </c>
      <c r="AV77" s="757"/>
      <c r="AW77" s="758">
        <f>SUM(Y77:AV77)</f>
        <v>-1198</v>
      </c>
      <c r="AX77" s="759"/>
      <c r="AY77" s="757">
        <v>0</v>
      </c>
      <c r="AZ77" s="757">
        <f>ROUND('G-3.04,5.01 PF AMI'!D27/1000,)</f>
        <v>-848</v>
      </c>
      <c r="BA77" s="757">
        <v>0</v>
      </c>
      <c r="BB77" s="757">
        <v>0</v>
      </c>
      <c r="BC77" s="757">
        <v>0</v>
      </c>
      <c r="BD77" s="757">
        <v>0</v>
      </c>
      <c r="BE77" s="757">
        <v>0</v>
      </c>
      <c r="BF77" s="757">
        <v>0</v>
      </c>
      <c r="BG77" s="757">
        <v>0</v>
      </c>
      <c r="BH77" s="760">
        <f>SUM(AW77:BG77)</f>
        <v>-2046</v>
      </c>
      <c r="BI77" s="540">
        <f>BH77-AW77</f>
        <v>-848</v>
      </c>
      <c r="BJ77" s="632"/>
      <c r="BK77" s="633"/>
      <c r="BL77" s="633"/>
      <c r="BM77" s="633"/>
      <c r="BN77" s="633"/>
      <c r="BO77" s="633"/>
      <c r="BP77" s="633"/>
      <c r="BQ77" s="633"/>
      <c r="BR77" s="633"/>
    </row>
    <row r="78" spans="1:70">
      <c r="A78" s="621">
        <v>46</v>
      </c>
      <c r="B78" s="752" t="s">
        <v>165</v>
      </c>
      <c r="C78" s="752"/>
      <c r="D78" s="752"/>
      <c r="E78" s="761">
        <f>'ROO INPUT 1.00'!$F79</f>
        <v>15047</v>
      </c>
      <c r="F78" s="762">
        <v>0</v>
      </c>
      <c r="G78" s="762">
        <v>0</v>
      </c>
      <c r="H78" s="762">
        <f>ROUND(('G-1.03 WC'!AG63/1000),)</f>
        <v>-648</v>
      </c>
      <c r="I78" s="762">
        <v>0</v>
      </c>
      <c r="J78" s="762">
        <v>0</v>
      </c>
      <c r="K78" s="762">
        <v>0</v>
      </c>
      <c r="L78" s="762">
        <v>0</v>
      </c>
      <c r="M78" s="762">
        <v>0</v>
      </c>
      <c r="N78" s="762">
        <v>0</v>
      </c>
      <c r="O78" s="762">
        <v>0</v>
      </c>
      <c r="P78" s="762">
        <v>0</v>
      </c>
      <c r="Q78" s="762">
        <v>0</v>
      </c>
      <c r="R78" s="762">
        <v>0</v>
      </c>
      <c r="S78" s="762">
        <v>0</v>
      </c>
      <c r="T78" s="763">
        <v>0</v>
      </c>
      <c r="U78" s="763">
        <v>0</v>
      </c>
      <c r="V78" s="762">
        <v>0</v>
      </c>
      <c r="W78" s="762">
        <v>0</v>
      </c>
      <c r="X78" s="763">
        <v>0</v>
      </c>
      <c r="Y78" s="764">
        <f>SUM(E78:X78)</f>
        <v>14399</v>
      </c>
      <c r="Z78" s="762">
        <v>0</v>
      </c>
      <c r="AA78" s="762">
        <v>0</v>
      </c>
      <c r="AB78" s="762">
        <v>0</v>
      </c>
      <c r="AC78" s="762">
        <v>0</v>
      </c>
      <c r="AD78" s="762">
        <v>0</v>
      </c>
      <c r="AE78" s="762">
        <v>0</v>
      </c>
      <c r="AF78" s="762">
        <v>0</v>
      </c>
      <c r="AG78" s="762">
        <v>0</v>
      </c>
      <c r="AH78" s="762">
        <v>0</v>
      </c>
      <c r="AI78" s="762">
        <v>0</v>
      </c>
      <c r="AJ78" s="762">
        <v>0</v>
      </c>
      <c r="AK78" s="762">
        <v>0</v>
      </c>
      <c r="AL78" s="762">
        <v>0</v>
      </c>
      <c r="AM78" s="762">
        <v>0</v>
      </c>
      <c r="AN78" s="762">
        <v>0</v>
      </c>
      <c r="AO78" s="762">
        <v>0</v>
      </c>
      <c r="AP78" s="762">
        <v>0</v>
      </c>
      <c r="AQ78" s="762">
        <v>0</v>
      </c>
      <c r="AR78" s="762">
        <v>0</v>
      </c>
      <c r="AS78" s="762">
        <v>0</v>
      </c>
      <c r="AT78" s="762">
        <v>0</v>
      </c>
      <c r="AU78" s="762">
        <v>0</v>
      </c>
      <c r="AV78" s="762"/>
      <c r="AW78" s="766">
        <f>SUM(Y78:AV78)</f>
        <v>14399</v>
      </c>
      <c r="AX78" s="759"/>
      <c r="AY78" s="762">
        <v>0</v>
      </c>
      <c r="AZ78" s="762">
        <v>0</v>
      </c>
      <c r="BA78" s="762">
        <v>0</v>
      </c>
      <c r="BB78" s="762">
        <v>0</v>
      </c>
      <c r="BC78" s="762">
        <v>0</v>
      </c>
      <c r="BD78" s="762">
        <v>0</v>
      </c>
      <c r="BE78" s="762">
        <v>0</v>
      </c>
      <c r="BF78" s="762">
        <v>0</v>
      </c>
      <c r="BG78" s="762">
        <v>0</v>
      </c>
      <c r="BH78" s="767">
        <f>SUM(AW78:BG78)</f>
        <v>14399</v>
      </c>
      <c r="BI78" s="768">
        <f>BH78-AW78</f>
        <v>0</v>
      </c>
    </row>
    <row r="79" spans="1:70" ht="4.5" customHeight="1">
      <c r="Y79" s="735"/>
      <c r="AU79" s="737"/>
      <c r="AV79" s="737"/>
      <c r="AW79" s="738"/>
      <c r="BF79" s="737"/>
      <c r="BG79" s="737"/>
      <c r="BH79" s="739"/>
    </row>
    <row r="80" spans="1:70" ht="2.25" customHeight="1">
      <c r="E80" s="753"/>
      <c r="F80" s="769"/>
      <c r="G80" s="769"/>
      <c r="H80" s="769"/>
      <c r="I80" s="769"/>
      <c r="J80" s="769"/>
      <c r="K80" s="769"/>
      <c r="L80" s="769"/>
      <c r="M80" s="769"/>
      <c r="N80" s="769"/>
      <c r="O80" s="769"/>
      <c r="P80" s="769"/>
      <c r="Q80" s="769"/>
      <c r="R80" s="769"/>
      <c r="S80" s="769"/>
      <c r="T80" s="770"/>
      <c r="U80" s="770"/>
      <c r="V80" s="769"/>
      <c r="W80" s="769"/>
      <c r="X80" s="770"/>
      <c r="Y80" s="755"/>
      <c r="Z80" s="769"/>
      <c r="AA80" s="769"/>
      <c r="AB80" s="769"/>
      <c r="AC80" s="769"/>
      <c r="AD80" s="771"/>
      <c r="AE80" s="769"/>
      <c r="AF80" s="769"/>
      <c r="AG80" s="769"/>
      <c r="AH80" s="769"/>
      <c r="AI80" s="769"/>
      <c r="AJ80" s="769"/>
      <c r="AK80" s="769"/>
      <c r="AL80" s="769"/>
      <c r="AM80" s="769"/>
      <c r="AN80" s="769"/>
      <c r="AO80" s="769"/>
      <c r="AP80" s="769"/>
      <c r="AQ80" s="769"/>
      <c r="AR80" s="769"/>
      <c r="AS80" s="769"/>
      <c r="AT80" s="769"/>
      <c r="AU80" s="772"/>
      <c r="AV80" s="772"/>
      <c r="AW80" s="758"/>
      <c r="AX80" s="759"/>
      <c r="AY80" s="769"/>
      <c r="AZ80" s="769"/>
      <c r="BA80" s="771"/>
      <c r="BB80" s="769"/>
      <c r="BC80" s="769"/>
      <c r="BD80" s="769"/>
      <c r="BE80" s="769"/>
      <c r="BF80" s="772"/>
      <c r="BG80" s="772"/>
      <c r="BH80" s="773"/>
      <c r="BI80" s="769"/>
    </row>
    <row r="81" spans="1:70" s="816" customFormat="1" ht="13.5" thickBot="1">
      <c r="A81" s="815">
        <v>47</v>
      </c>
      <c r="B81" s="816" t="s">
        <v>67</v>
      </c>
      <c r="E81" s="817">
        <f>E74+E75+E76+E78+E77</f>
        <v>533429.39999999991</v>
      </c>
      <c r="F81" s="818">
        <f t="shared" ref="F81:Y81" si="229">F74+F75+F76+F78+F77</f>
        <v>565</v>
      </c>
      <c r="G81" s="818">
        <f>G74+G75+G76+G78+G77</f>
        <v>0</v>
      </c>
      <c r="H81" s="818">
        <f t="shared" si="229"/>
        <v>-648</v>
      </c>
      <c r="I81" s="818">
        <f t="shared" si="229"/>
        <v>0</v>
      </c>
      <c r="J81" s="818">
        <f>J74+J75+J76+J78+J77</f>
        <v>0</v>
      </c>
      <c r="K81" s="818">
        <f t="shared" si="229"/>
        <v>0</v>
      </c>
      <c r="L81" s="818">
        <f t="shared" si="229"/>
        <v>0</v>
      </c>
      <c r="M81" s="818">
        <f t="shared" si="229"/>
        <v>0</v>
      </c>
      <c r="N81" s="818">
        <f t="shared" si="229"/>
        <v>0</v>
      </c>
      <c r="O81" s="818">
        <f t="shared" si="229"/>
        <v>0</v>
      </c>
      <c r="P81" s="818">
        <f t="shared" si="229"/>
        <v>0</v>
      </c>
      <c r="Q81" s="818">
        <f t="shared" ref="Q81:T81" si="230">Q74+Q75+Q76+Q78+Q77</f>
        <v>0</v>
      </c>
      <c r="R81" s="818">
        <f t="shared" si="230"/>
        <v>0</v>
      </c>
      <c r="S81" s="818">
        <f t="shared" si="230"/>
        <v>0</v>
      </c>
      <c r="T81" s="819">
        <f t="shared" si="230"/>
        <v>0</v>
      </c>
      <c r="U81" s="819">
        <f>U74+U75+U76+U78+U77</f>
        <v>0</v>
      </c>
      <c r="V81" s="818">
        <f>V74+V75+V76+V78+V77</f>
        <v>0</v>
      </c>
      <c r="W81" s="818">
        <f>W74+W75+W76+W78+W77</f>
        <v>12408</v>
      </c>
      <c r="X81" s="819">
        <f>X74+X75+X76+X78+X77</f>
        <v>0</v>
      </c>
      <c r="Y81" s="783">
        <f t="shared" si="229"/>
        <v>545754.39999999991</v>
      </c>
      <c r="Z81" s="818">
        <f t="shared" ref="Z81:AC81" si="231">Z74+Z75+Z76+Z78+Z77</f>
        <v>0</v>
      </c>
      <c r="AA81" s="818">
        <f t="shared" si="231"/>
        <v>0</v>
      </c>
      <c r="AB81" s="818">
        <f t="shared" si="231"/>
        <v>0</v>
      </c>
      <c r="AC81" s="818">
        <f t="shared" si="231"/>
        <v>-2141</v>
      </c>
      <c r="AD81" s="820">
        <f t="shared" ref="AD81:AI81" si="232">AD74+AD75+AD76+AD78+AD77</f>
        <v>0</v>
      </c>
      <c r="AE81" s="818">
        <f t="shared" si="232"/>
        <v>0</v>
      </c>
      <c r="AF81" s="818">
        <f t="shared" si="232"/>
        <v>0</v>
      </c>
      <c r="AG81" s="818">
        <f t="shared" ref="AG81" si="233">AG74+AG75+AG76+AG78+AG77</f>
        <v>0</v>
      </c>
      <c r="AH81" s="818">
        <f t="shared" si="232"/>
        <v>0</v>
      </c>
      <c r="AI81" s="818">
        <f t="shared" si="232"/>
        <v>0</v>
      </c>
      <c r="AJ81" s="818">
        <f t="shared" ref="AJ81:AK81" si="234">AJ74+AJ75+AJ76+AJ78+AJ77</f>
        <v>0</v>
      </c>
      <c r="AK81" s="818">
        <f t="shared" si="234"/>
        <v>0</v>
      </c>
      <c r="AL81" s="818">
        <f>AL74+AL75+AL76+AL78+AL77</f>
        <v>0</v>
      </c>
      <c r="AM81" s="818">
        <f t="shared" ref="AM81" si="235">AM74+AM75+AM76+AM78+AM77</f>
        <v>0</v>
      </c>
      <c r="AN81" s="818">
        <f>AN74+AN75+AN76+AN78+AN77</f>
        <v>19123.900000000001</v>
      </c>
      <c r="AO81" s="818">
        <f t="shared" ref="AO81" si="236">AO74+AO75+AO76+AO78+AO77</f>
        <v>0</v>
      </c>
      <c r="AP81" s="818">
        <f t="shared" ref="AP81:AQ81" si="237">AP74+AP75+AP76+AP78+AP77</f>
        <v>25392.3</v>
      </c>
      <c r="AQ81" s="818">
        <f t="shared" si="237"/>
        <v>0</v>
      </c>
      <c r="AR81" s="818">
        <f>AR74+AR75+AR76+AR78+AR77</f>
        <v>0</v>
      </c>
      <c r="AS81" s="818">
        <f>AS74+AS75+AS76+AS78+AS77</f>
        <v>0</v>
      </c>
      <c r="AT81" s="818">
        <f>AT74+AT75+AT76+AT78+AT77</f>
        <v>2878.7000000000007</v>
      </c>
      <c r="AU81" s="818">
        <f>AU74+AU75+AU76+AU78+AU77</f>
        <v>0</v>
      </c>
      <c r="AV81" s="818">
        <f t="shared" ref="AV81" si="238">AV74+AV75+AV76+AV78+AV77</f>
        <v>0</v>
      </c>
      <c r="AW81" s="785">
        <f t="shared" ref="AW81" si="239">AW74+AW75+AW76+AW78+AW77</f>
        <v>591008.29999999981</v>
      </c>
      <c r="AX81" s="749"/>
      <c r="AY81" s="818">
        <f t="shared" ref="AY81" si="240">AY74+AY75+AY76+AY78+AY77</f>
        <v>0</v>
      </c>
      <c r="AZ81" s="818">
        <f>AZ74+AZ75+AZ76+AZ78+AZ77</f>
        <v>-848</v>
      </c>
      <c r="BA81" s="820">
        <f>BA74+BA75+BA76+BA78+BA77</f>
        <v>0</v>
      </c>
      <c r="BB81" s="818">
        <f t="shared" ref="BB81" si="241">BB74+BB75+BB76+BB78+BB77</f>
        <v>0</v>
      </c>
      <c r="BC81" s="818">
        <f>BC74+BC75+BC76+BC78+BC77</f>
        <v>0</v>
      </c>
      <c r="BD81" s="818">
        <f>BD74+BD75+BD76+BD78+BD77</f>
        <v>0</v>
      </c>
      <c r="BE81" s="818">
        <f t="shared" ref="BE81" si="242">BE74+BE75+BE76+BE78+BE77</f>
        <v>0</v>
      </c>
      <c r="BF81" s="818">
        <f>BF74+BF75+BF76+BF78+BF77</f>
        <v>17079.900000000001</v>
      </c>
      <c r="BG81" s="818">
        <f>BG74+BG75+BG76+BG78+BG77</f>
        <v>0</v>
      </c>
      <c r="BH81" s="786">
        <f>BH74+BH75+BH76+BH78+BH77</f>
        <v>607240.19999999995</v>
      </c>
      <c r="BI81" s="818">
        <f>BI74+BI75+BI76+BI78+BI77</f>
        <v>16231.899999999994</v>
      </c>
      <c r="BJ81" s="821"/>
      <c r="BK81" s="531"/>
      <c r="BL81" s="531"/>
      <c r="BM81" s="531"/>
      <c r="BN81" s="531"/>
      <c r="BO81" s="531"/>
      <c r="BP81" s="531"/>
      <c r="BQ81" s="531"/>
      <c r="BR81" s="531"/>
    </row>
    <row r="82" spans="1:70" ht="12" customHeight="1" thickTop="1">
      <c r="A82" s="621">
        <v>48</v>
      </c>
      <c r="B82" s="622" t="s">
        <v>409</v>
      </c>
      <c r="E82" s="822">
        <f>ROUND(E58/E81,4)</f>
        <v>6.8199999999999997E-2</v>
      </c>
      <c r="F82" s="769"/>
      <c r="G82" s="769"/>
      <c r="H82" s="769"/>
      <c r="I82" s="769"/>
      <c r="J82" s="769"/>
      <c r="K82" s="769"/>
      <c r="L82" s="769"/>
      <c r="M82" s="769"/>
      <c r="N82" s="769"/>
      <c r="O82" s="769"/>
      <c r="P82" s="769"/>
      <c r="Q82" s="769"/>
      <c r="R82" s="769"/>
      <c r="S82" s="769"/>
      <c r="T82" s="770"/>
      <c r="U82" s="787"/>
      <c r="V82" s="769"/>
      <c r="W82" s="769"/>
      <c r="X82" s="787"/>
      <c r="Y82" s="823" t="s">
        <v>396</v>
      </c>
      <c r="Z82" s="769"/>
      <c r="AA82" s="769"/>
      <c r="AB82" s="769"/>
      <c r="AC82" s="769"/>
      <c r="AD82" s="788"/>
      <c r="AE82" s="789"/>
      <c r="AF82" s="789"/>
      <c r="AG82" s="789"/>
      <c r="AH82" s="789"/>
      <c r="AI82" s="769"/>
      <c r="AJ82" s="769"/>
      <c r="AK82" s="769"/>
      <c r="AL82" s="769"/>
      <c r="AM82" s="769"/>
      <c r="AN82" s="769"/>
      <c r="AO82" s="769"/>
      <c r="AP82" s="769"/>
      <c r="AQ82" s="769"/>
      <c r="AR82" s="769"/>
      <c r="AS82" s="769"/>
      <c r="AT82" s="759"/>
      <c r="AU82" s="759"/>
      <c r="AV82" s="759"/>
      <c r="AW82" s="824"/>
      <c r="AX82" s="825"/>
      <c r="AY82" s="769"/>
      <c r="AZ82" s="769"/>
      <c r="BA82" s="788"/>
      <c r="BB82" s="789"/>
      <c r="BC82" s="769"/>
      <c r="BD82" s="769"/>
      <c r="BE82" s="769"/>
      <c r="BF82" s="759"/>
      <c r="BG82" s="759"/>
      <c r="BH82" s="773"/>
      <c r="BI82" s="769"/>
    </row>
    <row r="83" spans="1:70">
      <c r="A83" s="621">
        <v>50</v>
      </c>
      <c r="B83" s="622" t="s">
        <v>158</v>
      </c>
      <c r="E83" s="625">
        <f>E89</f>
        <v>5582.9175884110527</v>
      </c>
      <c r="F83" s="625">
        <f t="shared" ref="F83:Y83" si="243">F89</f>
        <v>53.075464127368797</v>
      </c>
      <c r="G83" s="625">
        <f t="shared" si="243"/>
        <v>0</v>
      </c>
      <c r="H83" s="625">
        <f t="shared" si="243"/>
        <v>-60.872390715991123</v>
      </c>
      <c r="I83" s="625">
        <f t="shared" si="243"/>
        <v>-44.084294272629073</v>
      </c>
      <c r="J83" s="625">
        <f t="shared" ref="J83" si="244">J89</f>
        <v>302.29230358374224</v>
      </c>
      <c r="K83" s="625">
        <f t="shared" si="243"/>
        <v>973.00335216017027</v>
      </c>
      <c r="L83" s="625">
        <f t="shared" si="243"/>
        <v>417.75116953586598</v>
      </c>
      <c r="M83" s="625">
        <f t="shared" si="243"/>
        <v>-18.89326897398389</v>
      </c>
      <c r="N83" s="625">
        <f t="shared" si="243"/>
        <v>-134.19269805712889</v>
      </c>
      <c r="O83" s="625">
        <f t="shared" si="243"/>
        <v>-10.496260541102162</v>
      </c>
      <c r="P83" s="625">
        <f t="shared" si="243"/>
        <v>-4.1985042164408641</v>
      </c>
      <c r="Q83" s="625">
        <f t="shared" ref="Q83:T83" si="245">Q89</f>
        <v>-11.545886595212375</v>
      </c>
      <c r="R83" s="625">
        <f t="shared" si="245"/>
        <v>45.133920326739286</v>
      </c>
      <c r="S83" s="625">
        <f t="shared" si="245"/>
        <v>-10.695556627324653</v>
      </c>
      <c r="T83" s="626">
        <f t="shared" si="245"/>
        <v>-436.64443850984986</v>
      </c>
      <c r="U83" s="626">
        <f>U89</f>
        <v>262.70355770086718</v>
      </c>
      <c r="V83" s="625">
        <f>V89</f>
        <v>75.732512764914318</v>
      </c>
      <c r="W83" s="625">
        <f>W89</f>
        <v>1165.5935555617559</v>
      </c>
      <c r="X83" s="626">
        <f>X89</f>
        <v>0</v>
      </c>
      <c r="Y83" s="625">
        <f t="shared" si="243"/>
        <v>8146.5801256628238</v>
      </c>
      <c r="Z83" s="625">
        <f>Z89</f>
        <v>-2553.7401896501556</v>
      </c>
      <c r="AA83" s="625">
        <f>AA89</f>
        <v>-256.10875720289272</v>
      </c>
      <c r="AB83" s="625">
        <f>AB89</f>
        <v>180.69511817593593</v>
      </c>
      <c r="AC83" s="625">
        <f t="shared" ref="AC83:AI83" si="246">AC89</f>
        <v>-1043.9728518871348</v>
      </c>
      <c r="AD83" s="736">
        <f t="shared" si="246"/>
        <v>1954.7186005694555</v>
      </c>
      <c r="AE83" s="625">
        <f t="shared" si="246"/>
        <v>36.73691189385756</v>
      </c>
      <c r="AF83" s="625">
        <f t="shared" si="246"/>
        <v>-1717.5031123405467</v>
      </c>
      <c r="AG83" s="625">
        <f t="shared" ref="AG83" si="247">AG89</f>
        <v>387.10208875584766</v>
      </c>
      <c r="AH83" s="625">
        <f t="shared" si="246"/>
        <v>81.870832220596853</v>
      </c>
      <c r="AI83" s="625">
        <f t="shared" si="246"/>
        <v>118.51222814353041</v>
      </c>
      <c r="AJ83" s="625">
        <f t="shared" ref="AJ83:AK83" si="248">AJ89</f>
        <v>907.92653680533692</v>
      </c>
      <c r="AK83" s="625">
        <f t="shared" si="248"/>
        <v>627.67638035790924</v>
      </c>
      <c r="AL83" s="625">
        <f>AL89</f>
        <v>21.622296714670451</v>
      </c>
      <c r="AM83" s="625">
        <f t="shared" ref="AM83" si="249">AM89</f>
        <v>234.51060188746678</v>
      </c>
      <c r="AN83" s="625">
        <f>AN89</f>
        <v>3149.4456269788443</v>
      </c>
      <c r="AO83" s="625">
        <f t="shared" ref="AO83" si="250">AO89</f>
        <v>-946.97262601823695</v>
      </c>
      <c r="AP83" s="4192">
        <f t="shared" ref="AP83:AQ83" si="251">AP89</f>
        <v>4866.6400764499786</v>
      </c>
      <c r="AQ83" s="625">
        <f t="shared" si="251"/>
        <v>314.88781623306483</v>
      </c>
      <c r="AR83" s="625">
        <f>AR89</f>
        <v>186.83343763161847</v>
      </c>
      <c r="AS83" s="625">
        <f>AS89</f>
        <v>157.44390811653241</v>
      </c>
      <c r="AT83" s="625">
        <f>AT89</f>
        <v>2522.9193503213314</v>
      </c>
      <c r="AU83" s="625">
        <f>AU89</f>
        <v>-564.39127667744185</v>
      </c>
      <c r="AV83" s="625">
        <f t="shared" ref="AV83" si="252">AV89</f>
        <v>-11.545886595212375</v>
      </c>
      <c r="AW83" s="826">
        <f>AW89</f>
        <v>16801.887236547173</v>
      </c>
      <c r="AY83" s="625">
        <f>AY89</f>
        <v>0</v>
      </c>
      <c r="AZ83" s="625">
        <f t="shared" ref="AZ83" si="253">AZ89</f>
        <v>-189.87090130990671</v>
      </c>
      <c r="BA83" s="736">
        <f t="shared" ref="BA83:BB83" si="254">BA89</f>
        <v>617.39004502762918</v>
      </c>
      <c r="BB83" s="625">
        <f t="shared" si="254"/>
        <v>54.580554813731233</v>
      </c>
      <c r="BC83" s="625">
        <f>BC89</f>
        <v>30.439155569196267</v>
      </c>
      <c r="BD83" s="625">
        <f>BD89</f>
        <v>-68.225693517164046</v>
      </c>
      <c r="BE83" s="625">
        <f t="shared" ref="BE83" si="255">BE89</f>
        <v>362.60486627896938</v>
      </c>
      <c r="BF83" s="625">
        <f>BF89</f>
        <v>3414.0219009126436</v>
      </c>
      <c r="BG83" s="625">
        <f>BG89</f>
        <v>-202.45082369072438</v>
      </c>
      <c r="BH83" s="827">
        <f>BH89</f>
        <v>20820.37634063153</v>
      </c>
      <c r="BI83" s="828">
        <f>BI89</f>
        <v>4018.4891040843763</v>
      </c>
    </row>
    <row r="84" spans="1:70" s="734" customFormat="1" ht="58.5" customHeight="1">
      <c r="A84" s="661"/>
      <c r="E84" s="769"/>
      <c r="F84" s="769"/>
      <c r="G84" s="769"/>
      <c r="H84" s="769"/>
      <c r="I84" s="769"/>
      <c r="J84" s="769"/>
      <c r="K84" s="769"/>
      <c r="L84" s="769"/>
      <c r="M84" s="769"/>
      <c r="N84" s="769"/>
      <c r="O84" s="769"/>
      <c r="P84" s="769"/>
      <c r="Q84" s="769"/>
      <c r="R84" s="769"/>
      <c r="S84" s="769"/>
      <c r="T84" s="770"/>
      <c r="U84" s="829"/>
      <c r="V84" s="829"/>
      <c r="W84" s="829"/>
      <c r="X84" s="829"/>
      <c r="Y84" s="830"/>
      <c r="Z84" s="769"/>
      <c r="AA84" s="769"/>
      <c r="AB84" s="769"/>
      <c r="AC84" s="769"/>
      <c r="AD84" s="788"/>
      <c r="AE84" s="789"/>
      <c r="AF84" s="789"/>
      <c r="AG84" s="789"/>
      <c r="AH84" s="789"/>
      <c r="AI84" s="769"/>
      <c r="AJ84" s="769"/>
      <c r="AK84" s="769"/>
      <c r="AL84" s="769"/>
      <c r="AM84" s="769"/>
      <c r="AN84" s="769"/>
      <c r="AO84" s="769"/>
      <c r="AP84" s="769"/>
      <c r="AQ84" s="769"/>
      <c r="AR84" s="769"/>
      <c r="AS84" s="769"/>
      <c r="AT84" s="769"/>
      <c r="AU84" s="769"/>
      <c r="AV84" s="769"/>
      <c r="AW84" s="789"/>
      <c r="AX84" s="759"/>
      <c r="AY84" s="769"/>
      <c r="AZ84" s="769"/>
      <c r="BA84" s="788"/>
      <c r="BB84" s="789"/>
      <c r="BC84" s="769"/>
      <c r="BD84" s="769"/>
      <c r="BE84" s="769"/>
      <c r="BF84" s="769"/>
      <c r="BG84" s="769"/>
      <c r="BH84" s="789"/>
      <c r="BI84" s="769"/>
      <c r="BJ84" s="632"/>
      <c r="BK84" s="633"/>
      <c r="BL84" s="633"/>
      <c r="BM84" s="633"/>
      <c r="BN84" s="633"/>
      <c r="BO84" s="633"/>
      <c r="BP84" s="633"/>
      <c r="BQ84" s="633"/>
      <c r="BR84" s="633"/>
    </row>
    <row r="85" spans="1:70" s="734" customFormat="1" ht="21.75" customHeight="1">
      <c r="A85" s="661"/>
      <c r="E85" s="831"/>
      <c r="F85" s="769"/>
      <c r="G85" s="769"/>
      <c r="H85" s="769"/>
      <c r="I85" s="769"/>
      <c r="J85" s="769"/>
      <c r="K85" s="769"/>
      <c r="L85" s="769"/>
      <c r="M85" s="769"/>
      <c r="N85" s="769"/>
      <c r="O85" s="769"/>
      <c r="P85" s="769"/>
      <c r="Q85" s="769"/>
      <c r="R85" s="769"/>
      <c r="S85" s="769"/>
      <c r="T85" s="770"/>
      <c r="U85" s="563"/>
      <c r="V85" s="769"/>
      <c r="W85" s="769"/>
      <c r="X85" s="787"/>
      <c r="Y85" s="789"/>
      <c r="Z85" s="769"/>
      <c r="AA85" s="772"/>
      <c r="AB85" s="769"/>
      <c r="AC85" s="772"/>
      <c r="AD85" s="788"/>
      <c r="AE85" s="789"/>
      <c r="AF85" s="789"/>
      <c r="AG85" s="789"/>
      <c r="AH85" s="789"/>
      <c r="AI85" s="769"/>
      <c r="AJ85" s="769"/>
      <c r="AK85" s="769"/>
      <c r="AL85" s="769"/>
      <c r="AM85" s="772"/>
      <c r="AN85" s="769"/>
      <c r="AO85" s="772"/>
      <c r="AP85" s="772"/>
      <c r="AQ85" s="772"/>
      <c r="AR85" s="772"/>
      <c r="AS85" s="772"/>
      <c r="AT85" s="769"/>
      <c r="AU85" s="769"/>
      <c r="AV85" s="769"/>
      <c r="AW85" s="759"/>
      <c r="AX85" s="759"/>
      <c r="AY85" s="769"/>
      <c r="AZ85" s="772"/>
      <c r="BA85" s="788"/>
      <c r="BB85" s="789"/>
      <c r="BC85" s="769"/>
      <c r="BD85" s="772"/>
      <c r="BE85" s="769"/>
      <c r="BF85" s="769"/>
      <c r="BG85" s="769"/>
      <c r="BH85" s="789"/>
      <c r="BI85" s="769"/>
      <c r="BJ85" s="632"/>
      <c r="BK85" s="633"/>
      <c r="BL85" s="633"/>
      <c r="BM85" s="633"/>
      <c r="BN85" s="633"/>
      <c r="BO85" s="633"/>
      <c r="BP85" s="633"/>
      <c r="BQ85" s="633"/>
      <c r="BR85" s="633"/>
    </row>
    <row r="86" spans="1:70" s="734" customFormat="1" ht="16.5" customHeight="1">
      <c r="A86" s="832"/>
      <c r="D86" s="833" t="s">
        <v>382</v>
      </c>
      <c r="E86" s="834">
        <f>'RR SUMMARY'!O15</f>
        <v>7.6100000000000001E-2</v>
      </c>
      <c r="F86" s="769"/>
      <c r="G86" s="769"/>
      <c r="H86" s="769"/>
      <c r="I86" s="769"/>
      <c r="J86" s="769"/>
      <c r="K86" s="769"/>
      <c r="L86" s="769"/>
      <c r="M86" s="769"/>
      <c r="N86" s="769"/>
      <c r="O86" s="769"/>
      <c r="P86" s="769"/>
      <c r="Q86" s="769"/>
      <c r="R86" s="769"/>
      <c r="S86" s="769"/>
      <c r="T86" s="770"/>
      <c r="U86" s="787"/>
      <c r="V86" s="769"/>
      <c r="W86" s="769"/>
      <c r="X86" s="787"/>
      <c r="Y86" s="789"/>
      <c r="Z86" s="769"/>
      <c r="AA86" s="772"/>
      <c r="AB86" s="769"/>
      <c r="AC86" s="772"/>
      <c r="AD86" s="788"/>
      <c r="AE86" s="789"/>
      <c r="AF86" s="789"/>
      <c r="AG86" s="789"/>
      <c r="AH86" s="789"/>
      <c r="AI86" s="769"/>
      <c r="AJ86" s="769"/>
      <c r="AK86" s="769"/>
      <c r="AL86" s="769"/>
      <c r="AM86" s="772"/>
      <c r="AN86" s="769"/>
      <c r="AO86" s="772"/>
      <c r="AP86" s="772"/>
      <c r="AQ86" s="772"/>
      <c r="AR86" s="772"/>
      <c r="AS86" s="772"/>
      <c r="AT86" s="769"/>
      <c r="AU86" s="769"/>
      <c r="AV86" s="769"/>
      <c r="AW86" s="759"/>
      <c r="AX86" s="759"/>
      <c r="AY86" s="769"/>
      <c r="AZ86" s="772"/>
      <c r="BA86" s="788"/>
      <c r="BB86" s="789"/>
      <c r="BC86" s="769"/>
      <c r="BD86" s="772"/>
      <c r="BE86" s="769"/>
      <c r="BF86" s="769"/>
      <c r="BG86" s="769"/>
      <c r="BH86" s="789"/>
      <c r="BI86" s="769"/>
      <c r="BJ86" s="632"/>
      <c r="BK86" s="633"/>
      <c r="BL86" s="633"/>
      <c r="BM86" s="633"/>
      <c r="BN86" s="633"/>
      <c r="BO86" s="633"/>
      <c r="BP86" s="633"/>
      <c r="BQ86" s="633"/>
      <c r="BR86" s="633"/>
    </row>
    <row r="87" spans="1:70" s="734" customFormat="1" ht="17.25" customHeight="1">
      <c r="A87" s="661"/>
      <c r="D87" s="833" t="s">
        <v>533</v>
      </c>
      <c r="E87" s="835">
        <f>CF!E27</f>
        <v>0.75264900000000001</v>
      </c>
      <c r="F87" s="769"/>
      <c r="G87" s="769"/>
      <c r="H87" s="769"/>
      <c r="I87" s="769"/>
      <c r="J87" s="769"/>
      <c r="K87" s="769"/>
      <c r="L87" s="769"/>
      <c r="M87" s="769"/>
      <c r="N87" s="769"/>
      <c r="O87" s="769"/>
      <c r="P87" s="769"/>
      <c r="Q87" s="769"/>
      <c r="R87" s="769"/>
      <c r="S87" s="769"/>
      <c r="T87" s="770"/>
      <c r="U87" s="787"/>
      <c r="V87" s="769"/>
      <c r="W87" s="769"/>
      <c r="X87" s="787"/>
      <c r="Y87" s="789"/>
      <c r="Z87" s="769"/>
      <c r="AA87" s="769"/>
      <c r="AB87" s="769"/>
      <c r="AC87" s="769"/>
      <c r="AD87" s="788"/>
      <c r="AE87" s="789"/>
      <c r="AF87" s="789"/>
      <c r="AG87" s="789"/>
      <c r="AH87" s="789"/>
      <c r="AI87" s="769"/>
      <c r="AJ87" s="769"/>
      <c r="AK87" s="769"/>
      <c r="AL87" s="769"/>
      <c r="AM87" s="769"/>
      <c r="AN87" s="769"/>
      <c r="AO87" s="769"/>
      <c r="AP87" s="769"/>
      <c r="AQ87" s="769"/>
      <c r="AR87" s="769"/>
      <c r="AS87" s="769"/>
      <c r="AT87" s="769"/>
      <c r="AU87" s="769"/>
      <c r="AV87" s="769"/>
      <c r="AW87" s="789"/>
      <c r="AX87" s="759"/>
      <c r="AY87" s="769"/>
      <c r="AZ87" s="769"/>
      <c r="BA87" s="788"/>
      <c r="BB87" s="789"/>
      <c r="BC87" s="769"/>
      <c r="BD87" s="769"/>
      <c r="BE87" s="769"/>
      <c r="BF87" s="769"/>
      <c r="BG87" s="769"/>
      <c r="BH87" s="789"/>
      <c r="BI87" s="769"/>
      <c r="BJ87" s="632"/>
      <c r="BK87" s="633"/>
      <c r="BL87" s="633"/>
      <c r="BM87" s="633"/>
      <c r="BN87" s="633"/>
      <c r="BO87" s="633"/>
      <c r="BP87" s="633"/>
      <c r="BQ87" s="633"/>
      <c r="BR87" s="633"/>
    </row>
    <row r="88" spans="1:70" s="734" customFormat="1">
      <c r="A88" s="661"/>
      <c r="D88" s="833" t="s">
        <v>153</v>
      </c>
      <c r="E88" s="624">
        <f t="shared" ref="E88:AV88" si="256">E81*$E$86-E58</f>
        <v>4201.9773399999904</v>
      </c>
      <c r="F88" s="624">
        <f t="shared" si="256"/>
        <v>39.947195000000001</v>
      </c>
      <c r="G88" s="624">
        <f t="shared" si="256"/>
        <v>0</v>
      </c>
      <c r="H88" s="624">
        <f t="shared" si="256"/>
        <v>-45.815544000000003</v>
      </c>
      <c r="I88" s="624">
        <f t="shared" si="256"/>
        <v>-33.18</v>
      </c>
      <c r="J88" s="624">
        <f t="shared" si="256"/>
        <v>227.52</v>
      </c>
      <c r="K88" s="624">
        <f t="shared" si="256"/>
        <v>732.33</v>
      </c>
      <c r="L88" s="624">
        <f t="shared" si="256"/>
        <v>314.42</v>
      </c>
      <c r="M88" s="624">
        <f t="shared" si="256"/>
        <v>-14.22</v>
      </c>
      <c r="N88" s="624">
        <f t="shared" si="256"/>
        <v>-101</v>
      </c>
      <c r="O88" s="624">
        <f t="shared" si="256"/>
        <v>-7.9</v>
      </c>
      <c r="P88" s="624">
        <f t="shared" si="256"/>
        <v>-3.16</v>
      </c>
      <c r="Q88" s="624">
        <f t="shared" si="256"/>
        <v>-8.69</v>
      </c>
      <c r="R88" s="624">
        <f t="shared" si="256"/>
        <v>33.97</v>
      </c>
      <c r="S88" s="624">
        <f t="shared" si="256"/>
        <v>-8.0499999999992724</v>
      </c>
      <c r="T88" s="836">
        <f t="shared" si="256"/>
        <v>-328.64</v>
      </c>
      <c r="U88" s="836">
        <f t="shared" si="256"/>
        <v>197.72357</v>
      </c>
      <c r="V88" s="624">
        <f t="shared" si="256"/>
        <v>57</v>
      </c>
      <c r="W88" s="624">
        <f>W81*$E$86-W58</f>
        <v>877.28282400000001</v>
      </c>
      <c r="X88" s="836">
        <f t="shared" ref="X88" si="257">X81*$E$86-X58</f>
        <v>0</v>
      </c>
      <c r="Y88" s="624">
        <f t="shared" si="256"/>
        <v>6131.5153849999988</v>
      </c>
      <c r="Z88" s="624">
        <f t="shared" si="256"/>
        <v>-1922.07</v>
      </c>
      <c r="AA88" s="624">
        <f t="shared" ref="AA88:AB88" si="258">AA81*$E$86-AA58</f>
        <v>-192.76</v>
      </c>
      <c r="AB88" s="624">
        <f t="shared" si="258"/>
        <v>136</v>
      </c>
      <c r="AC88" s="624">
        <f t="shared" ref="AC88:AH88" si="259">AC81*$E$86-AC58</f>
        <v>-785.74512300000004</v>
      </c>
      <c r="AD88" s="837">
        <f t="shared" si="259"/>
        <v>1471.2170000000001</v>
      </c>
      <c r="AE88" s="624">
        <f t="shared" si="259"/>
        <v>27.65</v>
      </c>
      <c r="AF88" s="624">
        <f t="shared" si="259"/>
        <v>-1292.6770000000001</v>
      </c>
      <c r="AG88" s="624">
        <f t="shared" ref="AG88" si="260">AG81*$E$86-AG58</f>
        <v>291.35199999999998</v>
      </c>
      <c r="AH88" s="624">
        <f t="shared" si="259"/>
        <v>61.620000000000005</v>
      </c>
      <c r="AI88" s="624">
        <f>AI81*$E$86-AI58</f>
        <v>89.198110000000014</v>
      </c>
      <c r="AJ88" s="624">
        <f>AJ81*$E$86-AJ58</f>
        <v>683.35</v>
      </c>
      <c r="AK88" s="624">
        <f t="shared" ref="AK88:AO88" si="261">AK81*$E$86-AK58</f>
        <v>472.42</v>
      </c>
      <c r="AL88" s="624">
        <f t="shared" si="261"/>
        <v>16.274000000000001</v>
      </c>
      <c r="AM88" s="624">
        <f t="shared" si="261"/>
        <v>176.50416999999999</v>
      </c>
      <c r="AN88" s="624">
        <f t="shared" si="261"/>
        <v>2370.4271017000001</v>
      </c>
      <c r="AO88" s="624">
        <f t="shared" si="261"/>
        <v>-712.73800000000006</v>
      </c>
      <c r="AP88" s="624">
        <f t="shared" ref="AP88:AQ88" si="262">AP81*$E$86-AP58</f>
        <v>3662.8717869000002</v>
      </c>
      <c r="AQ88" s="624">
        <f t="shared" si="262"/>
        <v>237</v>
      </c>
      <c r="AR88" s="624">
        <f t="shared" ref="AR88:AS88" si="263">AR81*$E$86-AR58</f>
        <v>140.62</v>
      </c>
      <c r="AS88" s="624">
        <f t="shared" si="263"/>
        <v>118.5</v>
      </c>
      <c r="AT88" s="624">
        <f t="shared" ref="AT88:AU88" si="264">AT81*$E$86-AT58</f>
        <v>1898.8727260999999</v>
      </c>
      <c r="AU88" s="624">
        <f t="shared" si="264"/>
        <v>-424.78852999999998</v>
      </c>
      <c r="AV88" s="624">
        <f t="shared" si="256"/>
        <v>-8.69</v>
      </c>
      <c r="AW88" s="838">
        <f>AW81*$E$86-AW58</f>
        <v>12645.923626699994</v>
      </c>
      <c r="AX88" s="839"/>
      <c r="AY88" s="624">
        <f>AY81*$E$86-AY58</f>
        <v>0</v>
      </c>
      <c r="AZ88" s="624">
        <f t="shared" ref="AZ88:BC88" si="265">AZ81*$E$86-AZ58</f>
        <v>-142.90614399999998</v>
      </c>
      <c r="BA88" s="837">
        <f t="shared" si="265"/>
        <v>464.67800000000005</v>
      </c>
      <c r="BB88" s="624">
        <f t="shared" si="265"/>
        <v>41.08</v>
      </c>
      <c r="BC88" s="624">
        <f t="shared" si="265"/>
        <v>22.91</v>
      </c>
      <c r="BD88" s="624">
        <f>BD81*$E$86-BD58</f>
        <v>-51.35</v>
      </c>
      <c r="BE88" s="624">
        <f t="shared" ref="BE88" si="266">BE81*$E$86-BE58</f>
        <v>272.91419000000002</v>
      </c>
      <c r="BF88" s="624">
        <f t="shared" ref="BF88" si="267">BF81*$E$86-BF58</f>
        <v>2569.5601697000002</v>
      </c>
      <c r="BG88" s="624">
        <f t="shared" ref="BG88" si="268">BG81*$E$86-BG58</f>
        <v>-152.37441000000001</v>
      </c>
      <c r="BH88" s="838">
        <f>BH81*$E$86-BH58</f>
        <v>15670.43543239998</v>
      </c>
      <c r="BI88" s="624">
        <f>BI81*$E$86-BI58</f>
        <v>3024.5118057000018</v>
      </c>
      <c r="BJ88" s="632"/>
      <c r="BK88" s="633"/>
      <c r="BL88" s="633"/>
      <c r="BM88" s="633"/>
      <c r="BN88" s="633"/>
      <c r="BO88" s="633"/>
      <c r="BP88" s="633"/>
      <c r="BQ88" s="633"/>
      <c r="BR88" s="633"/>
    </row>
    <row r="89" spans="1:70" s="734" customFormat="1">
      <c r="A89" s="661"/>
      <c r="D89" s="833" t="s">
        <v>470</v>
      </c>
      <c r="E89" s="624">
        <f>E88/$E$87</f>
        <v>5582.9175884110527</v>
      </c>
      <c r="F89" s="624">
        <f>F88/$E$87</f>
        <v>53.075464127368797</v>
      </c>
      <c r="G89" s="624">
        <f>G88/$E$87</f>
        <v>0</v>
      </c>
      <c r="H89" s="624">
        <f>H88/$E$87</f>
        <v>-60.872390715991123</v>
      </c>
      <c r="I89" s="624">
        <f t="shared" ref="I89:P89" si="269">I88/$E$87</f>
        <v>-44.084294272629073</v>
      </c>
      <c r="J89" s="624">
        <f>J88/$E$87</f>
        <v>302.29230358374224</v>
      </c>
      <c r="K89" s="624">
        <f t="shared" si="269"/>
        <v>973.00335216017027</v>
      </c>
      <c r="L89" s="624">
        <f t="shared" si="269"/>
        <v>417.75116953586598</v>
      </c>
      <c r="M89" s="624">
        <f t="shared" si="269"/>
        <v>-18.89326897398389</v>
      </c>
      <c r="N89" s="624">
        <f t="shared" si="269"/>
        <v>-134.19269805712889</v>
      </c>
      <c r="O89" s="624">
        <f t="shared" si="269"/>
        <v>-10.496260541102162</v>
      </c>
      <c r="P89" s="624">
        <f t="shared" si="269"/>
        <v>-4.1985042164408641</v>
      </c>
      <c r="Q89" s="624">
        <f t="shared" ref="Q89:R89" si="270">Q88/$E$87</f>
        <v>-11.545886595212375</v>
      </c>
      <c r="R89" s="624">
        <f t="shared" si="270"/>
        <v>45.133920326739286</v>
      </c>
      <c r="S89" s="624">
        <f t="shared" ref="S89" si="271">S88/$E$87</f>
        <v>-10.695556627324653</v>
      </c>
      <c r="T89" s="836">
        <f>T88/$E$87</f>
        <v>-436.64443850984986</v>
      </c>
      <c r="U89" s="836">
        <f>U88/$E$87</f>
        <v>262.70355770086718</v>
      </c>
      <c r="V89" s="624">
        <f>V88/$E$87</f>
        <v>75.732512764914318</v>
      </c>
      <c r="W89" s="624">
        <f>W88/$E$87</f>
        <v>1165.5935555617559</v>
      </c>
      <c r="X89" s="836">
        <f>X88/$E$87</f>
        <v>0</v>
      </c>
      <c r="Y89" s="624">
        <f t="shared" ref="Y89" si="272">Y88/$E$87</f>
        <v>8146.5801256628238</v>
      </c>
      <c r="Z89" s="624">
        <f>Z88/$E$87</f>
        <v>-2553.7401896501556</v>
      </c>
      <c r="AA89" s="624">
        <f>AA88/$E$87</f>
        <v>-256.10875720289272</v>
      </c>
      <c r="AB89" s="624">
        <f>AB88/$E$87</f>
        <v>180.69511817593593</v>
      </c>
      <c r="AC89" s="624">
        <f t="shared" ref="AC89:AI89" si="273">AC88/$E$87</f>
        <v>-1043.9728518871348</v>
      </c>
      <c r="AD89" s="837">
        <f t="shared" si="273"/>
        <v>1954.7186005694555</v>
      </c>
      <c r="AE89" s="624">
        <f t="shared" si="273"/>
        <v>36.73691189385756</v>
      </c>
      <c r="AF89" s="624">
        <f t="shared" si="273"/>
        <v>-1717.5031123405467</v>
      </c>
      <c r="AG89" s="624">
        <f t="shared" ref="AG89" si="274">AG88/$E$87</f>
        <v>387.10208875584766</v>
      </c>
      <c r="AH89" s="624">
        <f t="shared" si="273"/>
        <v>81.870832220596853</v>
      </c>
      <c r="AI89" s="624">
        <f t="shared" si="273"/>
        <v>118.51222814353041</v>
      </c>
      <c r="AJ89" s="624">
        <f t="shared" ref="AJ89:AK89" si="275">AJ88/$E$87</f>
        <v>907.92653680533692</v>
      </c>
      <c r="AK89" s="624">
        <f t="shared" si="275"/>
        <v>627.67638035790924</v>
      </c>
      <c r="AL89" s="624">
        <f>AL88/$E$87</f>
        <v>21.622296714670451</v>
      </c>
      <c r="AM89" s="624">
        <f t="shared" ref="AM89" si="276">AM88/$E$87</f>
        <v>234.51060188746678</v>
      </c>
      <c r="AN89" s="624">
        <f>AN88/$E$87</f>
        <v>3149.4456269788443</v>
      </c>
      <c r="AO89" s="624">
        <f t="shared" ref="AO89" si="277">AO88/$E$87</f>
        <v>-946.97262601823695</v>
      </c>
      <c r="AP89" s="624">
        <f t="shared" ref="AP89:AQ89" si="278">AP88/$E$87</f>
        <v>4866.6400764499786</v>
      </c>
      <c r="AQ89" s="624">
        <f t="shared" si="278"/>
        <v>314.88781623306483</v>
      </c>
      <c r="AR89" s="624">
        <f>AR88/$E$87</f>
        <v>186.83343763161847</v>
      </c>
      <c r="AS89" s="624">
        <f>AS88/$E$87</f>
        <v>157.44390811653241</v>
      </c>
      <c r="AT89" s="624">
        <f>AT88/$E$87</f>
        <v>2522.9193503213314</v>
      </c>
      <c r="AU89" s="624">
        <f>AU88/$E$87</f>
        <v>-564.39127667744185</v>
      </c>
      <c r="AV89" s="624">
        <f t="shared" ref="AV89" si="279">AV88/$E$87</f>
        <v>-11.545886595212375</v>
      </c>
      <c r="AW89" s="838">
        <f>AW88/$E$87</f>
        <v>16801.887236547173</v>
      </c>
      <c r="AX89" s="839"/>
      <c r="AY89" s="624">
        <f>AY88/$E$87</f>
        <v>0</v>
      </c>
      <c r="AZ89" s="624">
        <f t="shared" ref="AZ89" si="280">AZ88/$E$87</f>
        <v>-189.87090130990671</v>
      </c>
      <c r="BA89" s="837">
        <f t="shared" ref="BA89:BB89" si="281">BA88/$E$87</f>
        <v>617.39004502762918</v>
      </c>
      <c r="BB89" s="624">
        <f t="shared" si="281"/>
        <v>54.580554813731233</v>
      </c>
      <c r="BC89" s="624">
        <f>BC88/$E$87</f>
        <v>30.439155569196267</v>
      </c>
      <c r="BD89" s="624">
        <f>BD88/$E$87</f>
        <v>-68.225693517164046</v>
      </c>
      <c r="BE89" s="624">
        <f t="shared" ref="BE89" si="282">BE88/$E$87</f>
        <v>362.60486627896938</v>
      </c>
      <c r="BF89" s="624">
        <f>BF88/$E$87</f>
        <v>3414.0219009126436</v>
      </c>
      <c r="BG89" s="624">
        <f>BG88/$E$87</f>
        <v>-202.45082369072438</v>
      </c>
      <c r="BH89" s="838">
        <f>BH88/$E$87</f>
        <v>20820.37634063153</v>
      </c>
      <c r="BI89" s="624">
        <f>BI88/$E$87</f>
        <v>4018.4891040843763</v>
      </c>
      <c r="BJ89" s="632"/>
      <c r="BK89" s="633"/>
      <c r="BL89" s="633"/>
      <c r="BM89" s="633"/>
      <c r="BN89" s="633"/>
      <c r="BO89" s="633"/>
      <c r="BP89" s="633"/>
      <c r="BQ89" s="633"/>
      <c r="BR89" s="633"/>
    </row>
    <row r="90" spans="1:70" s="734" customFormat="1">
      <c r="A90" s="661"/>
      <c r="E90" s="840"/>
      <c r="F90" s="840"/>
      <c r="G90" s="840"/>
      <c r="H90" s="840"/>
      <c r="I90" s="840"/>
      <c r="J90" s="840"/>
      <c r="K90" s="840"/>
      <c r="L90" s="840"/>
      <c r="M90" s="840"/>
      <c r="N90" s="840"/>
      <c r="O90" s="840"/>
      <c r="P90" s="840"/>
      <c r="Q90" s="840"/>
      <c r="R90" s="840"/>
      <c r="S90" s="840"/>
      <c r="T90" s="841"/>
      <c r="U90" s="841"/>
      <c r="V90" s="840"/>
      <c r="W90" s="840"/>
      <c r="X90" s="841"/>
      <c r="Y90" s="628"/>
      <c r="Z90" s="840"/>
      <c r="AA90" s="840"/>
      <c r="AB90" s="840"/>
      <c r="AC90" s="840"/>
      <c r="AD90" s="842"/>
      <c r="AE90" s="840"/>
      <c r="AF90" s="840"/>
      <c r="AG90" s="840"/>
      <c r="AH90" s="840"/>
      <c r="AI90" s="840"/>
      <c r="AJ90" s="840"/>
      <c r="AK90" s="840"/>
      <c r="AL90" s="840"/>
      <c r="AM90" s="840"/>
      <c r="AN90" s="840"/>
      <c r="AO90" s="840"/>
      <c r="AP90" s="840"/>
      <c r="AQ90" s="840"/>
      <c r="AR90" s="840"/>
      <c r="AS90" s="840"/>
      <c r="AT90" s="840"/>
      <c r="AU90" s="840"/>
      <c r="AV90" s="840"/>
      <c r="AW90" s="843"/>
      <c r="AX90" s="844"/>
      <c r="AY90" s="840"/>
      <c r="AZ90" s="840"/>
      <c r="BA90" s="842"/>
      <c r="BB90" s="840"/>
      <c r="BC90" s="840"/>
      <c r="BD90" s="840"/>
      <c r="BE90" s="840"/>
      <c r="BF90" s="840"/>
      <c r="BG90" s="840"/>
      <c r="BH90" s="843"/>
      <c r="BI90" s="840"/>
      <c r="BJ90" s="632"/>
      <c r="BK90" s="633"/>
      <c r="BL90" s="633"/>
      <c r="BM90" s="633"/>
      <c r="BN90" s="633"/>
      <c r="BO90" s="633"/>
      <c r="BP90" s="633"/>
      <c r="BQ90" s="633"/>
      <c r="BR90" s="633"/>
    </row>
    <row r="91" spans="1:70" s="734" customFormat="1">
      <c r="A91" s="661"/>
      <c r="D91" s="833"/>
      <c r="E91" s="840"/>
      <c r="F91" s="840"/>
      <c r="G91" s="840"/>
      <c r="H91" s="840"/>
      <c r="I91" s="840"/>
      <c r="J91" s="840"/>
      <c r="K91" s="840"/>
      <c r="L91" s="840"/>
      <c r="M91" s="840"/>
      <c r="N91" s="840"/>
      <c r="O91" s="840"/>
      <c r="P91" s="840"/>
      <c r="Q91" s="840"/>
      <c r="R91" s="840"/>
      <c r="S91" s="840"/>
      <c r="T91" s="841"/>
      <c r="U91" s="841"/>
      <c r="V91" s="840"/>
      <c r="W91" s="840"/>
      <c r="X91" s="841"/>
      <c r="Y91" s="628"/>
      <c r="Z91" s="840"/>
      <c r="AA91" s="840"/>
      <c r="AB91" s="840"/>
      <c r="AC91" s="840"/>
      <c r="AD91" s="842"/>
      <c r="AE91" s="840"/>
      <c r="AF91" s="840"/>
      <c r="AG91" s="840"/>
      <c r="AH91" s="840"/>
      <c r="AI91" s="840"/>
      <c r="AJ91" s="840"/>
      <c r="AK91" s="840"/>
      <c r="AL91" s="840"/>
      <c r="AM91" s="840"/>
      <c r="AN91" s="840"/>
      <c r="AO91" s="840"/>
      <c r="AP91" s="840"/>
      <c r="AQ91" s="840"/>
      <c r="AR91" s="840"/>
      <c r="AS91" s="840"/>
      <c r="AT91" s="840"/>
      <c r="AU91" s="840"/>
      <c r="AV91" s="840"/>
      <c r="AW91" s="843"/>
      <c r="AX91" s="844"/>
      <c r="AY91" s="840"/>
      <c r="AZ91" s="840"/>
      <c r="BA91" s="842"/>
      <c r="BB91" s="840"/>
      <c r="BC91" s="840"/>
      <c r="BD91" s="633"/>
      <c r="BE91" s="633"/>
      <c r="BF91" s="633"/>
      <c r="BG91" s="840"/>
      <c r="BH91" s="843"/>
      <c r="BI91" s="840"/>
      <c r="BJ91" s="632"/>
      <c r="BK91" s="633"/>
      <c r="BL91" s="633"/>
      <c r="BM91" s="633"/>
      <c r="BN91" s="633"/>
      <c r="BO91" s="633"/>
      <c r="BP91" s="633"/>
      <c r="BQ91" s="633"/>
      <c r="BR91" s="633"/>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H4:BH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H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69"/>
  <sheetViews>
    <sheetView zoomScaleNormal="100" workbookViewId="0">
      <pane xSplit="3" ySplit="6" topLeftCell="D7" activePane="bottomRight" state="frozen"/>
      <selection pane="topRight"/>
      <selection pane="bottomLeft"/>
      <selection pane="bottomRight" sqref="A1:G1"/>
    </sheetView>
  </sheetViews>
  <sheetFormatPr defaultColWidth="11.453125" defaultRowHeight="13" outlineLevelRow="1"/>
  <cols>
    <col min="1" max="1" width="10" style="11" customWidth="1"/>
    <col min="2" max="2" width="12.54296875" style="157" customWidth="1"/>
    <col min="3" max="3" width="41.7265625" style="11" customWidth="1"/>
    <col min="4" max="5" width="11.453125" style="11" customWidth="1"/>
    <col min="6" max="6" width="11.453125" style="247" customWidth="1"/>
    <col min="7" max="7" width="8.453125" style="216" customWidth="1"/>
    <col min="8" max="8" width="8.453125" style="494" bestFit="1" customWidth="1"/>
    <col min="9" max="9" width="16.26953125" style="25" bestFit="1" customWidth="1"/>
    <col min="10" max="10" width="10.26953125" style="478" bestFit="1" customWidth="1"/>
    <col min="11" max="11" width="8.453125" customWidth="1"/>
    <col min="12" max="12" width="8.453125" style="11" customWidth="1"/>
    <col min="13" max="16384" width="11.453125" style="11"/>
  </cols>
  <sheetData>
    <row r="1" spans="1:13">
      <c r="A1" s="3873" t="str">
        <f>'ADJ DETAIL INPUT'!A2</f>
        <v>AVISTA UTILITIES</v>
      </c>
      <c r="B1" s="3873"/>
      <c r="C1" s="3873"/>
      <c r="D1" s="3873"/>
      <c r="E1" s="3873"/>
      <c r="F1" s="3873"/>
      <c r="G1" s="3873"/>
      <c r="J1" s="497"/>
    </row>
    <row r="2" spans="1:13">
      <c r="A2" s="3874" t="s">
        <v>68</v>
      </c>
      <c r="B2" s="3874"/>
      <c r="C2" s="3874"/>
      <c r="D2" s="3874"/>
      <c r="E2" s="3874"/>
      <c r="F2" s="3874"/>
      <c r="G2" s="3874"/>
      <c r="J2" s="497"/>
    </row>
    <row r="3" spans="1:13" s="18" customFormat="1">
      <c r="A3" s="3875" t="s">
        <v>142</v>
      </c>
      <c r="B3" s="3875"/>
      <c r="C3" s="3875"/>
      <c r="D3" s="3875"/>
      <c r="E3" s="3875"/>
      <c r="F3" s="3875"/>
      <c r="G3" s="3875"/>
      <c r="H3" s="495"/>
      <c r="I3" s="500"/>
      <c r="J3" s="498"/>
      <c r="K3"/>
    </row>
    <row r="4" spans="1:13" s="18" customFormat="1">
      <c r="A4" s="3872" t="str">
        <f>'PROPOSED RATES-12.2024'!A3</f>
        <v>TWELVE MONTHS ENDED JUNE 30, 2023</v>
      </c>
      <c r="B4" s="3872"/>
      <c r="C4" s="3872"/>
      <c r="D4" s="3872"/>
      <c r="E4" s="3872"/>
      <c r="F4" s="3872"/>
      <c r="G4" s="3872"/>
      <c r="H4" s="495"/>
      <c r="I4" s="500"/>
      <c r="J4" s="498"/>
      <c r="K4"/>
    </row>
    <row r="5" spans="1:13" s="18" customFormat="1">
      <c r="A5" s="11"/>
      <c r="B5" s="157"/>
      <c r="C5" s="11"/>
      <c r="D5" s="3876" t="s">
        <v>68</v>
      </c>
      <c r="E5" s="3876"/>
      <c r="F5" s="3876"/>
      <c r="G5" s="450">
        <f>'RR SUMMARY'!O15</f>
        <v>7.6100000000000001E-2</v>
      </c>
      <c r="H5" s="495"/>
      <c r="I5" s="500"/>
      <c r="J5" s="498"/>
      <c r="K5"/>
    </row>
    <row r="6" spans="1:13" ht="26">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3.0493049999999999</v>
      </c>
      <c r="E9" s="80">
        <f>'ADJ DETAIL INPUT'!F$81</f>
        <v>565</v>
      </c>
      <c r="F9" s="466">
        <f>((E9*$G$5)-D9)/$G$54</f>
        <v>53.075464127368797</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5"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5"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5"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5"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328.64</v>
      </c>
      <c r="E23" s="221">
        <f>'ADJ DETAIL INPUT'!T$81</f>
        <v>0</v>
      </c>
      <c r="F23" s="466">
        <f t="shared" si="0"/>
        <v>-436.64443850984986</v>
      </c>
      <c r="G23" s="25"/>
      <c r="H23" s="494"/>
      <c r="I23" s="25" t="s">
        <v>421</v>
      </c>
      <c r="J23" s="546"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6"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35400.394455000009</v>
      </c>
      <c r="E28" s="455">
        <f>SUM(E8:E27)</f>
        <v>545754.39999999991</v>
      </c>
      <c r="F28" s="455">
        <f>SUM(F8:F27)</f>
        <v>8146.5801256628138</v>
      </c>
      <c r="G28" s="454">
        <f>D28/E28</f>
        <v>6.486506467927701E-2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6"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6"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-1471.2170000000001</v>
      </c>
      <c r="E34" s="249">
        <f>'ADJ DETAIL INPUT'!AD$81</f>
        <v>0</v>
      </c>
      <c r="F34" s="466">
        <f t="shared" si="1"/>
        <v>1954.7186005694555</v>
      </c>
      <c r="G34" s="248"/>
      <c r="I34" s="25" t="s">
        <v>574</v>
      </c>
      <c r="J34" s="547"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-27.65</v>
      </c>
      <c r="E35" s="249">
        <f>'ADJ DETAIL INPUT'!AE$81</f>
        <v>0</v>
      </c>
      <c r="F35" s="466">
        <f t="shared" si="1"/>
        <v>36.73691189385756</v>
      </c>
      <c r="G35" s="260"/>
      <c r="I35" s="494" t="s">
        <v>574</v>
      </c>
      <c r="J35" s="547"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1292.6770000000001</v>
      </c>
      <c r="E36" s="80">
        <f>'ADJ DETAIL INPUT'!AF$81</f>
        <v>0</v>
      </c>
      <c r="F36" s="466">
        <f t="shared" si="1"/>
        <v>-1717.5031123405467</v>
      </c>
      <c r="I36" s="494" t="s">
        <v>574</v>
      </c>
      <c r="J36" s="547"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4"/>
      <c r="H37" s="544"/>
      <c r="I37" s="544" t="s">
        <v>462</v>
      </c>
      <c r="J37" s="546"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-683.35</v>
      </c>
      <c r="E40" s="249">
        <f>'ADJ DETAIL INPUT'!AJ$81</f>
        <v>0</v>
      </c>
      <c r="F40" s="466">
        <f t="shared" si="1"/>
        <v>907.92653680533692</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7"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7"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-176.50416999999999</v>
      </c>
      <c r="E43" s="249">
        <f>'ADJ DETAIL INPUT'!AM$81</f>
        <v>0</v>
      </c>
      <c r="F43" s="466">
        <f t="shared" si="1"/>
        <v>234.51060188746678</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-915.09831170000007</v>
      </c>
      <c r="E44" s="249">
        <f>'ADJ DETAIL INPUT'!AN$81</f>
        <v>19123.900000000001</v>
      </c>
      <c r="F44" s="466">
        <f t="shared" si="1"/>
        <v>3149.4456269788443</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712.73800000000006</v>
      </c>
      <c r="E45" s="249">
        <f>'ADJ DETAIL INPUT'!AO$81</f>
        <v>0</v>
      </c>
      <c r="F45" s="466">
        <f t="shared" ref="F45:F47" si="3">((E45*$G$5)-D45)/$G$54</f>
        <v>-946.97262601823695</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-1730.5177569</v>
      </c>
      <c r="E46" s="249">
        <f>'ADJ DETAIL INPUT'!AP$81</f>
        <v>25392.3</v>
      </c>
      <c r="F46" s="466">
        <f t="shared" si="3"/>
        <v>4866.6400764499786</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7"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5" t="s">
        <v>573</v>
      </c>
      <c r="J49" s="545"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-1679.8036560999999</v>
      </c>
      <c r="E50" s="249">
        <f>'ADJ DETAIL INPUT'!AT$81</f>
        <v>2878.7000000000007</v>
      </c>
      <c r="F50" s="466">
        <f t="shared" si="1"/>
        <v>2522.9193503213314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424.78852999999998</v>
      </c>
      <c r="E51" s="249">
        <f>'ADJ DETAIL INPUT'!AU$81</f>
        <v>0</v>
      </c>
      <c r="F51" s="466">
        <f t="shared" si="1"/>
        <v>-564.39127667744185</v>
      </c>
      <c r="G51" s="339"/>
      <c r="H51" s="494"/>
      <c r="I51" s="474" t="s">
        <v>634</v>
      </c>
      <c r="J51" s="494" t="s">
        <v>462</v>
      </c>
      <c r="K51"/>
      <c r="L51" s="250"/>
    </row>
    <row r="52" spans="1:12" s="247" customFormat="1">
      <c r="A52" s="253" t="str">
        <f>'ADJ DETAIL INPUT'!AV$10</f>
        <v>PC Sch. 3.7</v>
      </c>
      <c r="B52" s="254">
        <f>'ADJ DETAIL INPUT'!AV$11</f>
        <v>0</v>
      </c>
      <c r="C52" s="252" t="str">
        <f>TRIM(CONCATENATE('ADJ DETAIL INPUT'!AV$7," ",'ADJ DETAIL INPUT'!AV$8," ",'ADJ DETAIL INPUT'!AV$9))</f>
        <v>Investor Relations Expense</v>
      </c>
      <c r="D52" s="249">
        <f>'ADJ DETAIL INPUT'!AV$58</f>
        <v>8.69</v>
      </c>
      <c r="E52" s="249">
        <f>'ADJ DETAIL INPUT'!AV$81</f>
        <v>0</v>
      </c>
      <c r="F52" s="249"/>
      <c r="G52" s="248"/>
      <c r="H52" s="494"/>
      <c r="I52" s="25"/>
      <c r="J52" s="494"/>
      <c r="K52"/>
      <c r="L52" s="250"/>
    </row>
    <row r="53" spans="1:12" s="247" customFormat="1" ht="13.5" thickBot="1">
      <c r="A53" s="253"/>
      <c r="B53" s="254"/>
      <c r="C53" s="460" t="s">
        <v>576</v>
      </c>
      <c r="D53" s="26">
        <f>SUM(D28:D51)</f>
        <v>32321.11800330002</v>
      </c>
      <c r="E53" s="26">
        <f>SUM(E28:E51)</f>
        <v>591008.29999999993</v>
      </c>
      <c r="F53" s="26">
        <f>SUM(F28:F51)</f>
        <v>16813.433123142382</v>
      </c>
      <c r="G53" s="457">
        <f>D53/E53</f>
        <v>5.4688094910511451E-2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5"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-464.67800000000005</v>
      </c>
      <c r="E59" s="249">
        <f>'ADJ DETAIL INPUT'!BA$81</f>
        <v>0</v>
      </c>
      <c r="F59" s="466">
        <f t="shared" si="4"/>
        <v>617.39004502762918</v>
      </c>
      <c r="G59" s="410"/>
      <c r="I59" s="502" t="s">
        <v>500</v>
      </c>
      <c r="J59" s="547"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-41.08</v>
      </c>
      <c r="E60" s="249">
        <f>'ADJ DETAIL INPUT'!BB$81</f>
        <v>0</v>
      </c>
      <c r="F60" s="466">
        <f t="shared" si="4"/>
        <v>54.580554813731233</v>
      </c>
      <c r="G60" s="410"/>
      <c r="I60" s="502" t="s">
        <v>500</v>
      </c>
      <c r="J60" s="547"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-22.91</v>
      </c>
      <c r="E61" s="249">
        <f>'ADJ DETAIL INPUT'!BC$81</f>
        <v>0</v>
      </c>
      <c r="F61" s="466">
        <f t="shared" si="4"/>
        <v>30.439155569196267</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7"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-272.91419000000002</v>
      </c>
      <c r="E63" s="249">
        <f>'ADJ DETAIL INPUT'!BE$81</f>
        <v>0</v>
      </c>
      <c r="F63" s="466">
        <f t="shared" si="4"/>
        <v>362.60486627896938</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-1269.7797797000001</v>
      </c>
      <c r="E64" s="249">
        <f>'ADJ DETAIL INPUT'!BF$81</f>
        <v>17079.900000000001</v>
      </c>
      <c r="F64" s="466">
        <f t="shared" si="4"/>
        <v>3414.0219009126436</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152.37441000000001</v>
      </c>
      <c r="E65" s="249">
        <f>'ADJ DETAIL INPUT'!BG$81</f>
        <v>0</v>
      </c>
      <c r="F65" s="466">
        <f t="shared" si="4"/>
        <v>-202.45082369072438</v>
      </c>
      <c r="G65" s="410"/>
      <c r="H65" s="502"/>
      <c r="I65" s="474" t="s">
        <v>634</v>
      </c>
      <c r="J65" s="535" t="s">
        <v>462</v>
      </c>
      <c r="K65"/>
      <c r="L65" s="250"/>
    </row>
    <row r="67" spans="1:12" s="247" customFormat="1" ht="13.5" thickBot="1">
      <c r="A67" s="253"/>
      <c r="B67" s="254"/>
      <c r="C67" s="465" t="s">
        <v>578</v>
      </c>
      <c r="D67" s="26">
        <f>SUM(D53:D65)</f>
        <v>30531.853787600019</v>
      </c>
      <c r="E67" s="26">
        <f>SUM(E53:E65)</f>
        <v>607240.19999999995</v>
      </c>
      <c r="F67" s="26">
        <f>SUM(F53:F65)</f>
        <v>20831.922227226758</v>
      </c>
      <c r="G67" s="457">
        <f>D67/E67</f>
        <v>5.0279697865194074E-2</v>
      </c>
      <c r="I67" s="25"/>
      <c r="J67" s="478"/>
      <c r="K67"/>
      <c r="L67" s="250"/>
    </row>
    <row r="68" spans="1:12" ht="14" thickTop="1" thickBot="1">
      <c r="C68" s="474" t="s">
        <v>579</v>
      </c>
      <c r="F68" s="456">
        <f>F67-F53</f>
        <v>4018.4891040843759</v>
      </c>
    </row>
    <row r="69" spans="1:12" ht="13.5" thickTop="1"/>
  </sheetData>
  <customSheetViews>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6953125" defaultRowHeight="13"/>
  <cols>
    <col min="1" max="1" width="30.7265625" style="387" customWidth="1"/>
    <col min="2" max="3" width="9.26953125" style="387" customWidth="1"/>
    <col min="4" max="4" width="16.54296875" style="387" customWidth="1"/>
    <col min="5" max="5" width="16.26953125" style="387" customWidth="1"/>
    <col min="6" max="9" width="9.26953125" style="387"/>
    <col min="10" max="10" width="9.453125" style="387" customWidth="1"/>
    <col min="11" max="16384" width="9.269531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877" t="s">
        <v>620</v>
      </c>
      <c r="B33" s="3877"/>
      <c r="C33" s="3877"/>
      <c r="D33" s="3877"/>
      <c r="E33" s="387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6953125" defaultRowHeight="11.25" customHeight="1"/>
  <cols>
    <col min="1" max="1" width="8.453125" style="224" customWidth="1"/>
    <col min="2" max="2" width="26.26953125" style="224" customWidth="1"/>
    <col min="3" max="3" width="12.453125" style="224" customWidth="1"/>
    <col min="4" max="4" width="6.54296875" style="224" customWidth="1"/>
    <col min="5" max="5" width="12.453125" style="341" customWidth="1"/>
    <col min="6" max="6" width="12.453125" style="342" customWidth="1"/>
    <col min="7" max="7" width="12.453125" style="341" customWidth="1"/>
    <col min="8" max="8" width="12.7265625" style="224" bestFit="1" customWidth="1"/>
    <col min="9" max="9" width="12.26953125" style="515" bestFit="1" customWidth="1"/>
    <col min="20" max="16384" width="9.26953125" style="7"/>
  </cols>
  <sheetData>
    <row r="1" spans="1:8" ht="16.5" customHeight="1">
      <c r="F1" s="215"/>
    </row>
    <row r="2" spans="1:8" ht="4.5" customHeight="1"/>
    <row r="3" spans="1:8" ht="12.5">
      <c r="A3" s="3878" t="s">
        <v>111</v>
      </c>
      <c r="B3" s="3878"/>
      <c r="C3" s="3878"/>
      <c r="E3" s="343"/>
      <c r="F3" s="344"/>
      <c r="G3" s="343"/>
    </row>
    <row r="4" spans="1:8" ht="12.5">
      <c r="A4" s="345" t="s">
        <v>189</v>
      </c>
      <c r="B4" s="345"/>
      <c r="C4" s="345"/>
      <c r="E4" s="346" t="s">
        <v>75</v>
      </c>
      <c r="F4" s="346"/>
      <c r="G4" s="346"/>
    </row>
    <row r="5" spans="1:8" ht="12.5">
      <c r="A5" s="3878" t="s">
        <v>580</v>
      </c>
      <c r="B5" s="3878"/>
      <c r="C5" s="3878"/>
      <c r="E5" s="346" t="s">
        <v>76</v>
      </c>
      <c r="F5" s="346"/>
      <c r="G5" s="346"/>
    </row>
    <row r="6" spans="1:8" ht="12.5">
      <c r="A6" s="345" t="s">
        <v>77</v>
      </c>
      <c r="B6" s="345"/>
      <c r="C6" s="345"/>
      <c r="E6" s="347"/>
      <c r="F6" s="348" t="s">
        <v>78</v>
      </c>
      <c r="G6" s="347"/>
    </row>
    <row r="7" spans="1:8" ht="12.5">
      <c r="A7" s="340" t="s">
        <v>6</v>
      </c>
      <c r="E7" s="343"/>
      <c r="F7" s="349"/>
      <c r="G7" s="343"/>
    </row>
    <row r="8" spans="1:8" ht="12.5">
      <c r="A8" s="350" t="s">
        <v>15</v>
      </c>
      <c r="B8" s="351" t="s">
        <v>70</v>
      </c>
      <c r="C8" s="351"/>
      <c r="E8" s="352" t="s">
        <v>79</v>
      </c>
      <c r="F8" s="353" t="s">
        <v>80</v>
      </c>
      <c r="G8" s="352" t="s">
        <v>81</v>
      </c>
      <c r="H8" s="8" t="s">
        <v>82</v>
      </c>
    </row>
    <row r="9" spans="1:8" ht="12.5">
      <c r="A9" s="340"/>
      <c r="B9" s="224" t="s">
        <v>31</v>
      </c>
      <c r="E9" s="354"/>
      <c r="F9" s="349"/>
      <c r="G9" s="354"/>
    </row>
    <row r="10" spans="1:8" ht="12.5">
      <c r="A10" s="340"/>
      <c r="B10" s="78"/>
      <c r="E10" s="56"/>
      <c r="F10" s="355"/>
      <c r="G10" s="355"/>
    </row>
    <row r="11" spans="1:8" ht="12.5">
      <c r="A11" s="340"/>
      <c r="B11" s="78"/>
      <c r="E11" s="56"/>
      <c r="F11" s="355"/>
      <c r="G11" s="355"/>
    </row>
    <row r="12" spans="1:8" ht="12.5">
      <c r="A12" s="340"/>
      <c r="E12" s="354"/>
      <c r="F12" s="349"/>
      <c r="G12" s="349"/>
    </row>
    <row r="13" spans="1:8" ht="5.25" customHeight="1">
      <c r="A13" s="340"/>
      <c r="E13" s="354"/>
      <c r="F13" s="349"/>
      <c r="G13" s="349"/>
    </row>
    <row r="14" spans="1:8" ht="12.5">
      <c r="A14" s="340"/>
      <c r="E14" s="354"/>
      <c r="F14" s="349"/>
      <c r="G14" s="349"/>
    </row>
    <row r="15" spans="1:8" ht="12.5">
      <c r="A15" s="340">
        <v>1</v>
      </c>
      <c r="B15" s="224" t="s">
        <v>83</v>
      </c>
      <c r="E15" s="17">
        <f>F15+G15</f>
        <v>246541</v>
      </c>
      <c r="F15" s="256">
        <f>F94</f>
        <v>246541</v>
      </c>
      <c r="G15" s="256">
        <f>G94</f>
        <v>0</v>
      </c>
      <c r="H15" s="356" t="str">
        <f>IF(E15=F15+G15," ","ERROR")</f>
        <v xml:space="preserve"> </v>
      </c>
    </row>
    <row r="16" spans="1:8" ht="12.5">
      <c r="A16" s="340">
        <v>2</v>
      </c>
      <c r="B16" s="224" t="s">
        <v>84</v>
      </c>
      <c r="E16" s="9">
        <f>F16+G16</f>
        <v>5180</v>
      </c>
      <c r="F16" s="357">
        <f>F99</f>
        <v>5180</v>
      </c>
      <c r="G16" s="357">
        <f>G99</f>
        <v>0</v>
      </c>
      <c r="H16" s="356" t="str">
        <f>IF(E16=F16+G16," ","ERROR")</f>
        <v xml:space="preserve"> </v>
      </c>
    </row>
    <row r="17" spans="1:9" ht="12.5">
      <c r="A17" s="340">
        <v>3</v>
      </c>
      <c r="B17" s="224" t="s">
        <v>34</v>
      </c>
      <c r="E17" s="358">
        <f>F17+G17</f>
        <v>37118</v>
      </c>
      <c r="F17" s="359">
        <f>F104-F99</f>
        <v>37118</v>
      </c>
      <c r="G17" s="359">
        <f>G104-G99</f>
        <v>0</v>
      </c>
      <c r="H17" s="356" t="str">
        <f>IF(E17=F17+G17," ","ERROR")</f>
        <v xml:space="preserve"> </v>
      </c>
    </row>
    <row r="18" spans="1:9" ht="12.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5">
      <c r="A19" s="340"/>
      <c r="E19" s="9"/>
      <c r="F19" s="9"/>
      <c r="G19" s="9"/>
      <c r="H19" s="356"/>
    </row>
    <row r="20" spans="1:9" ht="12.5">
      <c r="A20" s="340"/>
      <c r="B20" s="224" t="s">
        <v>36</v>
      </c>
      <c r="E20" s="9"/>
      <c r="F20" s="9"/>
      <c r="G20" s="9"/>
      <c r="H20" s="356"/>
    </row>
    <row r="21" spans="1:9" ht="12.5">
      <c r="A21" s="340"/>
      <c r="B21" s="224" t="s">
        <v>192</v>
      </c>
      <c r="E21" s="9"/>
      <c r="F21" s="357"/>
      <c r="G21" s="357"/>
      <c r="H21" s="360" t="str">
        <f>IF(E21=F21+G21," ","ERROR")</f>
        <v xml:space="preserve"> </v>
      </c>
    </row>
    <row r="22" spans="1:9" ht="12.5">
      <c r="A22" s="340">
        <v>5</v>
      </c>
      <c r="B22" s="224" t="s">
        <v>86</v>
      </c>
      <c r="E22" s="9">
        <f>F22+G22</f>
        <v>139821</v>
      </c>
      <c r="F22" s="357">
        <f>F108</f>
        <v>139821</v>
      </c>
      <c r="G22" s="357">
        <f>G108</f>
        <v>0</v>
      </c>
      <c r="H22" s="356" t="str">
        <f>IF(E22=F22+G22," ","ERROR")</f>
        <v xml:space="preserve"> </v>
      </c>
    </row>
    <row r="23" spans="1:9" ht="12.5">
      <c r="A23" s="340">
        <v>6</v>
      </c>
      <c r="B23" s="224" t="s">
        <v>87</v>
      </c>
      <c r="E23" s="9">
        <f>F23+G23</f>
        <v>869</v>
      </c>
      <c r="F23" s="357">
        <f>F111+F112-1</f>
        <v>869</v>
      </c>
      <c r="G23" s="357">
        <f>G110+G111+G112</f>
        <v>0</v>
      </c>
      <c r="H23" s="356" t="str">
        <f>IF(E23=F23+G23," ","ERROR")</f>
        <v xml:space="preserve"> </v>
      </c>
    </row>
    <row r="24" spans="1:9" ht="12.5">
      <c r="A24" s="340">
        <v>7</v>
      </c>
      <c r="B24" s="224" t="s">
        <v>88</v>
      </c>
      <c r="E24" s="358">
        <f>F24+G24</f>
        <v>8789</v>
      </c>
      <c r="F24" s="359">
        <f>F109+F110</f>
        <v>8789</v>
      </c>
      <c r="G24" s="359">
        <f>G109</f>
        <v>0</v>
      </c>
      <c r="H24" s="356" t="str">
        <f>IF(E24=F24+G24," ","ERROR")</f>
        <v xml:space="preserve"> </v>
      </c>
    </row>
    <row r="25" spans="1:9" ht="12.5">
      <c r="A25" s="340">
        <v>8</v>
      </c>
      <c r="B25" s="224" t="s">
        <v>89</v>
      </c>
      <c r="E25" s="9">
        <f>SUM(E22:E24)</f>
        <v>149479</v>
      </c>
      <c r="F25" s="9">
        <f>SUM(F22:F24)</f>
        <v>149479</v>
      </c>
      <c r="G25" s="9">
        <f>SUM(G22:G24)</f>
        <v>0</v>
      </c>
      <c r="H25" s="356" t="str">
        <f>IF(E25=F25+G25," ","ERROR")</f>
        <v xml:space="preserve"> </v>
      </c>
      <c r="I25" s="515">
        <f>F25-(SUM(H108:H114)/1000)</f>
        <v>0.3060000000114087</v>
      </c>
    </row>
    <row r="26" spans="1:9" ht="12.5">
      <c r="A26" s="340"/>
      <c r="E26" s="9"/>
      <c r="F26" s="9"/>
      <c r="G26" s="9"/>
      <c r="H26" s="356"/>
    </row>
    <row r="27" spans="1:9" ht="12.5">
      <c r="A27" s="340"/>
      <c r="B27" s="224" t="s">
        <v>41</v>
      </c>
      <c r="E27" s="9"/>
      <c r="F27" s="9"/>
      <c r="G27" s="9"/>
      <c r="H27" s="356"/>
    </row>
    <row r="28" spans="1:9" ht="12.5">
      <c r="A28" s="340">
        <v>9</v>
      </c>
      <c r="B28" s="224" t="s">
        <v>90</v>
      </c>
      <c r="E28" s="9">
        <f>F28+G28</f>
        <v>2062</v>
      </c>
      <c r="F28" s="357">
        <f>F121</f>
        <v>2062</v>
      </c>
      <c r="G28" s="357">
        <f>G121</f>
        <v>0</v>
      </c>
      <c r="H28" s="356" t="str">
        <f>IF(E28=F28+G28," ","ERROR")</f>
        <v xml:space="preserve"> </v>
      </c>
    </row>
    <row r="29" spans="1:9" ht="12.5">
      <c r="A29" s="340">
        <v>10</v>
      </c>
      <c r="B29" s="224" t="s">
        <v>91</v>
      </c>
      <c r="E29" s="9">
        <f>F29+G29</f>
        <v>512</v>
      </c>
      <c r="F29" s="357">
        <f>F123+F124</f>
        <v>512</v>
      </c>
      <c r="G29" s="357">
        <f>G123+G124</f>
        <v>0</v>
      </c>
      <c r="H29" s="356" t="str">
        <f>IF(E29=F29+G29," ","ERROR")</f>
        <v xml:space="preserve"> </v>
      </c>
    </row>
    <row r="30" spans="1:9" ht="12.5">
      <c r="A30" s="340">
        <v>11</v>
      </c>
      <c r="B30" s="224" t="s">
        <v>92</v>
      </c>
      <c r="E30" s="358">
        <f>F30+G30</f>
        <v>161</v>
      </c>
      <c r="F30" s="359">
        <f>F125</f>
        <v>161</v>
      </c>
      <c r="G30" s="359">
        <f>G125</f>
        <v>0</v>
      </c>
      <c r="H30" s="356" t="str">
        <f>IF(E30=F30+G30," ","ERROR")</f>
        <v xml:space="preserve"> </v>
      </c>
    </row>
    <row r="31" spans="1:9" ht="12.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5">
      <c r="A32" s="340"/>
      <c r="E32" s="9"/>
      <c r="F32" s="357"/>
      <c r="G32" s="357"/>
      <c r="H32" s="356"/>
    </row>
    <row r="33" spans="1:9" ht="12.5">
      <c r="A33" s="340"/>
      <c r="B33" s="224" t="s">
        <v>45</v>
      </c>
      <c r="E33" s="9"/>
      <c r="F33" s="357"/>
      <c r="G33" s="357"/>
      <c r="H33" s="356"/>
    </row>
    <row r="34" spans="1:9" ht="12.5">
      <c r="A34" s="340">
        <v>13</v>
      </c>
      <c r="B34" s="224" t="s">
        <v>90</v>
      </c>
      <c r="E34" s="9">
        <f>F34+G34</f>
        <v>12916</v>
      </c>
      <c r="F34" s="357">
        <f>F152</f>
        <v>12916</v>
      </c>
      <c r="G34" s="357">
        <f>G152</f>
        <v>0</v>
      </c>
      <c r="H34" s="356" t="str">
        <f t="shared" ref="H34:H41" si="0">IF(E34=F34+G34," ","ERROR")</f>
        <v xml:space="preserve"> </v>
      </c>
    </row>
    <row r="35" spans="1:9" ht="12.5">
      <c r="A35" s="340">
        <v>14</v>
      </c>
      <c r="B35" s="224" t="s">
        <v>91</v>
      </c>
      <c r="E35" s="9">
        <f>F35+G35</f>
        <v>16440</v>
      </c>
      <c r="F35" s="357">
        <f>F154</f>
        <v>16440</v>
      </c>
      <c r="G35" s="357">
        <f>G154</f>
        <v>0</v>
      </c>
      <c r="H35" s="356" t="str">
        <f t="shared" si="0"/>
        <v xml:space="preserve"> </v>
      </c>
    </row>
    <row r="36" spans="1:9" ht="12.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5">
      <c r="A40" s="340">
        <v>18</v>
      </c>
      <c r="B40" s="224" t="s">
        <v>48</v>
      </c>
      <c r="E40" s="9">
        <f>F40+G40</f>
        <v>14067</v>
      </c>
      <c r="F40" s="357">
        <f>F172</f>
        <v>14067</v>
      </c>
      <c r="G40" s="357">
        <f>G172</f>
        <v>0</v>
      </c>
      <c r="H40" s="356" t="str">
        <f t="shared" si="0"/>
        <v xml:space="preserve"> </v>
      </c>
      <c r="I40" s="515">
        <f>F40-(SUM(H169:H171)/1000)</f>
        <v>-9.7999999999956344E-2</v>
      </c>
    </row>
    <row r="41" spans="1:9" ht="12.5">
      <c r="A41" s="340">
        <v>19</v>
      </c>
      <c r="B41" s="224" t="s">
        <v>95</v>
      </c>
      <c r="E41" s="9">
        <f>F41+G41</f>
        <v>0</v>
      </c>
      <c r="F41" s="357">
        <f>F178</f>
        <v>0</v>
      </c>
      <c r="G41" s="357">
        <f>G178</f>
        <v>0</v>
      </c>
      <c r="H41" s="356" t="str">
        <f t="shared" si="0"/>
        <v xml:space="preserve"> </v>
      </c>
      <c r="I41" s="515">
        <f>F41-(SUM(H175:H177)/1000)</f>
        <v>-0.27900000000000003</v>
      </c>
    </row>
    <row r="42" spans="1:9" ht="12.5">
      <c r="A42" s="340"/>
      <c r="E42" s="9"/>
      <c r="F42" s="357"/>
      <c r="G42" s="357"/>
      <c r="H42" s="356"/>
    </row>
    <row r="43" spans="1:9" ht="12.5">
      <c r="A43" s="340"/>
      <c r="B43" s="224" t="s">
        <v>96</v>
      </c>
      <c r="E43" s="9"/>
      <c r="F43" s="357"/>
      <c r="G43" s="357"/>
      <c r="H43" s="356"/>
    </row>
    <row r="44" spans="1:9" ht="12.5">
      <c r="A44" s="340">
        <v>20</v>
      </c>
      <c r="B44" s="224" t="s">
        <v>90</v>
      </c>
      <c r="E44" s="9">
        <f>F44+G44</f>
        <v>24398</v>
      </c>
      <c r="F44" s="357">
        <f>F192</f>
        <v>24398</v>
      </c>
      <c r="G44" s="357">
        <f>G192</f>
        <v>0</v>
      </c>
      <c r="H44" s="356" t="str">
        <f>IF(E44=F44+G44," ","ERROR")</f>
        <v xml:space="preserve"> </v>
      </c>
    </row>
    <row r="45" spans="1:9" ht="12.5">
      <c r="A45" s="340">
        <v>21</v>
      </c>
      <c r="B45" s="224" t="s">
        <v>371</v>
      </c>
      <c r="E45" s="9">
        <f>F45+G45</f>
        <v>12802</v>
      </c>
      <c r="F45" s="357">
        <f>F194+F195+F196+F197</f>
        <v>12802</v>
      </c>
      <c r="G45" s="357">
        <f>G194+G195+G196+G197</f>
        <v>0</v>
      </c>
      <c r="H45" s="356" t="str">
        <f>IF(E45=F45+G45," ","ERROR")</f>
        <v xml:space="preserve"> </v>
      </c>
    </row>
    <row r="46" spans="1:9" ht="12.5">
      <c r="A46" s="340">
        <v>22</v>
      </c>
      <c r="B46" s="224" t="s">
        <v>369</v>
      </c>
      <c r="E46" s="9">
        <f>F46+G46</f>
        <v>1612</v>
      </c>
      <c r="F46" s="357">
        <f>SUM(F198:F217)</f>
        <v>1612</v>
      </c>
      <c r="G46" s="357">
        <f>SUM(G209:G218)</f>
        <v>0</v>
      </c>
      <c r="H46" s="356"/>
    </row>
    <row r="47" spans="1:9" ht="12.5">
      <c r="A47" s="340">
        <v>23</v>
      </c>
      <c r="B47" s="224" t="s">
        <v>92</v>
      </c>
      <c r="E47" s="358">
        <f>F47+G47</f>
        <v>1132</v>
      </c>
      <c r="F47" s="359">
        <f>F218</f>
        <v>1132</v>
      </c>
      <c r="G47" s="359">
        <v>0</v>
      </c>
      <c r="H47" s="356" t="str">
        <f>IF(E47=F47+G47," ","ERROR")</f>
        <v xml:space="preserve"> </v>
      </c>
    </row>
    <row r="48" spans="1:9" ht="12.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5">
      <c r="A49" s="340">
        <v>25</v>
      </c>
      <c r="B49" s="224" t="s">
        <v>52</v>
      </c>
      <c r="E49" s="358">
        <f>E25+E31+E37+E39+E40+E41+E48</f>
        <v>260577</v>
      </c>
      <c r="F49" s="358">
        <f>F25+F31+F37+F39+F40+F41+F48</f>
        <v>260577</v>
      </c>
      <c r="G49" s="358">
        <f>G25+G31+G37+G39+G40+G41+G48+G21</f>
        <v>0</v>
      </c>
      <c r="H49" s="356" t="str">
        <f>IF(E49=F49+G49," ","ERROR")</f>
        <v xml:space="preserve"> </v>
      </c>
    </row>
    <row r="50" spans="1:9" ht="12.5">
      <c r="A50" s="340"/>
      <c r="E50" s="9"/>
      <c r="F50" s="9"/>
      <c r="G50" s="9"/>
      <c r="H50" s="356"/>
    </row>
    <row r="51" spans="1:9" ht="12.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5">
      <c r="A54" s="340">
        <v>27</v>
      </c>
      <c r="B54" s="361" t="s">
        <v>100</v>
      </c>
      <c r="D54" s="362">
        <v>0.21</v>
      </c>
      <c r="E54" s="9">
        <f>F54+G54</f>
        <v>-4387</v>
      </c>
      <c r="F54" s="357">
        <f>F227</f>
        <v>-4387</v>
      </c>
      <c r="G54" s="357">
        <f>G227</f>
        <v>0</v>
      </c>
      <c r="H54" s="356" t="str">
        <f>IF(E54=F54+G54," ","ERROR")</f>
        <v xml:space="preserve"> </v>
      </c>
    </row>
    <row r="55" spans="1:9" ht="12.5">
      <c r="A55" s="340">
        <v>28</v>
      </c>
      <c r="B55" s="361" t="s">
        <v>204</v>
      </c>
      <c r="D55" s="362"/>
      <c r="E55" s="9"/>
      <c r="F55" s="357"/>
      <c r="G55" s="357"/>
      <c r="H55" s="356"/>
    </row>
    <row r="56" spans="1:9" ht="12.5">
      <c r="A56" s="340">
        <v>29</v>
      </c>
      <c r="B56" s="224" t="s">
        <v>101</v>
      </c>
      <c r="E56" s="9">
        <f>F56+G56</f>
        <v>-3743</v>
      </c>
      <c r="F56" s="357">
        <f>F228</f>
        <v>-3743</v>
      </c>
      <c r="G56" s="357">
        <f>G228</f>
        <v>0</v>
      </c>
      <c r="H56" s="356" t="str">
        <f>IF(E56=F56+G56," ","ERROR")</f>
        <v xml:space="preserve"> </v>
      </c>
    </row>
    <row r="57" spans="1:9" ht="12.5">
      <c r="A57" s="340">
        <v>30</v>
      </c>
      <c r="B57" s="224" t="s">
        <v>102</v>
      </c>
      <c r="E57" s="358">
        <f>F57+G57</f>
        <v>0</v>
      </c>
      <c r="F57" s="359">
        <f>F229</f>
        <v>0</v>
      </c>
      <c r="G57" s="359">
        <f>G229</f>
        <v>0</v>
      </c>
      <c r="H57" s="356" t="str">
        <f>IF(E57=F57+G57," ","ERROR")</f>
        <v xml:space="preserve"> </v>
      </c>
    </row>
    <row r="58" spans="1:9" ht="12.5">
      <c r="A58" s="340"/>
      <c r="G58" s="342"/>
      <c r="H58" s="356"/>
    </row>
    <row r="59" spans="1:9" ht="13" thickBot="1">
      <c r="A59" s="340">
        <v>31</v>
      </c>
      <c r="B59" s="363" t="s">
        <v>58</v>
      </c>
      <c r="E59" s="10">
        <f>E51-(+E54+E56+E57)</f>
        <v>36392</v>
      </c>
      <c r="F59" s="10">
        <f>F51-(F54+F56+F57)</f>
        <v>36392</v>
      </c>
      <c r="G59" s="10">
        <f>G51-(G54+G56+G57)</f>
        <v>0</v>
      </c>
      <c r="H59" s="356" t="str">
        <f>IF(E59=F59+G59," ","ERROR")</f>
        <v xml:space="preserve"> </v>
      </c>
    </row>
    <row r="60" spans="1:9" ht="13" thickTop="1">
      <c r="A60" s="340"/>
      <c r="E60" s="349"/>
      <c r="F60" s="349"/>
      <c r="G60" s="349"/>
      <c r="H60" s="356"/>
    </row>
    <row r="61" spans="1:9" ht="12.5">
      <c r="A61" s="340"/>
      <c r="B61" s="361" t="s">
        <v>103</v>
      </c>
      <c r="G61" s="342"/>
      <c r="H61" s="356"/>
    </row>
    <row r="62" spans="1:9" ht="12.5">
      <c r="A62" s="340"/>
      <c r="B62" s="361" t="s">
        <v>104</v>
      </c>
      <c r="G62" s="342"/>
      <c r="H62" s="356"/>
    </row>
    <row r="63" spans="1:9" ht="12.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5">
      <c r="A66" s="340">
        <v>35</v>
      </c>
      <c r="B66" s="224" t="s">
        <v>108</v>
      </c>
      <c r="E66" s="9">
        <f>SUM(E63:E65)</f>
        <v>846495.39999999991</v>
      </c>
      <c r="F66" s="357">
        <f>SUM(F63:F65)</f>
        <v>846495.39999999991</v>
      </c>
      <c r="G66" s="357">
        <f>SUM(G63:G65)</f>
        <v>0</v>
      </c>
      <c r="H66" s="356" t="str">
        <f t="shared" si="1"/>
        <v xml:space="preserve"> </v>
      </c>
    </row>
    <row r="67" spans="1:9" ht="12.5">
      <c r="A67" s="340"/>
      <c r="E67" s="9"/>
      <c r="F67" s="357"/>
      <c r="G67" s="357"/>
      <c r="H67" s="356"/>
    </row>
    <row r="68" spans="1:9" ht="12.5">
      <c r="A68" s="340"/>
      <c r="B68" s="224" t="s">
        <v>372</v>
      </c>
      <c r="E68" s="9"/>
      <c r="F68" s="357"/>
      <c r="G68" s="357"/>
      <c r="H68" s="356" t="str">
        <f t="shared" si="1"/>
        <v xml:space="preserve"> </v>
      </c>
    </row>
    <row r="69" spans="1:9" ht="12.5">
      <c r="A69" s="340">
        <v>36</v>
      </c>
      <c r="B69" s="224" t="s">
        <v>105</v>
      </c>
      <c r="E69" s="9">
        <f>F69+G69</f>
        <v>-13149</v>
      </c>
      <c r="F69" s="357">
        <f>F282+F290</f>
        <v>-13149</v>
      </c>
      <c r="G69" s="357">
        <f>G282+G290</f>
        <v>0</v>
      </c>
      <c r="H69" s="356" t="str">
        <f t="shared" si="1"/>
        <v xml:space="preserve"> </v>
      </c>
    </row>
    <row r="70" spans="1:9" ht="12.5">
      <c r="A70" s="340">
        <v>37</v>
      </c>
      <c r="B70" s="224" t="s">
        <v>106</v>
      </c>
      <c r="E70" s="9">
        <f>F70+G70</f>
        <v>-188334</v>
      </c>
      <c r="F70" s="357">
        <f>F283</f>
        <v>-188334</v>
      </c>
      <c r="G70" s="357">
        <f>G283</f>
        <v>0</v>
      </c>
      <c r="H70" s="356" t="str">
        <f t="shared" si="1"/>
        <v xml:space="preserve"> </v>
      </c>
    </row>
    <row r="71" spans="1:9" ht="12.5">
      <c r="A71" s="340">
        <v>38</v>
      </c>
      <c r="B71" s="224" t="s">
        <v>107</v>
      </c>
      <c r="E71" s="358">
        <f>F71+G71</f>
        <v>-62353</v>
      </c>
      <c r="F71" s="359">
        <f>F284+F288+F289+F291</f>
        <v>-62353</v>
      </c>
      <c r="G71" s="359">
        <f>G284+G288+G289+G291</f>
        <v>0</v>
      </c>
      <c r="H71" s="356" t="str">
        <f t="shared" si="1"/>
        <v xml:space="preserve"> </v>
      </c>
    </row>
    <row r="72" spans="1:9" ht="12.5">
      <c r="A72" s="340">
        <v>39</v>
      </c>
      <c r="B72" s="224" t="s">
        <v>373</v>
      </c>
      <c r="E72" s="364">
        <f>SUM(E69:E71)</f>
        <v>-263836</v>
      </c>
      <c r="F72" s="364">
        <f>SUM(F69:F71)</f>
        <v>-263836</v>
      </c>
      <c r="G72" s="364">
        <f>SUM(G69:G71)</f>
        <v>0</v>
      </c>
      <c r="H72" s="356" t="str">
        <f t="shared" si="1"/>
        <v xml:space="preserve"> </v>
      </c>
    </row>
    <row r="73" spans="1:9" ht="12.5">
      <c r="A73" s="340">
        <v>40</v>
      </c>
      <c r="B73" s="224" t="s">
        <v>164</v>
      </c>
      <c r="E73" s="9">
        <f>E66+E72</f>
        <v>582659.39999999991</v>
      </c>
      <c r="F73" s="9">
        <f>F66+F72</f>
        <v>582659.39999999991</v>
      </c>
      <c r="G73" s="9">
        <f>G66+G72</f>
        <v>0</v>
      </c>
      <c r="H73" s="356"/>
    </row>
    <row r="74" spans="1:9" ht="12.5">
      <c r="A74" s="340">
        <v>41</v>
      </c>
      <c r="B74" s="361" t="s">
        <v>109</v>
      </c>
      <c r="E74" s="365">
        <f>F74+G74</f>
        <v>-84772</v>
      </c>
      <c r="F74" s="365">
        <f>F304</f>
        <v>-84772</v>
      </c>
      <c r="G74" s="365">
        <f>G304</f>
        <v>0</v>
      </c>
      <c r="H74" s="356" t="str">
        <f t="shared" si="1"/>
        <v xml:space="preserve"> </v>
      </c>
    </row>
    <row r="75" spans="1:9" ht="12.5">
      <c r="A75" s="340">
        <v>42</v>
      </c>
      <c r="B75" s="120" t="s">
        <v>191</v>
      </c>
      <c r="E75" s="9">
        <f>E73+E74</f>
        <v>497887.39999999991</v>
      </c>
      <c r="F75" s="9">
        <f>F73+F74</f>
        <v>497887.39999999991</v>
      </c>
      <c r="G75" s="9">
        <f>G73+G74</f>
        <v>0</v>
      </c>
      <c r="H75" s="356"/>
    </row>
    <row r="76" spans="1:9" ht="12.5">
      <c r="A76" s="340">
        <v>43</v>
      </c>
      <c r="B76" s="224" t="s">
        <v>65</v>
      </c>
      <c r="E76" s="9">
        <f t="shared" ref="E76:E79" si="2">F76+G76</f>
        <v>19552</v>
      </c>
      <c r="F76" s="9">
        <f>F312+F313+F314</f>
        <v>19552</v>
      </c>
      <c r="G76" s="9">
        <f>G324+G325</f>
        <v>0</v>
      </c>
      <c r="H76" s="356" t="str">
        <f t="shared" si="1"/>
        <v xml:space="preserve"> </v>
      </c>
    </row>
    <row r="77" spans="1:9" ht="12.5">
      <c r="A77" s="340">
        <v>44</v>
      </c>
      <c r="B77" s="361" t="s">
        <v>66</v>
      </c>
      <c r="E77" s="9">
        <f t="shared" si="2"/>
        <v>0</v>
      </c>
      <c r="F77" s="342">
        <v>0</v>
      </c>
      <c r="G77" s="342">
        <f>G310+G311</f>
        <v>0</v>
      </c>
      <c r="H77" s="356" t="str">
        <f>IF(E79=F79+G79," ","ERROR")</f>
        <v xml:space="preserve"> </v>
      </c>
    </row>
    <row r="78" spans="1:9" ht="12.5">
      <c r="A78" s="340">
        <v>45</v>
      </c>
      <c r="B78" s="361" t="s">
        <v>377</v>
      </c>
      <c r="E78" s="9">
        <f t="shared" si="2"/>
        <v>943</v>
      </c>
      <c r="F78" s="342">
        <f>F309+F326+F310+F311+F315+F316+F317+F318+F319+F320+F324+F321+F322+F323</f>
        <v>943</v>
      </c>
      <c r="G78" s="342">
        <f t="shared" ref="G78:G79" si="3">G311+G312</f>
        <v>0</v>
      </c>
      <c r="H78" s="356"/>
    </row>
    <row r="79" spans="1:9" ht="12.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5">
      <c r="A86" s="504"/>
      <c r="B86" s="505" t="s">
        <v>31</v>
      </c>
      <c r="C86" s="506"/>
      <c r="D86" s="506"/>
      <c r="E86" s="507"/>
      <c r="F86" s="508"/>
      <c r="G86" s="507"/>
      <c r="H86" s="506"/>
      <c r="I86" s="515"/>
      <c r="J86"/>
      <c r="K86"/>
      <c r="L86"/>
      <c r="M86"/>
      <c r="N86"/>
      <c r="O86"/>
      <c r="P86"/>
      <c r="Q86"/>
      <c r="R86"/>
      <c r="S86"/>
    </row>
    <row r="87" spans="1:19" ht="12.5">
      <c r="A87" s="181"/>
      <c r="B87" s="183" t="s">
        <v>205</v>
      </c>
    </row>
    <row r="88" spans="1:19" ht="12.5">
      <c r="A88" s="184">
        <v>480000</v>
      </c>
      <c r="B88" s="183" t="s">
        <v>206</v>
      </c>
      <c r="F88" s="342">
        <f>ROUND(H88/1000,0)</f>
        <v>160653</v>
      </c>
      <c r="H88" s="56">
        <v>160653358</v>
      </c>
    </row>
    <row r="89" spans="1:19" ht="12.5">
      <c r="A89" s="184" t="s">
        <v>207</v>
      </c>
      <c r="B89" s="183" t="s">
        <v>208</v>
      </c>
      <c r="F89" s="342">
        <f t="shared" ref="F89:F156" si="4">ROUND(H89/1000,0)</f>
        <v>83079</v>
      </c>
      <c r="H89" s="56">
        <v>83079107</v>
      </c>
    </row>
    <row r="90" spans="1:19" ht="12.5">
      <c r="A90" s="184" t="s">
        <v>209</v>
      </c>
      <c r="B90" s="183" t="s">
        <v>210</v>
      </c>
      <c r="F90" s="342">
        <f t="shared" si="4"/>
        <v>2465</v>
      </c>
      <c r="H90" s="56">
        <v>2464839</v>
      </c>
    </row>
    <row r="91" spans="1:19" ht="12.5">
      <c r="A91" s="184">
        <v>481400</v>
      </c>
      <c r="B91" s="183" t="s">
        <v>211</v>
      </c>
      <c r="F91" s="342">
        <f t="shared" si="4"/>
        <v>0</v>
      </c>
      <c r="H91" s="56">
        <v>0</v>
      </c>
    </row>
    <row r="92" spans="1:19" ht="12.5">
      <c r="A92" s="184">
        <v>484000</v>
      </c>
      <c r="B92" s="183" t="s">
        <v>214</v>
      </c>
      <c r="F92" s="342">
        <f t="shared" si="4"/>
        <v>444</v>
      </c>
      <c r="H92" s="56">
        <v>443572</v>
      </c>
    </row>
    <row r="93" spans="1:19" ht="12.5">
      <c r="A93" s="181" t="s">
        <v>212</v>
      </c>
      <c r="B93" s="183" t="s">
        <v>213</v>
      </c>
      <c r="F93" s="342">
        <f t="shared" si="4"/>
        <v>-100</v>
      </c>
      <c r="H93" s="56">
        <v>-100104</v>
      </c>
    </row>
    <row r="94" spans="1:19" ht="12.5">
      <c r="A94" s="181"/>
      <c r="B94" s="183" t="s">
        <v>215</v>
      </c>
      <c r="F94" s="342">
        <f t="shared" si="4"/>
        <v>246541</v>
      </c>
      <c r="H94" s="56">
        <v>246540772</v>
      </c>
    </row>
    <row r="95" spans="1:19" ht="12.5">
      <c r="A95" s="181"/>
      <c r="B95" s="183"/>
      <c r="F95" s="342">
        <f t="shared" si="4"/>
        <v>0</v>
      </c>
      <c r="H95" s="56"/>
    </row>
    <row r="96" spans="1:19" ht="12.5">
      <c r="A96" s="181"/>
      <c r="B96" s="183" t="s">
        <v>216</v>
      </c>
      <c r="F96" s="342">
        <f t="shared" si="4"/>
        <v>0</v>
      </c>
      <c r="H96" s="56"/>
    </row>
    <row r="97" spans="1:8" ht="12.5">
      <c r="A97" s="185" t="s">
        <v>581</v>
      </c>
      <c r="B97" s="186" t="s">
        <v>217</v>
      </c>
      <c r="F97" s="342">
        <f t="shared" si="4"/>
        <v>36675</v>
      </c>
      <c r="H97" s="56">
        <v>36674988</v>
      </c>
    </row>
    <row r="98" spans="1:8" ht="12.5">
      <c r="A98" s="184">
        <v>488000</v>
      </c>
      <c r="B98" s="183" t="s">
        <v>218</v>
      </c>
      <c r="F98" s="342">
        <f t="shared" si="4"/>
        <v>3</v>
      </c>
      <c r="H98" s="56">
        <v>3075</v>
      </c>
    </row>
    <row r="99" spans="1:8" ht="12.5">
      <c r="A99" s="184" t="s">
        <v>582</v>
      </c>
      <c r="B99" s="183" t="s">
        <v>219</v>
      </c>
      <c r="F99" s="342">
        <f t="shared" si="4"/>
        <v>5180</v>
      </c>
      <c r="H99" s="56">
        <v>5179561</v>
      </c>
    </row>
    <row r="100" spans="1:8" ht="12.5">
      <c r="A100" s="184">
        <v>493000</v>
      </c>
      <c r="B100" s="183" t="s">
        <v>220</v>
      </c>
      <c r="F100" s="342">
        <f t="shared" si="4"/>
        <v>0</v>
      </c>
      <c r="H100" s="56">
        <v>-209</v>
      </c>
    </row>
    <row r="101" spans="1:8" ht="12.5">
      <c r="A101" s="184" t="s">
        <v>583</v>
      </c>
      <c r="B101" s="183" t="s">
        <v>221</v>
      </c>
      <c r="F101" s="342">
        <f t="shared" si="4"/>
        <v>441</v>
      </c>
      <c r="H101" s="56">
        <v>440555</v>
      </c>
    </row>
    <row r="102" spans="1:8" ht="12.5">
      <c r="A102" s="184">
        <v>496100</v>
      </c>
      <c r="B102" s="183" t="s">
        <v>412</v>
      </c>
      <c r="F102" s="342">
        <f t="shared" si="4"/>
        <v>0</v>
      </c>
      <c r="H102" s="56">
        <v>0</v>
      </c>
    </row>
    <row r="103" spans="1:8" ht="15.5">
      <c r="A103" s="334">
        <v>496110</v>
      </c>
      <c r="B103" s="240" t="s">
        <v>456</v>
      </c>
      <c r="F103" s="342">
        <f t="shared" si="4"/>
        <v>0</v>
      </c>
      <c r="H103" s="56">
        <v>0</v>
      </c>
    </row>
    <row r="104" spans="1:8" ht="12.5">
      <c r="A104" s="181"/>
      <c r="B104" s="183" t="s">
        <v>222</v>
      </c>
      <c r="F104" s="342">
        <f t="shared" si="4"/>
        <v>42298</v>
      </c>
      <c r="H104" s="56">
        <v>42297970</v>
      </c>
    </row>
    <row r="105" spans="1:8" ht="12.5">
      <c r="A105" s="181"/>
      <c r="B105" s="183" t="s">
        <v>223</v>
      </c>
      <c r="F105" s="342">
        <f t="shared" si="4"/>
        <v>288839</v>
      </c>
      <c r="H105" s="56">
        <v>288838742</v>
      </c>
    </row>
    <row r="106" spans="1:8" ht="12.5">
      <c r="A106" s="181"/>
      <c r="B106" s="183"/>
      <c r="F106" s="342">
        <f t="shared" si="4"/>
        <v>0</v>
      </c>
      <c r="H106" s="56"/>
    </row>
    <row r="107" spans="1:8" ht="12.5">
      <c r="A107" s="181"/>
      <c r="B107" s="183" t="s">
        <v>224</v>
      </c>
      <c r="F107" s="342">
        <f t="shared" si="4"/>
        <v>0</v>
      </c>
      <c r="H107" s="56"/>
    </row>
    <row r="108" spans="1:8" ht="12.5">
      <c r="A108" s="187" t="s">
        <v>225</v>
      </c>
      <c r="B108" s="183" t="s">
        <v>37</v>
      </c>
      <c r="F108" s="342">
        <f t="shared" si="4"/>
        <v>139821</v>
      </c>
      <c r="H108" s="56">
        <v>139820536</v>
      </c>
    </row>
    <row r="109" spans="1:8" ht="12.5">
      <c r="A109" s="184" t="s">
        <v>226</v>
      </c>
      <c r="B109" s="183" t="s">
        <v>227</v>
      </c>
      <c r="F109" s="342">
        <f t="shared" si="4"/>
        <v>9133</v>
      </c>
      <c r="H109" s="56">
        <v>9132838</v>
      </c>
    </row>
    <row r="110" spans="1:8" ht="12.5">
      <c r="A110" s="185">
        <v>811000</v>
      </c>
      <c r="B110" s="186" t="s">
        <v>228</v>
      </c>
      <c r="F110" s="342">
        <f t="shared" si="4"/>
        <v>-344</v>
      </c>
      <c r="H110" s="56">
        <v>-343977</v>
      </c>
    </row>
    <row r="111" spans="1:8" ht="12.5">
      <c r="A111" s="184">
        <v>813000</v>
      </c>
      <c r="B111" s="183" t="s">
        <v>229</v>
      </c>
      <c r="F111" s="342">
        <f t="shared" si="4"/>
        <v>781</v>
      </c>
      <c r="H111" s="56">
        <v>780647</v>
      </c>
    </row>
    <row r="112" spans="1:8" ht="12.5">
      <c r="A112" s="184">
        <v>813010</v>
      </c>
      <c r="B112" s="183" t="s">
        <v>230</v>
      </c>
      <c r="F112" s="342">
        <f t="shared" si="4"/>
        <v>89</v>
      </c>
      <c r="H112" s="56">
        <v>88650</v>
      </c>
    </row>
    <row r="113" spans="1:19" s="509" customFormat="1" ht="12.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5">
      <c r="A115" s="181"/>
      <c r="B115" s="183" t="s">
        <v>231</v>
      </c>
      <c r="F115" s="342">
        <f t="shared" si="4"/>
        <v>149479</v>
      </c>
      <c r="H115" s="56">
        <v>149478694</v>
      </c>
    </row>
    <row r="116" spans="1:19" ht="12.5">
      <c r="A116" s="181"/>
      <c r="B116" s="183"/>
      <c r="F116" s="342">
        <f t="shared" si="4"/>
        <v>0</v>
      </c>
      <c r="H116" s="56"/>
    </row>
    <row r="117" spans="1:19" ht="12.5">
      <c r="A117" s="181"/>
      <c r="B117" s="183" t="s">
        <v>232</v>
      </c>
      <c r="F117" s="342">
        <f t="shared" si="4"/>
        <v>0</v>
      </c>
      <c r="H117" s="56"/>
    </row>
    <row r="118" spans="1:19" ht="12.5">
      <c r="A118" s="184">
        <v>814000</v>
      </c>
      <c r="B118" s="183" t="s">
        <v>233</v>
      </c>
      <c r="F118" s="342">
        <f t="shared" si="4"/>
        <v>0</v>
      </c>
      <c r="H118" s="56">
        <v>0</v>
      </c>
    </row>
    <row r="119" spans="1:19" ht="12.5">
      <c r="A119" s="184">
        <v>824000</v>
      </c>
      <c r="B119" s="183" t="s">
        <v>234</v>
      </c>
      <c r="F119" s="342">
        <f t="shared" si="4"/>
        <v>571</v>
      </c>
      <c r="H119" s="56">
        <v>570704</v>
      </c>
    </row>
    <row r="120" spans="1:19" ht="12.5">
      <c r="A120" s="184">
        <v>837000</v>
      </c>
      <c r="B120" s="183" t="s">
        <v>235</v>
      </c>
      <c r="F120" s="342">
        <f t="shared" si="4"/>
        <v>1492</v>
      </c>
      <c r="H120" s="56">
        <v>1491595</v>
      </c>
    </row>
    <row r="121" spans="1:19" ht="12.5">
      <c r="A121" s="181"/>
      <c r="B121" s="183" t="s">
        <v>236</v>
      </c>
      <c r="F121" s="342">
        <f t="shared" si="4"/>
        <v>2062</v>
      </c>
      <c r="H121" s="56">
        <v>2062299</v>
      </c>
    </row>
    <row r="122" spans="1:19" ht="12.5">
      <c r="A122" s="181"/>
      <c r="B122" s="183"/>
      <c r="F122" s="342">
        <f t="shared" si="4"/>
        <v>0</v>
      </c>
      <c r="H122" s="56"/>
    </row>
    <row r="123" spans="1:19" ht="12.5">
      <c r="A123" s="182"/>
      <c r="B123" s="183" t="s">
        <v>237</v>
      </c>
      <c r="F123" s="342">
        <f t="shared" si="4"/>
        <v>512</v>
      </c>
      <c r="H123" s="56">
        <v>511824</v>
      </c>
    </row>
    <row r="124" spans="1:19" ht="12.5">
      <c r="A124" s="182"/>
      <c r="B124" s="183" t="s">
        <v>238</v>
      </c>
      <c r="F124" s="342">
        <f t="shared" si="4"/>
        <v>0</v>
      </c>
      <c r="H124" s="56">
        <v>0</v>
      </c>
    </row>
    <row r="125" spans="1:19" ht="12.5">
      <c r="A125" s="181"/>
      <c r="B125" s="183" t="s">
        <v>239</v>
      </c>
      <c r="F125" s="342">
        <f t="shared" si="4"/>
        <v>161</v>
      </c>
      <c r="H125" s="56">
        <v>160711</v>
      </c>
    </row>
    <row r="126" spans="1:19" ht="12.5">
      <c r="A126" s="181"/>
      <c r="B126" s="183" t="s">
        <v>240</v>
      </c>
      <c r="F126" s="342">
        <f t="shared" si="4"/>
        <v>673</v>
      </c>
      <c r="H126" s="56">
        <v>672535</v>
      </c>
    </row>
    <row r="127" spans="1:19" ht="12.5">
      <c r="A127" s="181"/>
      <c r="B127" s="183"/>
      <c r="F127" s="342">
        <f t="shared" si="4"/>
        <v>0</v>
      </c>
      <c r="H127" s="56"/>
    </row>
    <row r="128" spans="1:19" ht="12.5">
      <c r="A128" s="181"/>
      <c r="B128" s="183" t="s">
        <v>241</v>
      </c>
      <c r="F128" s="342">
        <f t="shared" si="4"/>
        <v>2735</v>
      </c>
      <c r="H128" s="56">
        <v>2734834</v>
      </c>
    </row>
    <row r="129" spans="1:8" ht="12.5">
      <c r="A129" s="181"/>
      <c r="B129" s="183"/>
      <c r="F129" s="342">
        <f t="shared" si="4"/>
        <v>0</v>
      </c>
      <c r="H129" s="56"/>
    </row>
    <row r="130" spans="1:8" ht="12.5">
      <c r="A130" s="181"/>
      <c r="B130" s="183" t="s">
        <v>242</v>
      </c>
      <c r="F130" s="342">
        <f t="shared" si="4"/>
        <v>0</v>
      </c>
      <c r="H130" s="56"/>
    </row>
    <row r="131" spans="1:8" ht="12.5">
      <c r="A131" s="181"/>
      <c r="B131" s="183" t="s">
        <v>243</v>
      </c>
      <c r="F131" s="342">
        <f t="shared" si="4"/>
        <v>0</v>
      </c>
      <c r="H131" s="56"/>
    </row>
    <row r="132" spans="1:8" ht="12.5">
      <c r="A132" s="184">
        <v>870000</v>
      </c>
      <c r="B132" s="183" t="s">
        <v>233</v>
      </c>
      <c r="F132" s="342">
        <f t="shared" si="4"/>
        <v>1610</v>
      </c>
      <c r="H132" s="56">
        <v>1609942</v>
      </c>
    </row>
    <row r="133" spans="1:8" ht="12.5">
      <c r="A133" s="184">
        <v>871000</v>
      </c>
      <c r="B133" s="183" t="s">
        <v>244</v>
      </c>
      <c r="F133" s="342">
        <f t="shared" si="4"/>
        <v>0</v>
      </c>
      <c r="H133" s="56">
        <v>0</v>
      </c>
    </row>
    <row r="134" spans="1:8" ht="12.5">
      <c r="A134" s="184">
        <v>874000</v>
      </c>
      <c r="B134" s="183" t="s">
        <v>245</v>
      </c>
      <c r="F134" s="342">
        <f t="shared" si="4"/>
        <v>3230</v>
      </c>
      <c r="H134" s="56">
        <v>3230198</v>
      </c>
    </row>
    <row r="135" spans="1:8" ht="12.5">
      <c r="A135" s="184">
        <v>875000</v>
      </c>
      <c r="B135" s="183" t="s">
        <v>246</v>
      </c>
      <c r="F135" s="342">
        <f t="shared" si="4"/>
        <v>89</v>
      </c>
      <c r="H135" s="56">
        <v>88889</v>
      </c>
    </row>
    <row r="136" spans="1:8" ht="12.5">
      <c r="A136" s="184">
        <v>876000</v>
      </c>
      <c r="B136" s="183" t="s">
        <v>247</v>
      </c>
      <c r="F136" s="342">
        <f t="shared" si="4"/>
        <v>6</v>
      </c>
      <c r="H136" s="56">
        <v>5860</v>
      </c>
    </row>
    <row r="137" spans="1:8" ht="12.5">
      <c r="A137" s="184">
        <v>877000</v>
      </c>
      <c r="B137" s="183" t="s">
        <v>248</v>
      </c>
      <c r="F137" s="342">
        <f t="shared" si="4"/>
        <v>47</v>
      </c>
      <c r="H137" s="56">
        <v>47365</v>
      </c>
    </row>
    <row r="138" spans="1:8" ht="12.5">
      <c r="A138" s="184">
        <v>878000</v>
      </c>
      <c r="B138" s="183" t="s">
        <v>249</v>
      </c>
      <c r="F138" s="342">
        <f t="shared" si="4"/>
        <v>357</v>
      </c>
      <c r="H138" s="56">
        <v>357349</v>
      </c>
    </row>
    <row r="139" spans="1:8" ht="12.5">
      <c r="A139" s="184">
        <v>879000</v>
      </c>
      <c r="B139" s="183" t="s">
        <v>250</v>
      </c>
      <c r="F139" s="342">
        <f t="shared" si="4"/>
        <v>1412</v>
      </c>
      <c r="H139" s="56">
        <v>1411593</v>
      </c>
    </row>
    <row r="140" spans="1:8" ht="12.5">
      <c r="A140" s="184">
        <v>880000</v>
      </c>
      <c r="B140" s="183" t="s">
        <v>234</v>
      </c>
      <c r="F140" s="342">
        <f t="shared" si="4"/>
        <v>2144</v>
      </c>
      <c r="H140" s="56">
        <v>2143569</v>
      </c>
    </row>
    <row r="141" spans="1:8" ht="12.5">
      <c r="A141" s="184">
        <v>881000</v>
      </c>
      <c r="B141" s="183" t="s">
        <v>251</v>
      </c>
      <c r="F141" s="342">
        <f t="shared" si="4"/>
        <v>-5</v>
      </c>
      <c r="H141" s="56">
        <v>-5121</v>
      </c>
    </row>
    <row r="142" spans="1:8" ht="12.5">
      <c r="A142" s="181"/>
      <c r="B142" s="183"/>
      <c r="F142" s="342">
        <f t="shared" si="4"/>
        <v>0</v>
      </c>
      <c r="H142" s="56"/>
    </row>
    <row r="143" spans="1:8" ht="12.5">
      <c r="A143" s="181"/>
      <c r="B143" s="183" t="s">
        <v>252</v>
      </c>
      <c r="F143" s="342">
        <f t="shared" si="4"/>
        <v>0</v>
      </c>
      <c r="H143" s="56"/>
    </row>
    <row r="144" spans="1:8" ht="12.5">
      <c r="A144" s="184">
        <v>885000</v>
      </c>
      <c r="B144" s="183" t="s">
        <v>233</v>
      </c>
      <c r="F144" s="342">
        <f t="shared" si="4"/>
        <v>15</v>
      </c>
      <c r="H144" s="56">
        <v>14914</v>
      </c>
    </row>
    <row r="145" spans="1:8" ht="12.5">
      <c r="A145" s="184">
        <v>887000</v>
      </c>
      <c r="B145" s="183" t="s">
        <v>253</v>
      </c>
      <c r="F145" s="342">
        <f t="shared" si="4"/>
        <v>982</v>
      </c>
      <c r="H145" s="56">
        <v>982204</v>
      </c>
    </row>
    <row r="146" spans="1:8" ht="12.5">
      <c r="A146" s="184">
        <v>889000</v>
      </c>
      <c r="B146" s="183" t="s">
        <v>246</v>
      </c>
      <c r="F146" s="342">
        <f t="shared" si="4"/>
        <v>212</v>
      </c>
      <c r="H146" s="56">
        <v>211901</v>
      </c>
    </row>
    <row r="147" spans="1:8" ht="12.5">
      <c r="A147" s="184">
        <v>890000</v>
      </c>
      <c r="B147" s="183" t="s">
        <v>247</v>
      </c>
      <c r="F147" s="342">
        <f t="shared" si="4"/>
        <v>8</v>
      </c>
      <c r="H147" s="56">
        <v>7827</v>
      </c>
    </row>
    <row r="148" spans="1:8" ht="12.5">
      <c r="A148" s="184">
        <v>891000</v>
      </c>
      <c r="B148" s="183" t="s">
        <v>248</v>
      </c>
      <c r="F148" s="342">
        <f t="shared" si="4"/>
        <v>83</v>
      </c>
      <c r="H148" s="56">
        <v>83430</v>
      </c>
    </row>
    <row r="149" spans="1:8" ht="12.5">
      <c r="A149" s="184">
        <v>892000</v>
      </c>
      <c r="B149" s="183" t="s">
        <v>254</v>
      </c>
      <c r="F149" s="342">
        <f t="shared" si="4"/>
        <v>1074</v>
      </c>
      <c r="H149" s="56">
        <v>1074003</v>
      </c>
    </row>
    <row r="150" spans="1:8" ht="12.5">
      <c r="A150" s="184">
        <v>893000</v>
      </c>
      <c r="B150" s="183" t="s">
        <v>255</v>
      </c>
      <c r="F150" s="342">
        <f t="shared" si="4"/>
        <v>1531</v>
      </c>
      <c r="H150" s="56">
        <v>1530870</v>
      </c>
    </row>
    <row r="151" spans="1:8" ht="12.5">
      <c r="A151" s="184">
        <v>894000</v>
      </c>
      <c r="B151" s="183" t="s">
        <v>235</v>
      </c>
      <c r="F151" s="342">
        <f t="shared" si="4"/>
        <v>121</v>
      </c>
      <c r="H151" s="56">
        <v>120823</v>
      </c>
    </row>
    <row r="152" spans="1:8" ht="12.5">
      <c r="A152" s="181"/>
      <c r="B152" s="183" t="s">
        <v>256</v>
      </c>
      <c r="F152" s="342">
        <f t="shared" si="4"/>
        <v>12916</v>
      </c>
      <c r="H152" s="56">
        <v>12915616</v>
      </c>
    </row>
    <row r="153" spans="1:8" ht="12.5">
      <c r="A153" s="181"/>
      <c r="B153" s="183"/>
      <c r="F153" s="342">
        <f t="shared" si="4"/>
        <v>0</v>
      </c>
      <c r="H153" s="56"/>
    </row>
    <row r="154" spans="1:8" ht="12.5">
      <c r="A154" s="181"/>
      <c r="B154" s="183" t="s">
        <v>257</v>
      </c>
      <c r="F154" s="342">
        <f t="shared" si="4"/>
        <v>16440</v>
      </c>
      <c r="H154" s="56">
        <v>16440378</v>
      </c>
    </row>
    <row r="155" spans="1:8" ht="12.5">
      <c r="A155" s="181"/>
      <c r="B155" s="183" t="s">
        <v>239</v>
      </c>
      <c r="F155" s="342">
        <f t="shared" si="4"/>
        <v>21003</v>
      </c>
      <c r="H155" s="56">
        <v>21003386</v>
      </c>
    </row>
    <row r="156" spans="1:8" ht="12.5">
      <c r="A156" s="181"/>
      <c r="B156" s="183" t="s">
        <v>258</v>
      </c>
      <c r="F156" s="342">
        <f t="shared" si="4"/>
        <v>37444</v>
      </c>
      <c r="H156" s="56">
        <v>37443764</v>
      </c>
    </row>
    <row r="157" spans="1:8" ht="12.5">
      <c r="A157" s="181"/>
      <c r="B157" s="183"/>
      <c r="F157" s="342">
        <f t="shared" ref="F157:F236" si="5">ROUND(H157/1000,0)</f>
        <v>0</v>
      </c>
      <c r="H157" s="56"/>
    </row>
    <row r="158" spans="1:8" ht="12.5">
      <c r="A158" s="181"/>
      <c r="B158" s="183" t="s">
        <v>259</v>
      </c>
      <c r="F158" s="342">
        <f t="shared" si="5"/>
        <v>50359</v>
      </c>
      <c r="H158" s="56">
        <v>50359380</v>
      </c>
    </row>
    <row r="159" spans="1:8" ht="12.5">
      <c r="A159" s="181"/>
      <c r="B159" s="183"/>
      <c r="F159" s="342">
        <f t="shared" si="5"/>
        <v>0</v>
      </c>
      <c r="H159" s="56"/>
    </row>
    <row r="160" spans="1:8" ht="12.5">
      <c r="A160" s="181"/>
      <c r="B160" s="183" t="s">
        <v>260</v>
      </c>
      <c r="F160" s="342">
        <f t="shared" si="5"/>
        <v>0</v>
      </c>
      <c r="H160" s="56"/>
    </row>
    <row r="161" spans="1:8" ht="12.5">
      <c r="A161" s="184">
        <v>901000</v>
      </c>
      <c r="B161" s="183" t="s">
        <v>261</v>
      </c>
      <c r="F161" s="342">
        <f t="shared" si="5"/>
        <v>56</v>
      </c>
      <c r="H161" s="56">
        <v>56410</v>
      </c>
    </row>
    <row r="162" spans="1:8" ht="12.5">
      <c r="A162" s="184">
        <v>902000</v>
      </c>
      <c r="B162" s="183" t="s">
        <v>262</v>
      </c>
      <c r="F162" s="342">
        <f t="shared" si="5"/>
        <v>334</v>
      </c>
      <c r="H162" s="56">
        <v>334068</v>
      </c>
    </row>
    <row r="163" spans="1:8" ht="12.5">
      <c r="A163" s="184" t="s">
        <v>263</v>
      </c>
      <c r="B163" s="183" t="s">
        <v>264</v>
      </c>
      <c r="F163" s="342">
        <f t="shared" si="5"/>
        <v>3432</v>
      </c>
      <c r="H163" s="56">
        <v>3431676</v>
      </c>
    </row>
    <row r="164" spans="1:8" ht="12.5">
      <c r="A164" s="184">
        <v>904000</v>
      </c>
      <c r="B164" s="183" t="s">
        <v>265</v>
      </c>
      <c r="F164" s="342">
        <f t="shared" si="5"/>
        <v>16</v>
      </c>
      <c r="H164" s="56">
        <v>15712</v>
      </c>
    </row>
    <row r="165" spans="1:8" ht="12.5">
      <c r="A165" s="184">
        <v>905000</v>
      </c>
      <c r="B165" s="183" t="s">
        <v>266</v>
      </c>
      <c r="F165" s="342">
        <f t="shared" si="5"/>
        <v>155</v>
      </c>
      <c r="H165" s="56">
        <v>154636</v>
      </c>
    </row>
    <row r="166" spans="1:8" ht="12.5">
      <c r="A166" s="181"/>
      <c r="B166" s="183" t="s">
        <v>267</v>
      </c>
      <c r="F166" s="342">
        <f t="shared" si="5"/>
        <v>3993</v>
      </c>
      <c r="H166" s="56">
        <v>3992502</v>
      </c>
    </row>
    <row r="167" spans="1:8" ht="12.5">
      <c r="A167" s="181"/>
      <c r="B167" s="183"/>
      <c r="F167" s="342">
        <f t="shared" si="5"/>
        <v>0</v>
      </c>
      <c r="H167" s="56"/>
    </row>
    <row r="168" spans="1:8" ht="12.5">
      <c r="A168" s="181"/>
      <c r="B168" s="183" t="s">
        <v>268</v>
      </c>
      <c r="F168" s="342">
        <f t="shared" si="5"/>
        <v>0</v>
      </c>
      <c r="H168" s="56"/>
    </row>
    <row r="169" spans="1:8" ht="12.5">
      <c r="A169" s="184" t="s">
        <v>269</v>
      </c>
      <c r="B169" s="183" t="s">
        <v>270</v>
      </c>
      <c r="F169" s="342">
        <f t="shared" si="5"/>
        <v>13606</v>
      </c>
      <c r="H169" s="56">
        <v>13605984</v>
      </c>
    </row>
    <row r="170" spans="1:8" ht="12.5">
      <c r="A170" s="184">
        <v>909000</v>
      </c>
      <c r="B170" s="183" t="s">
        <v>271</v>
      </c>
      <c r="F170" s="342">
        <f t="shared" si="5"/>
        <v>358</v>
      </c>
      <c r="H170" s="56">
        <v>358346</v>
      </c>
    </row>
    <row r="171" spans="1:8" ht="12.5">
      <c r="A171" s="184">
        <v>910000</v>
      </c>
      <c r="B171" s="183" t="s">
        <v>272</v>
      </c>
      <c r="F171" s="342">
        <f t="shared" si="5"/>
        <v>103</v>
      </c>
      <c r="H171" s="56">
        <v>102768</v>
      </c>
    </row>
    <row r="172" spans="1:8" ht="12.5">
      <c r="A172" s="181"/>
      <c r="B172" s="183" t="s">
        <v>273</v>
      </c>
      <c r="F172" s="342">
        <f t="shared" si="5"/>
        <v>14067</v>
      </c>
      <c r="H172" s="56">
        <v>14067098</v>
      </c>
    </row>
    <row r="173" spans="1:8" ht="12.5">
      <c r="A173" s="181"/>
      <c r="B173" s="183"/>
      <c r="F173" s="342">
        <f t="shared" si="5"/>
        <v>0</v>
      </c>
      <c r="H173" s="56"/>
    </row>
    <row r="174" spans="1:8" ht="12.5">
      <c r="A174" s="181"/>
      <c r="B174" s="183" t="s">
        <v>274</v>
      </c>
      <c r="F174" s="342">
        <f t="shared" si="5"/>
        <v>0</v>
      </c>
      <c r="H174" s="56"/>
    </row>
    <row r="175" spans="1:8" ht="12.5">
      <c r="A175" s="184">
        <v>912000</v>
      </c>
      <c r="B175" s="183" t="s">
        <v>275</v>
      </c>
      <c r="F175" s="342">
        <f t="shared" si="5"/>
        <v>0</v>
      </c>
      <c r="H175" s="56">
        <v>0</v>
      </c>
    </row>
    <row r="176" spans="1:8" ht="12.5">
      <c r="A176" s="184">
        <v>913000</v>
      </c>
      <c r="B176" s="183" t="s">
        <v>271</v>
      </c>
      <c r="F176" s="342">
        <f t="shared" si="5"/>
        <v>0</v>
      </c>
      <c r="H176" s="56">
        <v>0</v>
      </c>
    </row>
    <row r="177" spans="1:8" ht="12.5">
      <c r="A177" s="184">
        <v>916000</v>
      </c>
      <c r="B177" s="183" t="s">
        <v>276</v>
      </c>
      <c r="F177" s="342">
        <f t="shared" si="5"/>
        <v>0</v>
      </c>
      <c r="H177" s="56">
        <v>279</v>
      </c>
    </row>
    <row r="178" spans="1:8" ht="12.5">
      <c r="A178" s="181"/>
      <c r="B178" s="183" t="s">
        <v>277</v>
      </c>
      <c r="F178" s="342">
        <f t="shared" si="5"/>
        <v>0</v>
      </c>
      <c r="H178" s="56">
        <v>279</v>
      </c>
    </row>
    <row r="179" spans="1:8" ht="12.5">
      <c r="A179" s="181"/>
      <c r="B179" s="183"/>
      <c r="F179" s="342">
        <f t="shared" si="5"/>
        <v>0</v>
      </c>
      <c r="H179" s="56"/>
    </row>
    <row r="180" spans="1:8" ht="12.5">
      <c r="A180" s="181"/>
      <c r="B180" s="183" t="s">
        <v>278</v>
      </c>
      <c r="F180" s="342">
        <f t="shared" si="5"/>
        <v>0</v>
      </c>
      <c r="H180" s="56"/>
    </row>
    <row r="181" spans="1:8" ht="12.5">
      <c r="A181" s="184">
        <v>920000</v>
      </c>
      <c r="B181" s="183" t="s">
        <v>279</v>
      </c>
      <c r="F181" s="342">
        <f t="shared" si="5"/>
        <v>6401</v>
      </c>
      <c r="H181" s="56">
        <v>6401276</v>
      </c>
    </row>
    <row r="182" spans="1:8" ht="12.5">
      <c r="A182" s="184">
        <v>921000</v>
      </c>
      <c r="B182" s="183" t="s">
        <v>280</v>
      </c>
      <c r="F182" s="342">
        <f t="shared" si="5"/>
        <v>856</v>
      </c>
      <c r="H182" s="56">
        <v>855551</v>
      </c>
    </row>
    <row r="183" spans="1:8" ht="12.5">
      <c r="A183" s="184">
        <v>922000</v>
      </c>
      <c r="B183" s="183" t="s">
        <v>281</v>
      </c>
      <c r="F183" s="342">
        <f t="shared" si="5"/>
        <v>-14</v>
      </c>
      <c r="H183" s="56">
        <v>-13733</v>
      </c>
    </row>
    <row r="184" spans="1:8" ht="12.5">
      <c r="A184" s="184">
        <v>923000</v>
      </c>
      <c r="B184" s="183" t="s">
        <v>282</v>
      </c>
      <c r="F184" s="342">
        <f t="shared" si="5"/>
        <v>3098</v>
      </c>
      <c r="H184" s="56">
        <v>3098211</v>
      </c>
    </row>
    <row r="185" spans="1:8" ht="12.5">
      <c r="A185" s="184">
        <v>924000</v>
      </c>
      <c r="B185" s="183" t="s">
        <v>283</v>
      </c>
      <c r="F185" s="342">
        <f t="shared" si="5"/>
        <v>445</v>
      </c>
      <c r="H185" s="56">
        <v>445161</v>
      </c>
    </row>
    <row r="186" spans="1:8" ht="12.5">
      <c r="A186" s="181" t="s">
        <v>284</v>
      </c>
      <c r="B186" s="183" t="s">
        <v>285</v>
      </c>
      <c r="F186" s="342">
        <f t="shared" si="5"/>
        <v>1297</v>
      </c>
      <c r="H186" s="56">
        <v>1296904</v>
      </c>
    </row>
    <row r="187" spans="1:8" ht="12.5">
      <c r="A187" s="181" t="s">
        <v>286</v>
      </c>
      <c r="B187" s="183" t="s">
        <v>287</v>
      </c>
      <c r="F187" s="342">
        <f t="shared" si="5"/>
        <v>6987</v>
      </c>
      <c r="H187" s="56">
        <v>6986558</v>
      </c>
    </row>
    <row r="188" spans="1:8" ht="12.5">
      <c r="A188" s="184">
        <v>928000</v>
      </c>
      <c r="B188" s="183" t="s">
        <v>288</v>
      </c>
      <c r="F188" s="342">
        <f t="shared" si="5"/>
        <v>901</v>
      </c>
      <c r="H188" s="56">
        <v>901022</v>
      </c>
    </row>
    <row r="189" spans="1:8" ht="12.5">
      <c r="A189" s="184">
        <v>930000</v>
      </c>
      <c r="B189" s="183" t="s">
        <v>289</v>
      </c>
      <c r="F189" s="342">
        <f t="shared" si="5"/>
        <v>1217</v>
      </c>
      <c r="H189" s="56">
        <v>1217285</v>
      </c>
    </row>
    <row r="190" spans="1:8" ht="12.5">
      <c r="A190" s="184">
        <v>931000</v>
      </c>
      <c r="B190" s="183" t="s">
        <v>251</v>
      </c>
      <c r="F190" s="342">
        <f t="shared" si="5"/>
        <v>103</v>
      </c>
      <c r="H190" s="56">
        <v>102766</v>
      </c>
    </row>
    <row r="191" spans="1:8" ht="12.5">
      <c r="A191" s="184">
        <v>935000</v>
      </c>
      <c r="B191" s="183" t="s">
        <v>290</v>
      </c>
      <c r="F191" s="342">
        <f t="shared" si="5"/>
        <v>3107</v>
      </c>
      <c r="H191" s="56">
        <v>3107468</v>
      </c>
    </row>
    <row r="192" spans="1:8" ht="12.5">
      <c r="A192" s="181"/>
      <c r="B192" s="183" t="s">
        <v>291</v>
      </c>
      <c r="F192" s="342">
        <f t="shared" si="5"/>
        <v>24398</v>
      </c>
      <c r="H192" s="56">
        <v>24398469</v>
      </c>
    </row>
    <row r="193" spans="1:19" ht="12.5">
      <c r="A193" s="181"/>
      <c r="B193" s="183"/>
      <c r="F193" s="342">
        <f t="shared" si="5"/>
        <v>0</v>
      </c>
      <c r="H193" s="56"/>
    </row>
    <row r="194" spans="1:19" ht="12.5">
      <c r="A194" s="181"/>
      <c r="B194" s="183" t="s">
        <v>292</v>
      </c>
      <c r="F194" s="342">
        <f t="shared" si="5"/>
        <v>5143</v>
      </c>
      <c r="H194" s="56">
        <v>5143287</v>
      </c>
    </row>
    <row r="195" spans="1:19" ht="12.5">
      <c r="A195" s="181"/>
      <c r="B195" s="183" t="s">
        <v>293</v>
      </c>
      <c r="F195" s="342">
        <f t="shared" si="5"/>
        <v>88</v>
      </c>
      <c r="H195" s="56">
        <v>88089</v>
      </c>
    </row>
    <row r="196" spans="1:19" ht="12.5">
      <c r="A196" s="181"/>
      <c r="B196" s="183" t="s">
        <v>294</v>
      </c>
      <c r="F196" s="342">
        <f t="shared" si="5"/>
        <v>7571</v>
      </c>
      <c r="H196" s="56">
        <v>7570602</v>
      </c>
    </row>
    <row r="197" spans="1:19" ht="12.5">
      <c r="A197" s="182"/>
      <c r="B197" s="183" t="s">
        <v>295</v>
      </c>
      <c r="F197" s="342">
        <f t="shared" si="5"/>
        <v>0</v>
      </c>
      <c r="H197" s="56">
        <v>0</v>
      </c>
    </row>
    <row r="198" spans="1:19" s="509" customFormat="1" ht="15.5">
      <c r="A198" s="510">
        <v>407230</v>
      </c>
      <c r="B198" s="241" t="s">
        <v>450</v>
      </c>
      <c r="C198" s="506"/>
      <c r="D198" s="506"/>
      <c r="E198" s="507"/>
      <c r="F198" s="508">
        <f t="shared" si="5"/>
        <v>-31</v>
      </c>
      <c r="G198" s="507"/>
      <c r="H198" s="411">
        <v>-30596</v>
      </c>
      <c r="I198" s="515"/>
      <c r="J198"/>
      <c r="K198"/>
      <c r="L198"/>
      <c r="M198"/>
      <c r="N198"/>
      <c r="O198"/>
      <c r="P198"/>
      <c r="Q198"/>
      <c r="R198"/>
      <c r="S198"/>
    </row>
    <row r="199" spans="1:19" ht="15.5">
      <c r="A199" s="334">
        <v>407302</v>
      </c>
      <c r="B199" s="240" t="s">
        <v>451</v>
      </c>
      <c r="F199" s="342">
        <f t="shared" si="5"/>
        <v>2037</v>
      </c>
      <c r="H199" s="56">
        <v>2037268</v>
      </c>
    </row>
    <row r="200" spans="1:19" ht="15.5">
      <c r="A200" s="334">
        <v>407305</v>
      </c>
      <c r="B200" s="240" t="s">
        <v>463</v>
      </c>
      <c r="F200" s="342">
        <f t="shared" si="5"/>
        <v>0</v>
      </c>
      <c r="H200" s="56">
        <v>0</v>
      </c>
    </row>
    <row r="201" spans="1:19" ht="15.5">
      <c r="A201" s="334">
        <v>407306</v>
      </c>
      <c r="B201" s="240" t="s">
        <v>586</v>
      </c>
      <c r="F201" s="342">
        <f t="shared" si="5"/>
        <v>847</v>
      </c>
      <c r="H201" s="56">
        <v>846808</v>
      </c>
    </row>
    <row r="202" spans="1:19" ht="15.5">
      <c r="A202" s="334">
        <v>407307</v>
      </c>
      <c r="B202" s="240" t="s">
        <v>587</v>
      </c>
      <c r="F202" s="342">
        <f t="shared" si="5"/>
        <v>338</v>
      </c>
      <c r="H202" s="56">
        <v>337810</v>
      </c>
    </row>
    <row r="203" spans="1:19" ht="15.5">
      <c r="A203" s="334">
        <v>407311</v>
      </c>
      <c r="B203" s="240" t="s">
        <v>452</v>
      </c>
      <c r="F203" s="342">
        <f t="shared" si="5"/>
        <v>208</v>
      </c>
      <c r="H203" s="56">
        <v>207898</v>
      </c>
    </row>
    <row r="204" spans="1:19" ht="15.5">
      <c r="A204" s="334">
        <v>407314</v>
      </c>
      <c r="B204" s="240" t="s">
        <v>501</v>
      </c>
      <c r="F204" s="342">
        <f t="shared" si="5"/>
        <v>0</v>
      </c>
      <c r="H204" s="56">
        <v>0</v>
      </c>
    </row>
    <row r="205" spans="1:19" ht="15.5">
      <c r="A205" s="334">
        <v>407319</v>
      </c>
      <c r="B205" s="240" t="s">
        <v>453</v>
      </c>
      <c r="F205" s="342">
        <f t="shared" si="5"/>
        <v>0</v>
      </c>
      <c r="H205" s="56">
        <v>0</v>
      </c>
    </row>
    <row r="206" spans="1:19" ht="15.5">
      <c r="A206" s="334">
        <v>407332</v>
      </c>
      <c r="B206" s="240" t="s">
        <v>454</v>
      </c>
      <c r="F206" s="342">
        <f t="shared" si="5"/>
        <v>0</v>
      </c>
      <c r="H206" s="56">
        <v>0</v>
      </c>
    </row>
    <row r="207" spans="1:19" ht="15.5">
      <c r="A207" s="334" t="s">
        <v>502</v>
      </c>
      <c r="B207" s="240" t="s">
        <v>503</v>
      </c>
      <c r="F207" s="342">
        <f t="shared" si="5"/>
        <v>0</v>
      </c>
      <c r="H207" s="56">
        <v>0</v>
      </c>
    </row>
    <row r="208" spans="1:19" ht="15.5">
      <c r="A208" s="242" t="s">
        <v>588</v>
      </c>
      <c r="B208" s="240" t="s">
        <v>589</v>
      </c>
      <c r="F208" s="342">
        <f t="shared" si="5"/>
        <v>48</v>
      </c>
      <c r="H208" s="56">
        <v>48374</v>
      </c>
    </row>
    <row r="209" spans="1:8" ht="15.5">
      <c r="A209" s="242" t="s">
        <v>504</v>
      </c>
      <c r="B209" s="240" t="s">
        <v>505</v>
      </c>
      <c r="F209" s="342">
        <f t="shared" si="5"/>
        <v>0</v>
      </c>
      <c r="H209" s="56">
        <v>0</v>
      </c>
    </row>
    <row r="210" spans="1:8" ht="15.5">
      <c r="A210" s="242" t="s">
        <v>506</v>
      </c>
      <c r="B210" s="240" t="s">
        <v>507</v>
      </c>
      <c r="F210" s="342">
        <f t="shared" si="5"/>
        <v>-49</v>
      </c>
      <c r="H210" s="56">
        <v>-48910</v>
      </c>
    </row>
    <row r="211" spans="1:8" ht="15.5">
      <c r="A211" s="242" t="s">
        <v>455</v>
      </c>
      <c r="B211" s="240" t="s">
        <v>464</v>
      </c>
      <c r="F211" s="342">
        <f t="shared" si="5"/>
        <v>0</v>
      </c>
      <c r="H211" s="56">
        <v>0</v>
      </c>
    </row>
    <row r="212" spans="1:8" ht="15.5">
      <c r="A212" s="242" t="s">
        <v>590</v>
      </c>
      <c r="B212" s="240" t="s">
        <v>591</v>
      </c>
      <c r="F212" s="342">
        <f t="shared" si="5"/>
        <v>-279</v>
      </c>
      <c r="H212" s="56">
        <v>-278685</v>
      </c>
    </row>
    <row r="213" spans="1:8" ht="15.5">
      <c r="A213" s="242" t="s">
        <v>508</v>
      </c>
      <c r="B213" s="240" t="s">
        <v>509</v>
      </c>
      <c r="F213" s="342">
        <f t="shared" si="5"/>
        <v>304</v>
      </c>
      <c r="H213" s="56">
        <v>303710</v>
      </c>
    </row>
    <row r="214" spans="1:8" ht="15.5">
      <c r="A214" s="242" t="s">
        <v>592</v>
      </c>
      <c r="B214" s="240" t="s">
        <v>593</v>
      </c>
      <c r="F214" s="342">
        <f t="shared" si="5"/>
        <v>-38</v>
      </c>
      <c r="H214" s="56">
        <v>-37628</v>
      </c>
    </row>
    <row r="215" spans="1:8" ht="15.5">
      <c r="A215" s="242" t="s">
        <v>594</v>
      </c>
      <c r="B215" s="240" t="s">
        <v>595</v>
      </c>
      <c r="F215" s="342">
        <f t="shared" si="5"/>
        <v>-1731</v>
      </c>
      <c r="H215" s="56">
        <v>-1731369</v>
      </c>
    </row>
    <row r="216" spans="1:8" ht="15.5">
      <c r="A216" s="242" t="s">
        <v>596</v>
      </c>
      <c r="B216" s="240" t="s">
        <v>597</v>
      </c>
      <c r="F216" s="342">
        <f t="shared" si="5"/>
        <v>-8</v>
      </c>
      <c r="H216" s="56">
        <v>-8413</v>
      </c>
    </row>
    <row r="217" spans="1:8" ht="15.5">
      <c r="A217" s="242" t="s">
        <v>510</v>
      </c>
      <c r="B217" s="240" t="s">
        <v>598</v>
      </c>
      <c r="F217" s="342">
        <f t="shared" si="5"/>
        <v>-34</v>
      </c>
      <c r="H217" s="56">
        <v>-34010</v>
      </c>
    </row>
    <row r="218" spans="1:8" ht="15.5">
      <c r="A218" s="408"/>
      <c r="B218" s="240" t="s">
        <v>511</v>
      </c>
      <c r="F218" s="342">
        <f t="shared" si="5"/>
        <v>1132</v>
      </c>
      <c r="H218" s="56">
        <v>1131675</v>
      </c>
    </row>
    <row r="219" spans="1:8" ht="12.5">
      <c r="A219" s="181"/>
      <c r="B219" s="183" t="s">
        <v>296</v>
      </c>
      <c r="F219" s="342">
        <f t="shared" si="5"/>
        <v>15546</v>
      </c>
      <c r="H219" s="56">
        <v>15545910</v>
      </c>
    </row>
    <row r="220" spans="1:8" ht="12.5">
      <c r="A220" s="181"/>
      <c r="B220" s="183"/>
      <c r="F220" s="342">
        <f t="shared" si="5"/>
        <v>0</v>
      </c>
      <c r="H220" s="56"/>
    </row>
    <row r="221" spans="1:8" ht="12.5">
      <c r="A221" s="184"/>
      <c r="B221" s="183" t="s">
        <v>297</v>
      </c>
      <c r="F221" s="342">
        <f t="shared" si="5"/>
        <v>39944</v>
      </c>
      <c r="H221" s="56">
        <v>39944379</v>
      </c>
    </row>
    <row r="222" spans="1:8" ht="12.5">
      <c r="A222" s="184"/>
      <c r="B222" s="183"/>
      <c r="F222" s="342">
        <f t="shared" si="5"/>
        <v>0</v>
      </c>
      <c r="H222" s="56"/>
    </row>
    <row r="223" spans="1:8" ht="12.5">
      <c r="A223" s="184"/>
      <c r="B223" s="183" t="s">
        <v>298</v>
      </c>
      <c r="F223" s="342">
        <f t="shared" si="5"/>
        <v>260577</v>
      </c>
      <c r="H223" s="56">
        <v>260577166</v>
      </c>
    </row>
    <row r="224" spans="1:8" ht="12.5">
      <c r="A224" s="184"/>
      <c r="B224" s="183"/>
      <c r="F224" s="342">
        <f t="shared" si="5"/>
        <v>0</v>
      </c>
      <c r="H224" s="56"/>
    </row>
    <row r="225" spans="1:19" ht="12.5">
      <c r="A225" s="184"/>
      <c r="B225" s="183" t="s">
        <v>299</v>
      </c>
      <c r="F225" s="342">
        <f t="shared" si="5"/>
        <v>28262</v>
      </c>
      <c r="H225" s="56">
        <v>28261576</v>
      </c>
    </row>
    <row r="226" spans="1:19" ht="12.5">
      <c r="A226" s="184"/>
      <c r="B226" s="183"/>
      <c r="F226" s="342">
        <f t="shared" si="5"/>
        <v>0</v>
      </c>
      <c r="H226" s="56"/>
    </row>
    <row r="227" spans="1:19" ht="12.5">
      <c r="A227" s="184"/>
      <c r="B227" s="183" t="s">
        <v>54</v>
      </c>
      <c r="F227" s="342">
        <f t="shared" si="5"/>
        <v>-4387</v>
      </c>
      <c r="H227" s="56">
        <v>-4386873</v>
      </c>
    </row>
    <row r="228" spans="1:19" ht="12.5">
      <c r="A228" s="184"/>
      <c r="B228" s="183" t="s">
        <v>300</v>
      </c>
      <c r="F228" s="342">
        <f t="shared" si="5"/>
        <v>-3743</v>
      </c>
      <c r="H228" s="56">
        <v>-3743490</v>
      </c>
    </row>
    <row r="229" spans="1:19" ht="12.5">
      <c r="A229" s="184"/>
      <c r="B229" s="183" t="s">
        <v>301</v>
      </c>
      <c r="F229" s="342">
        <f t="shared" si="5"/>
        <v>0</v>
      </c>
      <c r="H229" s="56">
        <v>0</v>
      </c>
    </row>
    <row r="230" spans="1:19" s="509" customFormat="1" ht="12.5">
      <c r="A230" s="504"/>
      <c r="B230" s="186" t="s">
        <v>302</v>
      </c>
      <c r="C230" s="506"/>
      <c r="D230" s="506"/>
      <c r="E230" s="507"/>
      <c r="F230" s="508">
        <f t="shared" si="5"/>
        <v>36392</v>
      </c>
      <c r="G230" s="507"/>
      <c r="H230" s="411">
        <v>36391939</v>
      </c>
      <c r="I230" s="515"/>
      <c r="J230"/>
      <c r="K230"/>
      <c r="L230"/>
      <c r="M230"/>
      <c r="N230"/>
      <c r="O230"/>
      <c r="P230"/>
      <c r="Q230"/>
      <c r="R230"/>
      <c r="S230"/>
    </row>
    <row r="231" spans="1:19" ht="12.5"/>
    <row r="232" spans="1:19" s="509" customFormat="1" ht="13.5">
      <c r="A232" s="512"/>
      <c r="B232" s="191" t="s">
        <v>104</v>
      </c>
      <c r="C232" s="506"/>
      <c r="D232" s="506"/>
      <c r="E232" s="507"/>
      <c r="F232" s="508"/>
      <c r="G232" s="507"/>
      <c r="H232" s="506"/>
      <c r="I232" s="515"/>
      <c r="J232"/>
      <c r="K232"/>
      <c r="L232" s="511"/>
      <c r="M232" s="511"/>
      <c r="N232" s="511"/>
      <c r="O232" s="511"/>
      <c r="P232" s="511"/>
      <c r="Q232" s="511"/>
      <c r="R232" s="511"/>
      <c r="S232" s="511"/>
    </row>
    <row r="233" spans="1:19" ht="13.5">
      <c r="A233" s="188"/>
      <c r="B233" s="189" t="s">
        <v>303</v>
      </c>
    </row>
    <row r="234" spans="1:19" ht="13.5">
      <c r="A234" s="190">
        <v>303000</v>
      </c>
      <c r="B234" s="191" t="s">
        <v>304</v>
      </c>
      <c r="F234" s="342">
        <f t="shared" si="5"/>
        <v>1979</v>
      </c>
      <c r="H234" s="56">
        <v>1978903</v>
      </c>
    </row>
    <row r="235" spans="1:19" ht="13.5">
      <c r="A235" s="192" t="s">
        <v>305</v>
      </c>
      <c r="B235" s="189" t="s">
        <v>306</v>
      </c>
      <c r="F235" s="342">
        <f t="shared" si="5"/>
        <v>47323</v>
      </c>
      <c r="H235" s="56">
        <v>47322733</v>
      </c>
    </row>
    <row r="236" spans="1:19" ht="13.5">
      <c r="A236" s="193"/>
      <c r="B236" s="189" t="s">
        <v>307</v>
      </c>
      <c r="F236" s="342">
        <f t="shared" si="5"/>
        <v>49302</v>
      </c>
      <c r="H236" s="56">
        <v>49301636</v>
      </c>
    </row>
    <row r="237" spans="1:19" ht="13.5">
      <c r="A237" s="193"/>
      <c r="B237" s="189"/>
      <c r="F237" s="342">
        <f t="shared" ref="F237:F302" si="6">ROUND(H237/1000,0)</f>
        <v>0</v>
      </c>
      <c r="H237" s="56"/>
    </row>
    <row r="238" spans="1:19" ht="13.5">
      <c r="A238" s="193"/>
      <c r="B238" s="189" t="s">
        <v>308</v>
      </c>
      <c r="F238" s="342">
        <f t="shared" si="6"/>
        <v>0</v>
      </c>
      <c r="H238" s="56"/>
    </row>
    <row r="239" spans="1:19" ht="13.5">
      <c r="A239" s="194" t="s">
        <v>309</v>
      </c>
      <c r="B239" s="189" t="s">
        <v>310</v>
      </c>
      <c r="F239" s="342">
        <f t="shared" si="6"/>
        <v>911</v>
      </c>
      <c r="H239" s="56">
        <v>911162</v>
      </c>
    </row>
    <row r="240" spans="1:19" ht="13.5">
      <c r="A240" s="194" t="s">
        <v>311</v>
      </c>
      <c r="B240" s="189" t="s">
        <v>312</v>
      </c>
      <c r="F240" s="342">
        <f t="shared" si="6"/>
        <v>1926</v>
      </c>
      <c r="H240" s="56">
        <v>1925739</v>
      </c>
    </row>
    <row r="241" spans="1:8" ht="13.5">
      <c r="A241" s="194" t="s">
        <v>313</v>
      </c>
      <c r="B241" s="189" t="s">
        <v>314</v>
      </c>
      <c r="F241" s="342">
        <f t="shared" si="6"/>
        <v>16041</v>
      </c>
      <c r="H241" s="56">
        <v>16040909</v>
      </c>
    </row>
    <row r="242" spans="1:8" ht="13.5">
      <c r="A242" s="194">
        <v>353000</v>
      </c>
      <c r="B242" s="189" t="s">
        <v>315</v>
      </c>
      <c r="F242" s="342">
        <f t="shared" si="6"/>
        <v>1409</v>
      </c>
      <c r="H242" s="56">
        <v>1409241</v>
      </c>
    </row>
    <row r="243" spans="1:8" ht="13.5">
      <c r="A243" s="194">
        <v>354000</v>
      </c>
      <c r="B243" s="189" t="s">
        <v>316</v>
      </c>
      <c r="F243" s="342">
        <f t="shared" si="6"/>
        <v>10493</v>
      </c>
      <c r="H243" s="56">
        <v>10492782</v>
      </c>
    </row>
    <row r="244" spans="1:8" ht="13.5">
      <c r="A244" s="194">
        <v>355000</v>
      </c>
      <c r="B244" s="189" t="s">
        <v>317</v>
      </c>
      <c r="F244" s="342">
        <f t="shared" si="6"/>
        <v>1326</v>
      </c>
      <c r="H244" s="56">
        <v>1326369</v>
      </c>
    </row>
    <row r="245" spans="1:8" ht="13.5">
      <c r="A245" s="194">
        <v>356000</v>
      </c>
      <c r="B245" s="189" t="s">
        <v>318</v>
      </c>
      <c r="F245" s="342">
        <f t="shared" si="6"/>
        <v>373</v>
      </c>
      <c r="H245" s="56">
        <v>373150</v>
      </c>
    </row>
    <row r="246" spans="1:8" ht="13.5">
      <c r="A246" s="194">
        <v>357000</v>
      </c>
      <c r="B246" s="189" t="s">
        <v>235</v>
      </c>
      <c r="F246" s="342">
        <f t="shared" si="6"/>
        <v>2020</v>
      </c>
      <c r="H246" s="56">
        <v>2020365</v>
      </c>
    </row>
    <row r="247" spans="1:8" ht="13.5">
      <c r="A247" s="194"/>
      <c r="B247" s="189" t="s">
        <v>319</v>
      </c>
      <c r="F247" s="342">
        <f t="shared" si="6"/>
        <v>34500</v>
      </c>
      <c r="H247" s="56">
        <v>34499717</v>
      </c>
    </row>
    <row r="248" spans="1:8" ht="13.5">
      <c r="A248" s="194"/>
      <c r="B248" s="189"/>
      <c r="F248" s="342">
        <f t="shared" si="6"/>
        <v>0</v>
      </c>
      <c r="H248" s="56"/>
    </row>
    <row r="249" spans="1:8" ht="13.5">
      <c r="A249" s="194"/>
      <c r="B249" s="189" t="s">
        <v>320</v>
      </c>
      <c r="F249" s="342">
        <f t="shared" si="6"/>
        <v>0</v>
      </c>
      <c r="H249" s="56"/>
    </row>
    <row r="250" spans="1:8" ht="13.5">
      <c r="A250" s="194">
        <v>374200</v>
      </c>
      <c r="B250" s="189" t="s">
        <v>310</v>
      </c>
      <c r="F250" s="342">
        <f t="shared" si="6"/>
        <v>64</v>
      </c>
      <c r="H250" s="56">
        <v>63925</v>
      </c>
    </row>
    <row r="251" spans="1:8" ht="13.5">
      <c r="A251" s="194">
        <v>374400</v>
      </c>
      <c r="B251" s="189" t="s">
        <v>310</v>
      </c>
      <c r="F251" s="342">
        <f t="shared" si="6"/>
        <v>510</v>
      </c>
      <c r="H251" s="56">
        <v>510460</v>
      </c>
    </row>
    <row r="252" spans="1:8" ht="13.5">
      <c r="A252" s="194">
        <v>375000</v>
      </c>
      <c r="B252" s="189" t="s">
        <v>312</v>
      </c>
      <c r="F252" s="342">
        <f t="shared" si="6"/>
        <v>931</v>
      </c>
      <c r="H252" s="56">
        <v>930542</v>
      </c>
    </row>
    <row r="253" spans="1:8" ht="13.5">
      <c r="A253" s="194">
        <v>376000</v>
      </c>
      <c r="B253" s="195" t="s">
        <v>253</v>
      </c>
      <c r="F253" s="342">
        <f t="shared" si="6"/>
        <v>320529</v>
      </c>
      <c r="H253" s="56">
        <v>320529216</v>
      </c>
    </row>
    <row r="254" spans="1:8" ht="13.5">
      <c r="A254" s="194">
        <v>378000</v>
      </c>
      <c r="B254" s="189" t="s">
        <v>321</v>
      </c>
      <c r="F254" s="342">
        <f t="shared" si="6"/>
        <v>4781</v>
      </c>
      <c r="H254" s="56">
        <v>4781446</v>
      </c>
    </row>
    <row r="255" spans="1:8" ht="13.5">
      <c r="A255" s="194">
        <v>379000</v>
      </c>
      <c r="B255" s="189" t="s">
        <v>322</v>
      </c>
      <c r="F255" s="342">
        <f t="shared" si="6"/>
        <v>1945</v>
      </c>
      <c r="H255" s="56">
        <v>1944601</v>
      </c>
    </row>
    <row r="256" spans="1:8" ht="13.5">
      <c r="A256" s="194">
        <v>380000</v>
      </c>
      <c r="B256" s="189" t="s">
        <v>254</v>
      </c>
      <c r="F256" s="342">
        <f t="shared" si="6"/>
        <v>232926</v>
      </c>
      <c r="H256" s="56">
        <v>232926317</v>
      </c>
    </row>
    <row r="257" spans="1:8" ht="13.5">
      <c r="A257" s="194" t="s">
        <v>599</v>
      </c>
      <c r="B257" s="189" t="s">
        <v>323</v>
      </c>
      <c r="F257" s="342">
        <f t="shared" si="6"/>
        <v>85804</v>
      </c>
      <c r="H257" s="56">
        <v>85803781</v>
      </c>
    </row>
    <row r="258" spans="1:8" ht="13.5">
      <c r="A258" s="194">
        <v>382000</v>
      </c>
      <c r="B258" s="189" t="s">
        <v>324</v>
      </c>
      <c r="F258" s="342">
        <f t="shared" si="6"/>
        <v>0</v>
      </c>
      <c r="H258" s="56">
        <v>0</v>
      </c>
    </row>
    <row r="259" spans="1:8" ht="13.5">
      <c r="A259" s="194">
        <v>383000</v>
      </c>
      <c r="B259" s="189" t="s">
        <v>325</v>
      </c>
      <c r="F259" s="342">
        <f t="shared" si="6"/>
        <v>0</v>
      </c>
      <c r="H259" s="56">
        <v>0</v>
      </c>
    </row>
    <row r="260" spans="1:8" ht="13.5">
      <c r="A260" s="194">
        <v>384000</v>
      </c>
      <c r="B260" s="189" t="s">
        <v>326</v>
      </c>
      <c r="F260" s="342">
        <f t="shared" si="6"/>
        <v>0</v>
      </c>
      <c r="H260" s="56">
        <v>0</v>
      </c>
    </row>
    <row r="261" spans="1:8" ht="13.5">
      <c r="A261" s="194">
        <v>385000</v>
      </c>
      <c r="B261" s="189" t="s">
        <v>327</v>
      </c>
      <c r="F261" s="342">
        <f t="shared" si="6"/>
        <v>3032</v>
      </c>
      <c r="H261" s="56">
        <v>3032271</v>
      </c>
    </row>
    <row r="262" spans="1:8" ht="13.5">
      <c r="A262" s="194">
        <v>387000</v>
      </c>
      <c r="B262" s="189" t="s">
        <v>235</v>
      </c>
      <c r="F262" s="342">
        <f t="shared" si="6"/>
        <v>0</v>
      </c>
      <c r="H262" s="56">
        <v>0</v>
      </c>
    </row>
    <row r="263" spans="1:8" ht="13.5">
      <c r="A263" s="194"/>
      <c r="B263" s="189" t="s">
        <v>328</v>
      </c>
      <c r="F263" s="342">
        <f t="shared" si="6"/>
        <v>650523</v>
      </c>
      <c r="H263" s="56">
        <v>650522559</v>
      </c>
    </row>
    <row r="264" spans="1:8" ht="13.5">
      <c r="A264" s="194"/>
      <c r="B264" s="189"/>
      <c r="F264" s="342">
        <f t="shared" si="6"/>
        <v>0</v>
      </c>
      <c r="H264" s="56"/>
    </row>
    <row r="265" spans="1:8" ht="13.5">
      <c r="A265" s="194"/>
      <c r="B265" s="189" t="s">
        <v>329</v>
      </c>
      <c r="F265" s="342">
        <f t="shared" si="6"/>
        <v>0</v>
      </c>
      <c r="H265" s="56"/>
    </row>
    <row r="266" spans="1:8" ht="13.5">
      <c r="A266" s="194" t="s">
        <v>330</v>
      </c>
      <c r="B266" s="189" t="s">
        <v>310</v>
      </c>
      <c r="F266" s="342">
        <f t="shared" si="6"/>
        <v>5185</v>
      </c>
      <c r="H266" s="56">
        <v>5184912</v>
      </c>
    </row>
    <row r="267" spans="1:8" ht="13.5">
      <c r="A267" s="192" t="s">
        <v>331</v>
      </c>
      <c r="B267" s="189" t="s">
        <v>312</v>
      </c>
      <c r="F267" s="342">
        <f t="shared" si="6"/>
        <v>48957</v>
      </c>
      <c r="H267" s="56">
        <v>48956705</v>
      </c>
    </row>
    <row r="268" spans="1:8" ht="13.5">
      <c r="A268" s="192" t="s">
        <v>332</v>
      </c>
      <c r="B268" s="189" t="s">
        <v>333</v>
      </c>
      <c r="F268" s="342">
        <f t="shared" si="6"/>
        <v>12141</v>
      </c>
      <c r="H268" s="56">
        <v>12140749</v>
      </c>
    </row>
    <row r="269" spans="1:8" ht="13.5">
      <c r="A269" s="192" t="s">
        <v>334</v>
      </c>
      <c r="B269" s="189" t="s">
        <v>335</v>
      </c>
      <c r="F269" s="342">
        <f t="shared" si="6"/>
        <v>14284</v>
      </c>
      <c r="H269" s="56">
        <v>14284031</v>
      </c>
    </row>
    <row r="270" spans="1:8" ht="13.5">
      <c r="A270" s="194">
        <v>393000</v>
      </c>
      <c r="B270" s="189" t="s">
        <v>336</v>
      </c>
      <c r="F270" s="342">
        <f t="shared" si="6"/>
        <v>1127</v>
      </c>
      <c r="H270" s="56">
        <v>1126701</v>
      </c>
    </row>
    <row r="271" spans="1:8" ht="13.5">
      <c r="A271" s="194">
        <v>394000</v>
      </c>
      <c r="B271" s="189" t="s">
        <v>337</v>
      </c>
      <c r="F271" s="342">
        <f t="shared" si="6"/>
        <v>8317</v>
      </c>
      <c r="H271" s="56">
        <v>8316971</v>
      </c>
    </row>
    <row r="272" spans="1:8" ht="13.5">
      <c r="A272" s="194" t="s">
        <v>600</v>
      </c>
      <c r="B272" s="189" t="s">
        <v>338</v>
      </c>
      <c r="F272" s="342">
        <f t="shared" si="6"/>
        <v>500</v>
      </c>
      <c r="H272" s="56">
        <v>499663</v>
      </c>
    </row>
    <row r="273" spans="1:8" ht="13.5">
      <c r="A273" s="194" t="s">
        <v>339</v>
      </c>
      <c r="B273" s="189" t="s">
        <v>340</v>
      </c>
      <c r="F273" s="342">
        <f t="shared" si="6"/>
        <v>3377</v>
      </c>
      <c r="H273" s="56">
        <v>3376866</v>
      </c>
    </row>
    <row r="274" spans="1:8" ht="13.5">
      <c r="A274" s="194" t="s">
        <v>341</v>
      </c>
      <c r="B274" s="189" t="s">
        <v>342</v>
      </c>
      <c r="F274" s="342">
        <f t="shared" si="6"/>
        <v>18164</v>
      </c>
      <c r="H274" s="56">
        <v>18163808</v>
      </c>
    </row>
    <row r="275" spans="1:8" ht="13.5">
      <c r="A275" s="194">
        <v>398000</v>
      </c>
      <c r="B275" s="189" t="s">
        <v>343</v>
      </c>
      <c r="F275" s="342">
        <f t="shared" si="6"/>
        <v>121</v>
      </c>
      <c r="H275" s="56">
        <v>121030</v>
      </c>
    </row>
    <row r="276" spans="1:8" ht="13.5">
      <c r="A276" s="194"/>
      <c r="B276" s="189" t="s">
        <v>344</v>
      </c>
      <c r="F276" s="342">
        <f t="shared" si="6"/>
        <v>112171</v>
      </c>
      <c r="H276" s="56">
        <v>112171436</v>
      </c>
    </row>
    <row r="277" spans="1:8" ht="13.5">
      <c r="A277" s="194"/>
      <c r="B277" s="189"/>
      <c r="F277" s="342">
        <f t="shared" si="6"/>
        <v>0</v>
      </c>
      <c r="H277" s="56"/>
    </row>
    <row r="278" spans="1:8" ht="13.5">
      <c r="A278" s="194"/>
      <c r="B278" s="189" t="s">
        <v>345</v>
      </c>
      <c r="F278" s="342">
        <f t="shared" si="6"/>
        <v>846495</v>
      </c>
      <c r="H278" s="56">
        <v>846495348</v>
      </c>
    </row>
    <row r="279" spans="1:8" ht="13.5">
      <c r="A279" s="194"/>
      <c r="B279" s="189"/>
      <c r="F279" s="342">
        <f t="shared" si="6"/>
        <v>0</v>
      </c>
      <c r="H279" s="56"/>
    </row>
    <row r="280" spans="1:8" ht="13.5">
      <c r="A280" s="194"/>
      <c r="B280" s="189"/>
      <c r="F280" s="342">
        <f t="shared" si="6"/>
        <v>0</v>
      </c>
      <c r="H280" s="56"/>
    </row>
    <row r="281" spans="1:8" ht="13.5">
      <c r="A281" s="192"/>
      <c r="B281" s="189" t="s">
        <v>63</v>
      </c>
      <c r="F281" s="342">
        <f t="shared" si="6"/>
        <v>0</v>
      </c>
      <c r="H281" s="56"/>
    </row>
    <row r="282" spans="1:8" ht="13.5">
      <c r="A282" s="192"/>
      <c r="B282" s="189" t="s">
        <v>41</v>
      </c>
      <c r="F282" s="342">
        <f t="shared" si="6"/>
        <v>-13149</v>
      </c>
      <c r="H282" s="56">
        <v>-13149497</v>
      </c>
    </row>
    <row r="283" spans="1:8" ht="13.5">
      <c r="A283" s="192"/>
      <c r="B283" s="189" t="s">
        <v>60</v>
      </c>
      <c r="F283" s="342">
        <f t="shared" si="6"/>
        <v>-188334</v>
      </c>
      <c r="H283" s="56">
        <v>-188333960</v>
      </c>
    </row>
    <row r="284" spans="1:8" ht="13.5">
      <c r="A284" s="192"/>
      <c r="B284" s="189" t="s">
        <v>61</v>
      </c>
      <c r="F284" s="342">
        <f t="shared" si="6"/>
        <v>-35836</v>
      </c>
      <c r="H284" s="56">
        <v>-35836236</v>
      </c>
    </row>
    <row r="285" spans="1:8" ht="13.5">
      <c r="A285" s="188"/>
      <c r="B285" s="189" t="s">
        <v>346</v>
      </c>
      <c r="F285" s="342">
        <f t="shared" si="6"/>
        <v>-237320</v>
      </c>
      <c r="H285" s="56">
        <v>-237319693</v>
      </c>
    </row>
    <row r="286" spans="1:8" ht="13.5">
      <c r="A286" s="188"/>
      <c r="B286" s="189"/>
      <c r="F286" s="342">
        <f t="shared" si="6"/>
        <v>0</v>
      </c>
      <c r="H286" s="56"/>
    </row>
    <row r="287" spans="1:8" ht="13.5">
      <c r="A287" s="188"/>
      <c r="B287" s="189" t="s">
        <v>347</v>
      </c>
      <c r="F287" s="342">
        <f t="shared" si="6"/>
        <v>0</v>
      </c>
      <c r="H287" s="56"/>
    </row>
    <row r="288" spans="1:8" ht="13.5">
      <c r="A288" s="192"/>
      <c r="B288" s="189" t="s">
        <v>348</v>
      </c>
      <c r="F288" s="342">
        <f t="shared" si="6"/>
        <v>-1088</v>
      </c>
      <c r="H288" s="56">
        <v>-1087622</v>
      </c>
    </row>
    <row r="289" spans="1:8" ht="13.5">
      <c r="A289" s="192"/>
      <c r="B289" s="189" t="s">
        <v>349</v>
      </c>
      <c r="F289" s="342">
        <f t="shared" si="6"/>
        <v>-25429</v>
      </c>
      <c r="H289" s="56">
        <v>-25429065</v>
      </c>
    </row>
    <row r="290" spans="1:8" ht="13.5">
      <c r="A290" s="192"/>
      <c r="B290" s="189" t="s">
        <v>41</v>
      </c>
      <c r="F290" s="342">
        <f t="shared" si="6"/>
        <v>0</v>
      </c>
      <c r="H290" s="56">
        <v>0</v>
      </c>
    </row>
    <row r="291" spans="1:8" ht="13.5">
      <c r="A291" s="192"/>
      <c r="B291" s="189" t="s">
        <v>350</v>
      </c>
      <c r="F291" s="342">
        <f t="shared" si="6"/>
        <v>0</v>
      </c>
      <c r="H291" s="56">
        <v>0</v>
      </c>
    </row>
    <row r="292" spans="1:8" ht="13.5">
      <c r="A292" s="192"/>
      <c r="B292" s="189" t="s">
        <v>351</v>
      </c>
      <c r="F292" s="342">
        <f t="shared" si="6"/>
        <v>-26517</v>
      </c>
      <c r="H292" s="56">
        <v>-26516687</v>
      </c>
    </row>
    <row r="293" spans="1:8" ht="13.5">
      <c r="A293" s="192"/>
      <c r="B293" s="189"/>
      <c r="F293" s="342">
        <f t="shared" si="6"/>
        <v>0</v>
      </c>
      <c r="H293" s="56"/>
    </row>
    <row r="294" spans="1:8" ht="13.5">
      <c r="A294" s="192"/>
      <c r="B294" s="189" t="s">
        <v>352</v>
      </c>
      <c r="F294" s="342">
        <f t="shared" si="6"/>
        <v>-263836</v>
      </c>
      <c r="H294" s="56">
        <v>-263836380</v>
      </c>
    </row>
    <row r="295" spans="1:8" ht="13.5">
      <c r="A295" s="192"/>
      <c r="B295" s="189"/>
      <c r="F295" s="342">
        <f t="shared" si="6"/>
        <v>0</v>
      </c>
      <c r="H295" s="56"/>
    </row>
    <row r="296" spans="1:8" ht="13.5">
      <c r="A296" s="188"/>
      <c r="B296" s="189" t="s">
        <v>353</v>
      </c>
      <c r="F296" s="342">
        <f t="shared" si="6"/>
        <v>582659</v>
      </c>
      <c r="H296" s="56">
        <v>582658968</v>
      </c>
    </row>
    <row r="297" spans="1:8" ht="13.5">
      <c r="A297" s="188"/>
      <c r="B297" s="189"/>
      <c r="F297" s="342">
        <f t="shared" si="6"/>
        <v>0</v>
      </c>
      <c r="H297" s="56"/>
    </row>
    <row r="298" spans="1:8" ht="13.5">
      <c r="A298" s="196"/>
      <c r="B298" s="197" t="s">
        <v>354</v>
      </c>
      <c r="F298" s="342">
        <f t="shared" si="6"/>
        <v>0</v>
      </c>
      <c r="H298" s="56"/>
    </row>
    <row r="299" spans="1:8" ht="13.5">
      <c r="A299" s="198">
        <v>282900</v>
      </c>
      <c r="B299" s="197" t="s">
        <v>355</v>
      </c>
      <c r="F299" s="342">
        <f t="shared" si="6"/>
        <v>-72787</v>
      </c>
      <c r="H299" s="56">
        <v>-72787102</v>
      </c>
    </row>
    <row r="300" spans="1:8" ht="13.5">
      <c r="A300" s="198">
        <v>282900</v>
      </c>
      <c r="B300" s="197" t="s">
        <v>356</v>
      </c>
      <c r="F300" s="342">
        <f t="shared" si="6"/>
        <v>-11027</v>
      </c>
      <c r="H300" s="56">
        <v>-11027362</v>
      </c>
    </row>
    <row r="301" spans="1:8" ht="15.5">
      <c r="A301" s="264">
        <v>282919</v>
      </c>
      <c r="B301" s="245" t="s">
        <v>457</v>
      </c>
      <c r="F301" s="342">
        <f t="shared" si="6"/>
        <v>-789</v>
      </c>
      <c r="H301" s="56">
        <v>-789176</v>
      </c>
    </row>
    <row r="302" spans="1:8" ht="13.5">
      <c r="A302" s="198">
        <v>283750</v>
      </c>
      <c r="B302" s="197" t="s">
        <v>393</v>
      </c>
      <c r="F302" s="342">
        <f t="shared" si="6"/>
        <v>29</v>
      </c>
      <c r="H302" s="56">
        <v>29187</v>
      </c>
    </row>
    <row r="303" spans="1:8" ht="13.5">
      <c r="A303" s="198">
        <v>283850</v>
      </c>
      <c r="B303" s="197" t="s">
        <v>357</v>
      </c>
      <c r="F303" s="342">
        <f t="shared" ref="F303:F329" si="7">ROUND(H303/1000,0)</f>
        <v>-197</v>
      </c>
      <c r="H303" s="56">
        <v>-197140</v>
      </c>
    </row>
    <row r="304" spans="1:8" ht="13.5">
      <c r="A304" s="192"/>
      <c r="B304" s="189" t="s">
        <v>358</v>
      </c>
      <c r="F304" s="342">
        <f t="shared" si="7"/>
        <v>-84772</v>
      </c>
      <c r="H304" s="56">
        <v>-84771593</v>
      </c>
    </row>
    <row r="305" spans="1:19" ht="13.5">
      <c r="A305" s="188"/>
      <c r="B305" s="189"/>
      <c r="F305" s="342">
        <f t="shared" si="7"/>
        <v>0</v>
      </c>
      <c r="H305" s="56"/>
    </row>
    <row r="306" spans="1:19" ht="13.5">
      <c r="A306" s="188"/>
      <c r="B306" s="189" t="s">
        <v>359</v>
      </c>
      <c r="F306" s="342">
        <f t="shared" si="7"/>
        <v>497887</v>
      </c>
      <c r="H306" s="56">
        <v>497887375</v>
      </c>
    </row>
    <row r="307" spans="1:19" ht="12.5"/>
    <row r="308" spans="1:19" s="509" customFormat="1" ht="12.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5">
      <c r="A309" s="371">
        <v>108121</v>
      </c>
      <c r="B309" s="243" t="s">
        <v>465</v>
      </c>
      <c r="F309" s="342">
        <f t="shared" si="7"/>
        <v>0</v>
      </c>
      <c r="H309" s="224">
        <v>0</v>
      </c>
    </row>
    <row r="310" spans="1:19" ht="15.5">
      <c r="A310" s="371">
        <v>182332</v>
      </c>
      <c r="B310" s="243" t="s">
        <v>458</v>
      </c>
      <c r="F310" s="342">
        <f t="shared" si="7"/>
        <v>2412</v>
      </c>
      <c r="H310" s="56">
        <v>2412130</v>
      </c>
    </row>
    <row r="311" spans="1:19" ht="15.5">
      <c r="A311" s="371">
        <v>182318</v>
      </c>
      <c r="B311" s="243" t="s">
        <v>459</v>
      </c>
      <c r="F311" s="342">
        <f t="shared" si="7"/>
        <v>-818</v>
      </c>
      <c r="H311" s="56">
        <v>-817758</v>
      </c>
    </row>
    <row r="312" spans="1:19" ht="15.5">
      <c r="A312" s="264">
        <v>117100</v>
      </c>
      <c r="B312" s="245" t="s">
        <v>361</v>
      </c>
      <c r="F312" s="342">
        <f t="shared" si="7"/>
        <v>3923</v>
      </c>
      <c r="H312" s="56">
        <v>3922913</v>
      </c>
    </row>
    <row r="313" spans="1:19" ht="15.5">
      <c r="A313" s="264">
        <v>164100</v>
      </c>
      <c r="B313" s="245" t="s">
        <v>362</v>
      </c>
      <c r="F313" s="342">
        <f t="shared" si="7"/>
        <v>15608</v>
      </c>
      <c r="H313" s="56">
        <v>15608258</v>
      </c>
    </row>
    <row r="314" spans="1:19" ht="15.5">
      <c r="A314" s="264">
        <v>164115</v>
      </c>
      <c r="B314" s="245" t="s">
        <v>512</v>
      </c>
      <c r="F314" s="342">
        <f t="shared" si="7"/>
        <v>21</v>
      </c>
      <c r="H314" s="56">
        <v>20637</v>
      </c>
    </row>
    <row r="315" spans="1:19" ht="15.5">
      <c r="A315" s="264">
        <v>182331</v>
      </c>
      <c r="B315" s="245" t="s">
        <v>601</v>
      </c>
      <c r="F315" s="342">
        <f t="shared" si="7"/>
        <v>3398</v>
      </c>
      <c r="H315" s="56">
        <v>3397513</v>
      </c>
    </row>
    <row r="316" spans="1:19" ht="15.5">
      <c r="A316" s="264">
        <v>182337</v>
      </c>
      <c r="B316" s="243" t="s">
        <v>602</v>
      </c>
      <c r="F316" s="342">
        <f t="shared" si="7"/>
        <v>8075</v>
      </c>
      <c r="H316" s="56">
        <v>8074705</v>
      </c>
    </row>
    <row r="317" spans="1:19" ht="15.5">
      <c r="A317" s="264">
        <v>283436</v>
      </c>
      <c r="B317" s="245" t="s">
        <v>603</v>
      </c>
      <c r="F317" s="342">
        <f t="shared" si="7"/>
        <v>-2014</v>
      </c>
      <c r="H317" s="56">
        <v>-2013859</v>
      </c>
    </row>
    <row r="318" spans="1:19" ht="15.5">
      <c r="A318" s="264">
        <v>252000</v>
      </c>
      <c r="B318" s="246" t="s">
        <v>363</v>
      </c>
      <c r="F318" s="342">
        <f t="shared" si="7"/>
        <v>0</v>
      </c>
      <c r="H318" s="56">
        <v>0</v>
      </c>
    </row>
    <row r="319" spans="1:19" ht="15.5">
      <c r="A319" s="264">
        <v>254393</v>
      </c>
      <c r="B319" s="246" t="s">
        <v>513</v>
      </c>
      <c r="F319" s="342">
        <f t="shared" si="7"/>
        <v>-17132</v>
      </c>
      <c r="H319" s="56">
        <v>-17131511</v>
      </c>
    </row>
    <row r="320" spans="1:19" ht="15.5">
      <c r="A320" s="264">
        <v>190393</v>
      </c>
      <c r="B320" s="246" t="s">
        <v>514</v>
      </c>
      <c r="F320" s="342">
        <f t="shared" si="7"/>
        <v>3598</v>
      </c>
      <c r="H320" s="56">
        <v>3597617</v>
      </c>
    </row>
    <row r="321" spans="1:19" ht="15.5">
      <c r="A321" s="264">
        <v>235199</v>
      </c>
      <c r="B321" s="246" t="s">
        <v>364</v>
      </c>
      <c r="F321" s="342">
        <f t="shared" si="7"/>
        <v>-1</v>
      </c>
      <c r="H321" s="56">
        <v>-1377</v>
      </c>
      <c r="J321" s="477"/>
      <c r="K321" s="477"/>
      <c r="L321" s="477"/>
      <c r="M321" s="477"/>
      <c r="N321" s="477"/>
      <c r="O321" s="477"/>
      <c r="P321" s="477"/>
      <c r="Q321" s="477"/>
      <c r="R321" s="477"/>
      <c r="S321" s="477"/>
    </row>
    <row r="322" spans="1:19" ht="15.5">
      <c r="A322" s="264">
        <v>254911</v>
      </c>
      <c r="B322" s="246" t="s">
        <v>460</v>
      </c>
      <c r="F322" s="342">
        <f t="shared" si="7"/>
        <v>0</v>
      </c>
      <c r="H322" s="56">
        <v>0</v>
      </c>
      <c r="J322" s="477"/>
      <c r="K322" s="477"/>
      <c r="L322" s="477"/>
      <c r="M322" s="477"/>
      <c r="N322" s="477"/>
      <c r="O322" s="477"/>
      <c r="P322" s="477"/>
      <c r="Q322" s="477"/>
      <c r="R322" s="477"/>
      <c r="S322" s="477"/>
    </row>
    <row r="323" spans="1:19" ht="15.5">
      <c r="A323" s="264">
        <v>182302</v>
      </c>
      <c r="B323" s="246" t="s">
        <v>422</v>
      </c>
      <c r="F323" s="342">
        <f t="shared" si="7"/>
        <v>4336</v>
      </c>
      <c r="H323" s="56">
        <v>4336499</v>
      </c>
      <c r="J323" s="477"/>
      <c r="K323" s="477"/>
      <c r="L323" s="477"/>
      <c r="M323" s="477"/>
      <c r="N323" s="477"/>
      <c r="O323" s="477"/>
      <c r="P323" s="477"/>
      <c r="Q323" s="477"/>
      <c r="R323" s="477"/>
      <c r="S323" s="477"/>
    </row>
    <row r="324" spans="1:19" ht="15.5">
      <c r="A324" s="264">
        <v>283302</v>
      </c>
      <c r="B324" s="246" t="s">
        <v>461</v>
      </c>
      <c r="F324" s="342">
        <f t="shared" si="7"/>
        <v>-911</v>
      </c>
      <c r="H324" s="56">
        <v>-910665</v>
      </c>
    </row>
    <row r="325" spans="1:19" ht="15.5">
      <c r="A325" s="244"/>
      <c r="B325" s="246" t="s">
        <v>365</v>
      </c>
      <c r="F325" s="342">
        <f t="shared" si="7"/>
        <v>15047</v>
      </c>
      <c r="H325" s="56">
        <v>15046912</v>
      </c>
    </row>
    <row r="326" spans="1:19" ht="15.5">
      <c r="A326" s="264">
        <v>186710</v>
      </c>
      <c r="B326" s="245" t="s">
        <v>366</v>
      </c>
      <c r="F326" s="342">
        <f t="shared" si="7"/>
        <v>0</v>
      </c>
      <c r="H326" s="56">
        <v>0</v>
      </c>
    </row>
    <row r="327" spans="1:19" ht="12.5">
      <c r="A327" s="200"/>
      <c r="B327" s="199" t="s">
        <v>367</v>
      </c>
      <c r="F327" s="342">
        <f t="shared" si="7"/>
        <v>35542</v>
      </c>
      <c r="H327" s="56">
        <v>35542014</v>
      </c>
    </row>
    <row r="328" spans="1:19" ht="12.5">
      <c r="A328" s="200"/>
      <c r="B328" s="199"/>
      <c r="F328" s="342">
        <f t="shared" si="7"/>
        <v>0</v>
      </c>
      <c r="H328" s="56"/>
    </row>
    <row r="329" spans="1:19" ht="12.5">
      <c r="A329" s="200"/>
      <c r="B329" s="199" t="s">
        <v>368</v>
      </c>
      <c r="F329" s="342">
        <f t="shared" si="7"/>
        <v>533429</v>
      </c>
      <c r="H329" s="56">
        <v>533429389</v>
      </c>
    </row>
    <row r="330" spans="1:19" ht="12.5"/>
    <row r="331" spans="1:19" ht="12.5"/>
    <row r="332" spans="1:19" ht="12.5"/>
    <row r="333" spans="1:19" ht="12.5"/>
  </sheetData>
  <customSheetViews>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1"/>
      <headerFooter alignWithMargins="0"/>
    </customSheetView>
    <customSheetView guid="{5BE913A1-B14F-11D2-B0DC-0000832CDFF0}" scale="75" showPageBreaks="1" printArea="1" showRuler="0">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tabColor rgb="FFFFC000"/>
  </sheetPr>
  <dimension ref="A1:DY71"/>
  <sheetViews>
    <sheetView zoomScale="115" zoomScaleNormal="115" workbookViewId="0"/>
  </sheetViews>
  <sheetFormatPr defaultRowHeight="13"/>
  <cols>
    <col min="1" max="1" width="23.453125" style="477" customWidth="1"/>
    <col min="2" max="2" width="19.81640625" style="477" customWidth="1"/>
    <col min="3" max="3" width="6" style="477" customWidth="1"/>
    <col min="4" max="6" width="13.7265625" style="477" customWidth="1"/>
    <col min="7" max="7" width="3" style="477" customWidth="1"/>
    <col min="8" max="8" width="30.81640625" style="477" customWidth="1"/>
    <col min="9" max="9" width="15.81640625" style="477" bestFit="1" customWidth="1"/>
    <col min="10" max="10" width="11.453125" style="477"/>
    <col min="12" max="12" width="1.7265625" style="959" customWidth="1"/>
    <col min="14" max="14" width="25.7265625" style="477" customWidth="1"/>
    <col min="15" max="15" width="14.1796875" style="477" customWidth="1"/>
    <col min="16" max="16" width="2.453125" style="477" customWidth="1"/>
    <col min="17" max="20" width="13.7265625" style="477" customWidth="1"/>
    <col min="21" max="21" width="8.81640625" style="477"/>
    <col min="22" max="22" width="1.7265625" style="959" customWidth="1"/>
    <col min="24" max="24" width="17.26953125" style="477" customWidth="1"/>
    <col min="25" max="26" width="14.81640625" style="477" bestFit="1" customWidth="1"/>
    <col min="27" max="27" width="14.453125" style="477" customWidth="1"/>
    <col min="28" max="28" width="1.26953125" style="477" customWidth="1"/>
    <col min="29" max="29" width="13.81640625" style="477" bestFit="1" customWidth="1"/>
    <col min="30" max="31" width="15.81640625" style="477" customWidth="1"/>
    <col min="32" max="32" width="14" style="477" customWidth="1"/>
    <col min="33" max="33" width="0.81640625" style="477" customWidth="1"/>
    <col min="34" max="34" width="14" style="477" bestFit="1" customWidth="1"/>
    <col min="35" max="35" width="11.7265625" style="477" bestFit="1" customWidth="1"/>
    <col min="36" max="36" width="0.81640625" style="477" customWidth="1"/>
    <col min="37" max="37" width="13.81640625" style="477" bestFit="1" customWidth="1"/>
    <col min="38" max="38" width="13.81640625" style="477" customWidth="1"/>
    <col min="39" max="39" width="13.54296875" style="477" bestFit="1" customWidth="1"/>
    <col min="40" max="40" width="14.54296875" style="477" bestFit="1" customWidth="1"/>
    <col min="41" max="41" width="11.54296875" style="477" bestFit="1" customWidth="1"/>
    <col min="42" max="42" width="1.7265625" style="959" customWidth="1"/>
    <col min="43" max="43" width="6.26953125" style="199" customWidth="1"/>
    <col min="44" max="44" width="27" style="199" customWidth="1"/>
    <col min="45" max="45" width="17.81640625" style="199" customWidth="1"/>
    <col min="46" max="46" width="3.1796875" style="199" customWidth="1"/>
    <col min="47" max="47" width="16.54296875" style="199" customWidth="1"/>
    <col min="48" max="48" width="24.26953125" style="199" bestFit="1" customWidth="1"/>
    <col min="49" max="49" width="24.1796875" style="199" bestFit="1" customWidth="1"/>
    <col min="51" max="51" width="1.7265625" style="959" customWidth="1"/>
    <col min="53" max="53" width="10.26953125" style="477" customWidth="1"/>
    <col min="54" max="54" width="25.81640625" style="477" customWidth="1"/>
    <col min="55" max="55" width="16.81640625" style="477" bestFit="1" customWidth="1"/>
    <col min="56" max="56" width="16.81640625" style="477" customWidth="1"/>
    <col min="57" max="57" width="14.54296875" style="477" customWidth="1"/>
    <col min="58" max="58" width="16.26953125" style="477" bestFit="1" customWidth="1"/>
    <col min="60" max="60" width="1.7265625" style="959" customWidth="1"/>
    <col min="61" max="61" width="9" customWidth="1"/>
    <col min="62" max="62" width="10.26953125" style="477" customWidth="1"/>
    <col min="63" max="63" width="25.81640625" style="477" customWidth="1"/>
    <col min="64" max="64" width="16.81640625" style="477" bestFit="1" customWidth="1"/>
    <col min="65" max="65" width="16.81640625" style="477" customWidth="1"/>
    <col min="66" max="66" width="14.54296875" style="477" customWidth="1"/>
    <col min="67" max="67" width="16.26953125" style="477" bestFit="1" customWidth="1"/>
    <col min="68" max="68" width="14.26953125" style="477" customWidth="1"/>
    <col min="69" max="69" width="14.7265625" style="477" customWidth="1"/>
    <col min="71" max="71" width="1.7265625" style="959" customWidth="1"/>
    <col min="73" max="73" width="10.26953125" style="477" customWidth="1"/>
    <col min="74" max="74" width="25.81640625" style="477" customWidth="1"/>
    <col min="75" max="75" width="16.81640625" style="477" bestFit="1" customWidth="1"/>
    <col min="76" max="76" width="16.81640625" style="477" customWidth="1"/>
    <col min="77" max="77" width="14.54296875" style="477" customWidth="1"/>
    <col min="78" max="78" width="16.26953125" style="477" bestFit="1" customWidth="1"/>
    <col min="79" max="79" width="14.26953125" style="477" customWidth="1"/>
    <col min="80" max="80" width="14.7265625" style="477" customWidth="1"/>
    <col min="81" max="81" width="14.54296875" style="477" bestFit="1" customWidth="1"/>
    <col min="83" max="83" width="1.7265625" style="959" customWidth="1"/>
    <col min="85" max="85" width="27.453125" style="477" customWidth="1"/>
    <col min="86" max="86" width="5.7265625" style="477" customWidth="1"/>
    <col min="87" max="87" width="9.7265625" style="477" customWidth="1"/>
    <col min="88" max="88" width="15.1796875" style="477" customWidth="1"/>
    <col min="89" max="89" width="14.7265625" style="477" customWidth="1"/>
    <col min="90" max="90" width="14.1796875" style="477" customWidth="1"/>
    <col min="91" max="91" width="17.26953125" style="477" bestFit="1" customWidth="1"/>
    <col min="92" max="92" width="16.54296875" style="477" bestFit="1" customWidth="1"/>
    <col min="93" max="93" width="14.1796875" style="477" customWidth="1"/>
    <col min="94" max="94" width="1.7265625" style="477" customWidth="1"/>
    <col min="95" max="95" width="32.1796875" style="477" bestFit="1" customWidth="1"/>
    <col min="96" max="96" width="19.54296875" style="477" customWidth="1"/>
    <col min="97" max="97" width="2.453125" style="477" customWidth="1"/>
    <col min="98" max="98" width="13.1796875" style="477" bestFit="1" customWidth="1"/>
    <col min="99" max="99" width="1.7265625" style="959" customWidth="1"/>
    <col min="101" max="101" width="7" style="478" bestFit="1" customWidth="1"/>
    <col min="102" max="102" width="40.54296875" style="478" bestFit="1" customWidth="1"/>
    <col min="103" max="104" width="13.7265625" style="478" bestFit="1" customWidth="1"/>
    <col min="105" max="105" width="14.453125" style="478" bestFit="1" customWidth="1"/>
    <col min="106" max="106" width="0.54296875" style="478" customWidth="1"/>
    <col min="107" max="107" width="14" style="478" customWidth="1"/>
    <col min="108" max="109" width="13.7265625" style="478" bestFit="1" customWidth="1"/>
    <col min="110" max="110" width="0.7265625" style="478" customWidth="1"/>
    <col min="111" max="112" width="12.26953125" style="478" bestFit="1" customWidth="1"/>
    <col min="113" max="113" width="13.7265625" style="478" bestFit="1" customWidth="1"/>
    <col min="115" max="115" width="1.7265625" style="959" customWidth="1"/>
    <col min="117" max="117" width="7" style="478" bestFit="1" customWidth="1"/>
    <col min="118" max="118" width="40.54296875" style="478" bestFit="1" customWidth="1"/>
    <col min="119" max="121" width="13.7265625" style="478" bestFit="1" customWidth="1"/>
    <col min="122" max="122" width="0.54296875" style="478" customWidth="1"/>
    <col min="123" max="123" width="12.26953125" style="478" bestFit="1" customWidth="1"/>
    <col min="124" max="125" width="13.7265625" style="478" bestFit="1" customWidth="1"/>
    <col min="126" max="126" width="0.7265625" style="478" customWidth="1"/>
    <col min="127" max="128" width="12.26953125" style="478" bestFit="1" customWidth="1"/>
    <col min="129" max="129" width="13.7265625" style="478" bestFit="1" customWidth="1"/>
  </cols>
  <sheetData>
    <row r="1" spans="1:129" ht="26" thickBot="1">
      <c r="C1" s="867" t="s">
        <v>111</v>
      </c>
      <c r="Q1" s="867" t="s">
        <v>111</v>
      </c>
      <c r="AK1" s="877" t="s">
        <v>766</v>
      </c>
      <c r="AL1" s="477" t="s">
        <v>745</v>
      </c>
      <c r="AM1" s="931" t="s">
        <v>765</v>
      </c>
      <c r="AN1" s="931" t="s">
        <v>764</v>
      </c>
      <c r="AR1" s="3882" t="s">
        <v>111</v>
      </c>
      <c r="AS1" s="3883"/>
      <c r="AT1" s="3883"/>
      <c r="AU1" s="3883"/>
      <c r="AV1" s="3883"/>
      <c r="AW1" s="940"/>
      <c r="CG1" s="477" t="s">
        <v>111</v>
      </c>
      <c r="CR1" s="477" t="s">
        <v>763</v>
      </c>
    </row>
    <row r="2" spans="1:129" ht="39.5" thickBot="1">
      <c r="C2" s="867" t="s">
        <v>788</v>
      </c>
      <c r="H2" s="3678" t="s">
        <v>3400</v>
      </c>
      <c r="Q2" s="867" t="s">
        <v>759</v>
      </c>
      <c r="AB2" s="946" t="s">
        <v>111</v>
      </c>
      <c r="AC2" s="946"/>
      <c r="AK2" s="945" t="s">
        <v>762</v>
      </c>
      <c r="AL2" s="960">
        <v>-776128265.72060001</v>
      </c>
      <c r="AR2" s="3882" t="s">
        <v>761</v>
      </c>
      <c r="AS2" s="3883"/>
      <c r="AT2" s="3883"/>
      <c r="AU2" s="3883"/>
      <c r="AV2" s="3883"/>
      <c r="AW2" s="940"/>
      <c r="BA2" s="944" t="s">
        <v>760</v>
      </c>
      <c r="BB2" s="943" t="s">
        <v>70</v>
      </c>
      <c r="BC2" s="943" t="s">
        <v>682</v>
      </c>
      <c r="BD2" s="943"/>
      <c r="BE2" s="943" t="s">
        <v>678</v>
      </c>
      <c r="BF2" s="942"/>
      <c r="BJ2" s="944" t="s">
        <v>760</v>
      </c>
      <c r="BK2" s="943" t="s">
        <v>70</v>
      </c>
      <c r="BL2" s="943" t="s">
        <v>682</v>
      </c>
      <c r="BM2" s="943"/>
      <c r="BN2" s="943" t="s">
        <v>678</v>
      </c>
      <c r="BO2" s="942"/>
      <c r="BU2" s="944" t="s">
        <v>760</v>
      </c>
      <c r="BV2" s="943" t="s">
        <v>70</v>
      </c>
      <c r="BW2" s="943" t="s">
        <v>682</v>
      </c>
      <c r="BX2" s="943"/>
      <c r="BY2" s="943" t="s">
        <v>678</v>
      </c>
      <c r="BZ2" s="942"/>
      <c r="CG2" s="881" t="s">
        <v>792</v>
      </c>
      <c r="CY2" s="3879" t="s">
        <v>79</v>
      </c>
      <c r="CZ2" s="3880"/>
      <c r="DA2" s="3881"/>
      <c r="DC2" s="3879" t="s">
        <v>763</v>
      </c>
      <c r="DD2" s="3880"/>
      <c r="DE2" s="3881"/>
      <c r="DG2" s="3879" t="s">
        <v>683</v>
      </c>
      <c r="DH2" s="3880"/>
      <c r="DI2" s="3881"/>
      <c r="DO2" s="3879" t="s">
        <v>79</v>
      </c>
      <c r="DP2" s="3880"/>
      <c r="DQ2" s="3881"/>
      <c r="DS2" s="3879" t="s">
        <v>763</v>
      </c>
      <c r="DT2" s="3880"/>
      <c r="DU2" s="3881"/>
      <c r="DW2" s="3879" t="s">
        <v>683</v>
      </c>
      <c r="DX2" s="3880"/>
      <c r="DY2" s="3881"/>
    </row>
    <row r="3" spans="1:129">
      <c r="C3" s="879" t="s">
        <v>754</v>
      </c>
      <c r="Q3" s="879" t="s">
        <v>754</v>
      </c>
      <c r="AB3" s="867" t="s">
        <v>759</v>
      </c>
      <c r="AC3" s="867"/>
      <c r="AK3" s="877" t="s">
        <v>758</v>
      </c>
      <c r="AL3" s="960">
        <v>-773849913</v>
      </c>
      <c r="AM3" s="875">
        <f>AL3-AL2</f>
        <v>2278352.720600009</v>
      </c>
      <c r="AN3" s="875">
        <f>AM3/12</f>
        <v>189862.72671666741</v>
      </c>
      <c r="AR3" s="3884" t="s">
        <v>754</v>
      </c>
      <c r="AS3" s="3884"/>
      <c r="AT3" s="3884"/>
      <c r="AU3" s="3884"/>
      <c r="AV3" s="3884"/>
      <c r="AW3" s="940"/>
      <c r="BA3" s="939">
        <v>283850</v>
      </c>
      <c r="BB3" s="938" t="s">
        <v>757</v>
      </c>
      <c r="BC3" s="937"/>
      <c r="BD3" s="937"/>
      <c r="BE3" s="937"/>
      <c r="BF3" s="936"/>
      <c r="BJ3" s="939">
        <v>283750</v>
      </c>
      <c r="BK3" s="938" t="s">
        <v>756</v>
      </c>
      <c r="BL3" s="937"/>
      <c r="BM3" s="937"/>
      <c r="BN3" s="937"/>
      <c r="BO3" s="936"/>
      <c r="BU3" s="939">
        <v>282919</v>
      </c>
      <c r="BV3" s="938" t="s">
        <v>755</v>
      </c>
      <c r="BW3" s="937"/>
      <c r="BX3" s="937"/>
      <c r="BY3" s="937"/>
      <c r="BZ3" s="936"/>
      <c r="CG3" s="477" t="s">
        <v>754</v>
      </c>
      <c r="CQ3" s="873" t="s">
        <v>62</v>
      </c>
      <c r="CR3" s="873" t="s">
        <v>672</v>
      </c>
      <c r="CW3" s="478" t="s">
        <v>810</v>
      </c>
      <c r="CY3" s="578" t="s">
        <v>686</v>
      </c>
      <c r="CZ3" s="578" t="s">
        <v>809</v>
      </c>
      <c r="DA3" s="578" t="s">
        <v>24</v>
      </c>
      <c r="DB3" s="578"/>
      <c r="DC3" s="578" t="s">
        <v>686</v>
      </c>
      <c r="DD3" s="578" t="s">
        <v>809</v>
      </c>
      <c r="DE3" s="578" t="s">
        <v>24</v>
      </c>
      <c r="DF3" s="578"/>
      <c r="DG3" s="578" t="s">
        <v>686</v>
      </c>
      <c r="DH3" s="578" t="s">
        <v>809</v>
      </c>
      <c r="DI3" s="578" t="s">
        <v>24</v>
      </c>
      <c r="DM3" s="478" t="s">
        <v>810</v>
      </c>
      <c r="DO3" s="578" t="s">
        <v>686</v>
      </c>
      <c r="DP3" s="578" t="s">
        <v>809</v>
      </c>
      <c r="DQ3" s="578" t="s">
        <v>24</v>
      </c>
      <c r="DR3" s="578"/>
      <c r="DS3" s="578" t="s">
        <v>686</v>
      </c>
      <c r="DT3" s="578" t="s">
        <v>809</v>
      </c>
      <c r="DU3" s="578" t="s">
        <v>24</v>
      </c>
      <c r="DV3" s="578"/>
      <c r="DW3" s="578" t="s">
        <v>686</v>
      </c>
      <c r="DX3" s="578" t="s">
        <v>809</v>
      </c>
      <c r="DY3" s="578" t="s">
        <v>24</v>
      </c>
    </row>
    <row r="4" spans="1:129" ht="38">
      <c r="AB4" s="867" t="s">
        <v>753</v>
      </c>
      <c r="AC4" s="867"/>
      <c r="AK4" s="877" t="s">
        <v>752</v>
      </c>
      <c r="AL4" s="960">
        <v>-770112770</v>
      </c>
      <c r="AM4" s="875">
        <f>AL4-AL2</f>
        <v>6015495.720600009</v>
      </c>
      <c r="AN4" s="875">
        <f>AM4/12</f>
        <v>501291.31005000073</v>
      </c>
      <c r="AS4" s="922"/>
      <c r="AT4" s="922"/>
      <c r="AW4" s="3677" t="s">
        <v>3399</v>
      </c>
      <c r="BA4" s="935"/>
      <c r="BB4" s="934" t="s">
        <v>751</v>
      </c>
      <c r="BC4" s="934" t="s">
        <v>750</v>
      </c>
      <c r="BD4" s="934"/>
      <c r="BF4" s="933"/>
      <c r="BJ4" s="935"/>
      <c r="BK4" s="934" t="s">
        <v>751</v>
      </c>
      <c r="BL4" s="934" t="s">
        <v>750</v>
      </c>
      <c r="BM4" s="934"/>
      <c r="BO4" s="933"/>
      <c r="BU4" s="935"/>
      <c r="BV4" s="934" t="s">
        <v>751</v>
      </c>
      <c r="BW4" s="934" t="s">
        <v>750</v>
      </c>
      <c r="BX4" s="934"/>
      <c r="BZ4" s="933"/>
      <c r="CQ4" s="477" t="s">
        <v>672</v>
      </c>
      <c r="CR4" s="979">
        <f>'G-1.01 DFIT'!DU8</f>
        <v>49301636</v>
      </c>
      <c r="CW4" s="993">
        <v>182324</v>
      </c>
      <c r="CX4" s="229" t="s">
        <v>808</v>
      </c>
      <c r="CY4" s="988">
        <f t="shared" ref="CY4:CY16" si="0">SUM(DC4,DG4)</f>
        <v>0</v>
      </c>
      <c r="CZ4" s="988">
        <f t="shared" ref="CZ4:CZ16" si="1">SUM(DD4,DH4)</f>
        <v>7350000</v>
      </c>
      <c r="DA4" s="988">
        <f t="shared" ref="DA4:DA16" si="2">SUM(CY4:CZ4)</f>
        <v>7350000</v>
      </c>
      <c r="DB4" s="988"/>
      <c r="DC4" s="990">
        <v>0</v>
      </c>
      <c r="DD4" s="990">
        <v>4733400</v>
      </c>
      <c r="DE4" s="988">
        <f t="shared" ref="DE4:DE16" si="3">SUM(DC4:DD4)</f>
        <v>4733400</v>
      </c>
      <c r="DF4" s="988"/>
      <c r="DG4" s="990">
        <v>0</v>
      </c>
      <c r="DH4" s="990">
        <v>2616600</v>
      </c>
      <c r="DI4" s="988">
        <f t="shared" ref="DI4:DI16" si="4">SUM(DG4:DH4)</f>
        <v>2616600</v>
      </c>
      <c r="DM4" s="993">
        <v>302000</v>
      </c>
      <c r="DN4" s="229" t="s">
        <v>806</v>
      </c>
      <c r="DO4" s="988">
        <f t="shared" ref="DO4:DP7" si="5">SUM(DS4,DW4)</f>
        <v>0</v>
      </c>
      <c r="DP4" s="988">
        <f t="shared" si="5"/>
        <v>0</v>
      </c>
      <c r="DQ4" s="988">
        <f>SUM(DO4:DP4)</f>
        <v>0</v>
      </c>
      <c r="DR4" s="988"/>
      <c r="DS4" s="991">
        <v>0</v>
      </c>
      <c r="DT4" s="991">
        <v>0</v>
      </c>
      <c r="DU4" s="988">
        <f>SUM(DS4:DT4)</f>
        <v>0</v>
      </c>
      <c r="DV4" s="988"/>
      <c r="DW4" s="991">
        <v>0</v>
      </c>
      <c r="DX4" s="991">
        <v>0</v>
      </c>
      <c r="DY4" s="988">
        <f>SUM(DW4:DX4)</f>
        <v>0</v>
      </c>
    </row>
    <row r="5" spans="1:129" ht="39">
      <c r="X5" s="966" t="s">
        <v>749</v>
      </c>
      <c r="AB5" s="882"/>
      <c r="AC5" s="882"/>
      <c r="AQ5" s="932"/>
      <c r="AR5" s="927"/>
      <c r="AS5" s="867" t="s">
        <v>659</v>
      </c>
      <c r="AT5" s="867"/>
      <c r="AU5" s="927" t="s">
        <v>748</v>
      </c>
      <c r="AV5" s="927" t="s">
        <v>695</v>
      </c>
      <c r="AW5" s="927" t="s">
        <v>695</v>
      </c>
      <c r="BA5" s="930" t="s">
        <v>679</v>
      </c>
      <c r="BB5" s="926" t="s">
        <v>744</v>
      </c>
      <c r="BC5" s="926" t="s">
        <v>743</v>
      </c>
      <c r="BD5" s="926" t="s">
        <v>742</v>
      </c>
      <c r="BE5" s="926" t="s">
        <v>747</v>
      </c>
      <c r="BF5" s="929" t="s">
        <v>745</v>
      </c>
      <c r="BJ5" s="930" t="s">
        <v>679</v>
      </c>
      <c r="BK5" s="926" t="s">
        <v>744</v>
      </c>
      <c r="BL5" s="926" t="s">
        <v>743</v>
      </c>
      <c r="BM5" s="926" t="s">
        <v>742</v>
      </c>
      <c r="BN5" s="926" t="s">
        <v>741</v>
      </c>
      <c r="BO5" s="929" t="s">
        <v>740</v>
      </c>
      <c r="BP5" s="928" t="s">
        <v>746</v>
      </c>
      <c r="BQ5" s="928" t="s">
        <v>745</v>
      </c>
      <c r="BU5" s="930" t="s">
        <v>679</v>
      </c>
      <c r="BV5" s="926" t="s">
        <v>744</v>
      </c>
      <c r="BW5" s="926" t="s">
        <v>743</v>
      </c>
      <c r="BX5" s="926" t="s">
        <v>742</v>
      </c>
      <c r="BY5" s="926" t="s">
        <v>741</v>
      </c>
      <c r="BZ5" s="929" t="s">
        <v>740</v>
      </c>
      <c r="CA5" s="928"/>
      <c r="CB5" s="928"/>
      <c r="CG5" s="477" t="s">
        <v>674</v>
      </c>
      <c r="CQ5" s="477" t="s">
        <v>673</v>
      </c>
      <c r="CR5" s="981">
        <f>-'G-1.01 DFIT'!DT35</f>
        <v>-43763396.210259989</v>
      </c>
      <c r="CW5" s="993">
        <v>182325</v>
      </c>
      <c r="CX5" s="229" t="s">
        <v>717</v>
      </c>
      <c r="CY5" s="988">
        <f t="shared" si="0"/>
        <v>0</v>
      </c>
      <c r="CZ5" s="988">
        <f t="shared" si="1"/>
        <v>2000000</v>
      </c>
      <c r="DA5" s="988">
        <f t="shared" si="2"/>
        <v>2000000</v>
      </c>
      <c r="DB5" s="988"/>
      <c r="DC5" s="990">
        <v>0</v>
      </c>
      <c r="DD5" s="990">
        <v>1288000</v>
      </c>
      <c r="DE5" s="988">
        <f t="shared" si="3"/>
        <v>1288000</v>
      </c>
      <c r="DF5" s="988"/>
      <c r="DG5" s="990">
        <v>0</v>
      </c>
      <c r="DH5" s="990">
        <v>712000</v>
      </c>
      <c r="DI5" s="988">
        <f t="shared" si="4"/>
        <v>712000</v>
      </c>
      <c r="DM5" s="993">
        <v>303000</v>
      </c>
      <c r="DN5" s="229" t="s">
        <v>805</v>
      </c>
      <c r="DO5" s="988">
        <f t="shared" si="5"/>
        <v>1794111</v>
      </c>
      <c r="DP5" s="988">
        <f t="shared" si="5"/>
        <v>1332909</v>
      </c>
      <c r="DQ5" s="988">
        <f>SUM(DO5:DP5)</f>
        <v>3127020</v>
      </c>
      <c r="DR5" s="988"/>
      <c r="DS5" s="991">
        <v>1022594</v>
      </c>
      <c r="DT5" s="991">
        <v>956309</v>
      </c>
      <c r="DU5" s="988">
        <f>SUM(DS5:DT5)</f>
        <v>1978903</v>
      </c>
      <c r="DV5" s="988"/>
      <c r="DW5" s="991">
        <v>771517</v>
      </c>
      <c r="DX5" s="991">
        <v>376600</v>
      </c>
      <c r="DY5" s="988">
        <f>SUM(DW5:DX5)</f>
        <v>1148117</v>
      </c>
    </row>
    <row r="6" spans="1:129">
      <c r="C6" s="867" t="s">
        <v>739</v>
      </c>
      <c r="D6" s="867" t="s">
        <v>787</v>
      </c>
      <c r="E6" s="867"/>
      <c r="F6" s="867"/>
      <c r="Q6" s="867" t="s">
        <v>24</v>
      </c>
      <c r="R6" s="867"/>
      <c r="S6" s="867"/>
      <c r="T6" s="867"/>
      <c r="X6" s="867"/>
      <c r="Y6" s="867">
        <v>282900</v>
      </c>
      <c r="Z6" s="867">
        <v>283000</v>
      </c>
      <c r="AA6" s="867" t="s">
        <v>24</v>
      </c>
      <c r="AB6" s="867"/>
      <c r="AC6" s="867">
        <v>282900</v>
      </c>
      <c r="AD6" s="867">
        <v>282900</v>
      </c>
      <c r="AE6" s="867">
        <v>282900</v>
      </c>
      <c r="AF6" s="867">
        <v>282900</v>
      </c>
      <c r="AG6" s="867"/>
      <c r="AH6" s="867"/>
      <c r="AI6" s="867">
        <v>282900</v>
      </c>
      <c r="AQ6" s="927"/>
      <c r="AR6" s="927"/>
      <c r="AS6" s="867" t="s">
        <v>738</v>
      </c>
      <c r="AT6" s="867"/>
      <c r="AU6" s="867"/>
      <c r="AV6" s="867"/>
      <c r="AW6" s="867"/>
      <c r="BA6" s="915">
        <f>'G-1.01 DFIT'!X9</f>
        <v>202206</v>
      </c>
      <c r="BB6" s="976"/>
      <c r="BC6" s="914"/>
      <c r="BD6" s="913">
        <v>-1353755.21</v>
      </c>
      <c r="BE6" s="975">
        <v>0</v>
      </c>
      <c r="BF6" s="912">
        <f t="shared" ref="BF6:BF18" si="6">SUM(BD6:BE6)</f>
        <v>-1353755.21</v>
      </c>
      <c r="BJ6" s="915">
        <v>202206</v>
      </c>
      <c r="BK6" s="976"/>
      <c r="BL6" s="926"/>
      <c r="BM6" s="913">
        <v>399975.44</v>
      </c>
      <c r="BN6" s="978">
        <v>0</v>
      </c>
      <c r="BO6" s="912">
        <f t="shared" ref="BO6:BO18" si="7">SUM(BM6:BN6)</f>
        <v>399975.44</v>
      </c>
      <c r="BP6" s="977"/>
      <c r="BQ6" s="911">
        <f t="shared" ref="BQ6:BQ18" si="8">SUM(BO6:BP6)</f>
        <v>399975.44</v>
      </c>
      <c r="BU6" s="915">
        <v>202206</v>
      </c>
      <c r="BV6" s="976"/>
      <c r="BW6" s="926"/>
      <c r="BX6" s="913">
        <v>-4268191</v>
      </c>
      <c r="BY6" s="978">
        <v>0</v>
      </c>
      <c r="BZ6" s="912">
        <f t="shared" ref="BZ6:BZ18" si="9">SUM(BX6:BY6)</f>
        <v>-4268191</v>
      </c>
      <c r="CA6" s="977"/>
      <c r="CB6" s="911">
        <v>-4268191</v>
      </c>
      <c r="CC6" s="911">
        <v>0</v>
      </c>
      <c r="CJ6" s="879" t="s">
        <v>80</v>
      </c>
      <c r="CK6" s="878" t="s">
        <v>672</v>
      </c>
      <c r="CL6" s="878" t="s">
        <v>785</v>
      </c>
      <c r="CM6" s="878" t="s">
        <v>45</v>
      </c>
      <c r="CN6" s="878" t="s">
        <v>654</v>
      </c>
      <c r="CO6" s="878" t="s">
        <v>82</v>
      </c>
      <c r="CR6" s="979"/>
      <c r="CW6" s="993">
        <v>182333</v>
      </c>
      <c r="CX6" s="229" t="s">
        <v>661</v>
      </c>
      <c r="CY6" s="988">
        <f t="shared" si="0"/>
        <v>0</v>
      </c>
      <c r="CZ6" s="988">
        <f t="shared" si="1"/>
        <v>1015666</v>
      </c>
      <c r="DA6" s="988">
        <f t="shared" si="2"/>
        <v>1015666</v>
      </c>
      <c r="DB6" s="988"/>
      <c r="DC6" s="990">
        <v>0</v>
      </c>
      <c r="DD6" s="990">
        <v>654089</v>
      </c>
      <c r="DE6" s="988">
        <f t="shared" si="3"/>
        <v>654089</v>
      </c>
      <c r="DF6" s="988"/>
      <c r="DG6" s="990">
        <v>0</v>
      </c>
      <c r="DH6" s="990">
        <v>361577</v>
      </c>
      <c r="DI6" s="988">
        <f t="shared" si="4"/>
        <v>361577</v>
      </c>
      <c r="DM6" s="993" t="s">
        <v>305</v>
      </c>
      <c r="DN6" s="229" t="s">
        <v>804</v>
      </c>
      <c r="DO6" s="988">
        <f t="shared" si="5"/>
        <v>4302313</v>
      </c>
      <c r="DP6" s="988">
        <f t="shared" si="5"/>
        <v>59962117</v>
      </c>
      <c r="DQ6" s="988">
        <f>SUM(DO6:DP6)</f>
        <v>64264430</v>
      </c>
      <c r="DR6" s="988"/>
      <c r="DS6" s="991">
        <v>4302313</v>
      </c>
      <c r="DT6" s="991">
        <v>43020420</v>
      </c>
      <c r="DU6" s="988">
        <f>SUM(DS6:DT6)</f>
        <v>47322733</v>
      </c>
      <c r="DV6" s="988"/>
      <c r="DW6" s="991">
        <v>0</v>
      </c>
      <c r="DX6" s="991">
        <v>16941697</v>
      </c>
      <c r="DY6" s="988">
        <f>SUM(DW6:DX6)</f>
        <v>16941697</v>
      </c>
    </row>
    <row r="7" spans="1:129">
      <c r="C7" s="879" t="s">
        <v>737</v>
      </c>
      <c r="D7" s="879" t="s">
        <v>79</v>
      </c>
      <c r="E7" s="879" t="s">
        <v>80</v>
      </c>
      <c r="F7" s="879" t="s">
        <v>81</v>
      </c>
      <c r="Q7" s="879" t="s">
        <v>79</v>
      </c>
      <c r="R7" s="879" t="s">
        <v>729</v>
      </c>
      <c r="S7" s="879" t="s">
        <v>736</v>
      </c>
      <c r="T7" s="879" t="s">
        <v>735</v>
      </c>
      <c r="Y7" s="867" t="s">
        <v>682</v>
      </c>
      <c r="Z7" s="867" t="s">
        <v>682</v>
      </c>
      <c r="AA7" s="867" t="s">
        <v>682</v>
      </c>
      <c r="AB7" s="867"/>
      <c r="AC7" s="867" t="s">
        <v>682</v>
      </c>
      <c r="AD7" s="867" t="s">
        <v>681</v>
      </c>
      <c r="AE7" s="867" t="s">
        <v>680</v>
      </c>
      <c r="AF7" s="867" t="s">
        <v>680</v>
      </c>
      <c r="AI7" s="867" t="s">
        <v>675</v>
      </c>
      <c r="AQ7" s="927"/>
      <c r="AR7" s="867"/>
      <c r="AS7" s="879">
        <v>283200</v>
      </c>
      <c r="AT7" s="922"/>
      <c r="AU7" s="879">
        <v>283850</v>
      </c>
      <c r="AV7" s="925">
        <v>283750</v>
      </c>
      <c r="AW7" s="925">
        <v>282919</v>
      </c>
      <c r="BA7" s="915">
        <f>'G-1.01 DFIT'!X10</f>
        <v>202207</v>
      </c>
      <c r="BB7" s="914">
        <f t="shared" ref="BB7:BB18" si="10">BD6</f>
        <v>-1353755.21</v>
      </c>
      <c r="BC7" s="914">
        <v>2580.83</v>
      </c>
      <c r="BD7" s="913">
        <v>-1351174.38</v>
      </c>
      <c r="BE7" s="975">
        <v>0</v>
      </c>
      <c r="BF7" s="912">
        <f t="shared" si="6"/>
        <v>-1351174.38</v>
      </c>
      <c r="BJ7" s="915">
        <v>202207</v>
      </c>
      <c r="BK7" s="914">
        <f t="shared" ref="BK7:BK18" si="11">BM6</f>
        <v>399975.44</v>
      </c>
      <c r="BL7" s="914">
        <v>0</v>
      </c>
      <c r="BM7" s="913">
        <v>399975.44</v>
      </c>
      <c r="BN7" s="978">
        <v>0</v>
      </c>
      <c r="BO7" s="912">
        <f t="shared" si="7"/>
        <v>399975.44</v>
      </c>
      <c r="BP7" s="977"/>
      <c r="BQ7" s="911">
        <f t="shared" si="8"/>
        <v>399975.44</v>
      </c>
      <c r="BU7" s="915">
        <v>202207</v>
      </c>
      <c r="BV7" s="914">
        <f t="shared" ref="BV7:BV18" si="12">BX6</f>
        <v>-4268191</v>
      </c>
      <c r="BW7" s="914">
        <v>0</v>
      </c>
      <c r="BX7" s="913">
        <v>-4268191</v>
      </c>
      <c r="BY7" s="978">
        <v>0</v>
      </c>
      <c r="BZ7" s="912">
        <f t="shared" si="9"/>
        <v>-4268191</v>
      </c>
      <c r="CA7" s="977"/>
      <c r="CB7" s="911">
        <v>-4268191</v>
      </c>
      <c r="CC7" s="911">
        <v>0</v>
      </c>
      <c r="CK7" s="877"/>
      <c r="CL7" s="877"/>
      <c r="CM7" s="877"/>
      <c r="CR7" s="979">
        <f>SUM(CR4:CR6)</f>
        <v>5538239.7897400111</v>
      </c>
      <c r="CW7" s="993">
        <v>182381</v>
      </c>
      <c r="CX7" s="229" t="s">
        <v>807</v>
      </c>
      <c r="CY7" s="988">
        <f t="shared" si="0"/>
        <v>0</v>
      </c>
      <c r="CZ7" s="988">
        <f t="shared" si="1"/>
        <v>27443492</v>
      </c>
      <c r="DA7" s="988">
        <f t="shared" si="2"/>
        <v>27443492</v>
      </c>
      <c r="DB7" s="988"/>
      <c r="DC7" s="990">
        <v>0</v>
      </c>
      <c r="DD7" s="990">
        <v>17673609</v>
      </c>
      <c r="DE7" s="988">
        <f t="shared" si="3"/>
        <v>17673609</v>
      </c>
      <c r="DF7" s="988"/>
      <c r="DG7" s="990">
        <v>0</v>
      </c>
      <c r="DH7" s="990">
        <v>9769883</v>
      </c>
      <c r="DI7" s="988">
        <f t="shared" si="4"/>
        <v>9769883</v>
      </c>
      <c r="DM7" s="993">
        <v>303110</v>
      </c>
      <c r="DN7" s="229" t="s">
        <v>802</v>
      </c>
      <c r="DO7" s="988">
        <f t="shared" si="5"/>
        <v>0</v>
      </c>
      <c r="DP7" s="988">
        <f t="shared" si="5"/>
        <v>0</v>
      </c>
      <c r="DQ7" s="988">
        <f>SUM(DO7:DP7)</f>
        <v>0</v>
      </c>
      <c r="DR7" s="988"/>
      <c r="DS7" s="991">
        <v>0</v>
      </c>
      <c r="DT7" s="991">
        <v>0</v>
      </c>
      <c r="DU7" s="988">
        <f>SUM(DS7:DT7)</f>
        <v>0</v>
      </c>
      <c r="DV7" s="988"/>
      <c r="DW7" s="991">
        <v>0</v>
      </c>
      <c r="DX7" s="991">
        <v>0</v>
      </c>
      <c r="DY7" s="988">
        <f>SUM(DW7:DX7)</f>
        <v>0</v>
      </c>
    </row>
    <row r="8" spans="1:129">
      <c r="A8" s="477" t="s">
        <v>734</v>
      </c>
      <c r="H8" s="867"/>
      <c r="I8" s="867" t="s">
        <v>733</v>
      </c>
      <c r="N8" s="477" t="s">
        <v>729</v>
      </c>
      <c r="O8" s="924"/>
      <c r="P8" s="924"/>
      <c r="Q8" s="866">
        <f>'G-1.01 DFIT'!AD67</f>
        <v>-534076856.95597672</v>
      </c>
      <c r="R8" s="889">
        <f>Q8</f>
        <v>-534076856.95597672</v>
      </c>
      <c r="X8" s="880" t="s">
        <v>679</v>
      </c>
      <c r="Y8" s="879" t="s">
        <v>678</v>
      </c>
      <c r="Z8" s="879" t="s">
        <v>678</v>
      </c>
      <c r="AA8" s="879" t="s">
        <v>678</v>
      </c>
      <c r="AB8" s="867"/>
      <c r="AC8" s="879" t="s">
        <v>677</v>
      </c>
      <c r="AD8" s="879" t="s">
        <v>677</v>
      </c>
      <c r="AE8" s="879" t="s">
        <v>677</v>
      </c>
      <c r="AF8" s="879" t="s">
        <v>676</v>
      </c>
      <c r="AG8" s="880"/>
      <c r="AH8" s="879" t="s">
        <v>198</v>
      </c>
      <c r="AI8" s="879" t="s">
        <v>675</v>
      </c>
      <c r="AQ8" s="927"/>
      <c r="AR8" s="867"/>
      <c r="AS8" s="922" t="s">
        <v>732</v>
      </c>
      <c r="AT8" s="922"/>
      <c r="AU8" s="922" t="s">
        <v>731</v>
      </c>
      <c r="AV8" s="922" t="s">
        <v>731</v>
      </c>
      <c r="AW8" s="922" t="s">
        <v>731</v>
      </c>
      <c r="BA8" s="915">
        <f>'G-1.01 DFIT'!X11</f>
        <v>202208</v>
      </c>
      <c r="BB8" s="914">
        <f t="shared" si="10"/>
        <v>-1351174.38</v>
      </c>
      <c r="BC8" s="914">
        <v>2580.83</v>
      </c>
      <c r="BD8" s="913">
        <v>-1348593.55</v>
      </c>
      <c r="BE8" s="975">
        <v>0</v>
      </c>
      <c r="BF8" s="912">
        <f t="shared" si="6"/>
        <v>-1348593.55</v>
      </c>
      <c r="BJ8" s="915">
        <v>202208</v>
      </c>
      <c r="BK8" s="914">
        <f t="shared" si="11"/>
        <v>399975.44</v>
      </c>
      <c r="BL8" s="914">
        <v>0</v>
      </c>
      <c r="BM8" s="913">
        <v>399975.44</v>
      </c>
      <c r="BN8" s="978">
        <v>0</v>
      </c>
      <c r="BO8" s="912">
        <f t="shared" si="7"/>
        <v>399975.44</v>
      </c>
      <c r="BP8" s="977"/>
      <c r="BQ8" s="911">
        <f t="shared" si="8"/>
        <v>399975.44</v>
      </c>
      <c r="BU8" s="915">
        <v>202208</v>
      </c>
      <c r="BV8" s="914">
        <f t="shared" si="12"/>
        <v>-4268191</v>
      </c>
      <c r="BW8" s="914">
        <v>0</v>
      </c>
      <c r="BX8" s="913">
        <v>-4268191</v>
      </c>
      <c r="BY8" s="978">
        <v>0</v>
      </c>
      <c r="BZ8" s="912">
        <f t="shared" si="9"/>
        <v>-4268191</v>
      </c>
      <c r="CA8" s="977"/>
      <c r="CB8" s="911">
        <v>-4463792</v>
      </c>
      <c r="CC8" s="911">
        <v>-195601</v>
      </c>
      <c r="CG8" s="477" t="s">
        <v>672</v>
      </c>
      <c r="CI8" s="867" t="s">
        <v>655</v>
      </c>
      <c r="CJ8" s="866">
        <f>'G-1.01 DFIT'!E10</f>
        <v>-437203.62241999997</v>
      </c>
      <c r="CK8" s="866">
        <f>IF($CI8="I",$CJ8,0)</f>
        <v>-437203.62241999997</v>
      </c>
      <c r="CL8" s="866">
        <f t="shared" ref="CL8:CL13" si="13">IF($CI8="U",$CJ8,0)</f>
        <v>0</v>
      </c>
      <c r="CM8" s="866">
        <f t="shared" ref="CM8:CM13" si="14">IF($CI8="D",$CJ8,0)</f>
        <v>0</v>
      </c>
      <c r="CN8" s="866">
        <f>IF($CI8="O",$CJ8,0)</f>
        <v>0</v>
      </c>
      <c r="CW8" s="993">
        <v>302000</v>
      </c>
      <c r="CX8" s="229" t="s">
        <v>806</v>
      </c>
      <c r="CY8" s="988">
        <f t="shared" si="0"/>
        <v>2724717</v>
      </c>
      <c r="CZ8" s="988">
        <f t="shared" si="1"/>
        <v>44049218</v>
      </c>
      <c r="DA8" s="988">
        <f t="shared" si="2"/>
        <v>46773935</v>
      </c>
      <c r="DB8" s="988"/>
      <c r="DC8" s="990">
        <v>2724717</v>
      </c>
      <c r="DD8" s="990">
        <v>28367696</v>
      </c>
      <c r="DE8" s="988">
        <f t="shared" si="3"/>
        <v>31092413</v>
      </c>
      <c r="DF8" s="988"/>
      <c r="DG8" s="990">
        <v>0</v>
      </c>
      <c r="DH8" s="990">
        <v>15681522</v>
      </c>
      <c r="DI8" s="988">
        <f t="shared" si="4"/>
        <v>15681522</v>
      </c>
      <c r="DN8" s="229" t="s">
        <v>307</v>
      </c>
      <c r="DO8" s="992">
        <f>SUM(DO4:DO7)</f>
        <v>6096424</v>
      </c>
      <c r="DP8" s="992">
        <f>SUM(DP4:DP7)</f>
        <v>61295026</v>
      </c>
      <c r="DQ8" s="992">
        <f>SUM(DQ4:DQ7)</f>
        <v>67391450</v>
      </c>
      <c r="DR8" s="988"/>
      <c r="DS8" s="992">
        <f>SUM(DS4:DS7)</f>
        <v>5324907</v>
      </c>
      <c r="DT8" s="992">
        <f>SUM(DT4:DT7)</f>
        <v>43976729</v>
      </c>
      <c r="DU8" s="992">
        <f>SUM(DU4:DU7)</f>
        <v>49301636</v>
      </c>
      <c r="DV8" s="988"/>
      <c r="DW8" s="992">
        <f>SUM(DW4:DW7)</f>
        <v>771517</v>
      </c>
      <c r="DX8" s="992">
        <f>SUM(DX4:DX7)</f>
        <v>17318297</v>
      </c>
      <c r="DY8" s="992">
        <f>SUM(DY4:DY7)</f>
        <v>18089814</v>
      </c>
    </row>
    <row r="9" spans="1:129">
      <c r="I9" s="923" t="s">
        <v>730</v>
      </c>
      <c r="Q9" s="866"/>
      <c r="R9" s="866"/>
      <c r="S9" s="866"/>
      <c r="T9" s="866"/>
      <c r="X9" s="182">
        <v>202206</v>
      </c>
      <c r="Y9" s="971">
        <v>-76158903.540000007</v>
      </c>
      <c r="Z9" s="970">
        <v>0</v>
      </c>
      <c r="AA9" s="960">
        <f t="shared" ref="AA9:AA21" si="15">SUM(Y9:Z9)</f>
        <v>-76158903.540000007</v>
      </c>
      <c r="AB9" s="960"/>
      <c r="AC9" s="971">
        <v>-847756.82</v>
      </c>
      <c r="AD9" s="971">
        <v>-533063155.48000002</v>
      </c>
      <c r="AE9" s="971">
        <v>-103515627.22</v>
      </c>
      <c r="AF9" s="971">
        <v>-60887989.909999996</v>
      </c>
      <c r="AH9" s="960">
        <f t="shared" ref="AH9:AH21" si="16">SUM(AA9:AF9)</f>
        <v>-774473432.97000003</v>
      </c>
      <c r="AI9" s="970">
        <v>0</v>
      </c>
      <c r="AQ9" s="927"/>
      <c r="AR9" s="877">
        <v>202206</v>
      </c>
      <c r="AS9" s="866">
        <v>0</v>
      </c>
      <c r="AT9" s="866"/>
      <c r="AU9" s="866">
        <f>'G-1.01 DFIT'!BF6</f>
        <v>-1353755.21</v>
      </c>
      <c r="AV9" s="866">
        <f>'G-1.01 DFIT'!BQ6</f>
        <v>399975.44</v>
      </c>
      <c r="AW9" s="866">
        <f>'G-1.01 DFIT'!BZ6</f>
        <v>-4268191</v>
      </c>
      <c r="BA9" s="915">
        <f>'G-1.01 DFIT'!X12</f>
        <v>202209</v>
      </c>
      <c r="BB9" s="914">
        <f t="shared" si="10"/>
        <v>-1348593.55</v>
      </c>
      <c r="BC9" s="914">
        <v>2580.83</v>
      </c>
      <c r="BD9" s="913">
        <v>-1346012.72</v>
      </c>
      <c r="BE9" s="975">
        <v>0</v>
      </c>
      <c r="BF9" s="912">
        <f t="shared" si="6"/>
        <v>-1346012.72</v>
      </c>
      <c r="BJ9" s="915">
        <v>202209</v>
      </c>
      <c r="BK9" s="914">
        <f t="shared" si="11"/>
        <v>399975.44</v>
      </c>
      <c r="BL9" s="914">
        <v>68069</v>
      </c>
      <c r="BM9" s="913">
        <v>468044.44</v>
      </c>
      <c r="BN9" s="978">
        <v>0</v>
      </c>
      <c r="BO9" s="912">
        <f t="shared" si="7"/>
        <v>468044.44</v>
      </c>
      <c r="BP9" s="977"/>
      <c r="BQ9" s="911">
        <f t="shared" si="8"/>
        <v>468044.44</v>
      </c>
      <c r="BU9" s="915">
        <v>202209</v>
      </c>
      <c r="BV9" s="914">
        <f t="shared" si="12"/>
        <v>-4268191</v>
      </c>
      <c r="BW9" s="914">
        <v>-195601</v>
      </c>
      <c r="BX9" s="913">
        <v>-4463792</v>
      </c>
      <c r="BY9" s="978">
        <v>0</v>
      </c>
      <c r="BZ9" s="912">
        <f t="shared" si="9"/>
        <v>-4463792</v>
      </c>
      <c r="CA9" s="977"/>
      <c r="CB9" s="911">
        <v>-4463792</v>
      </c>
      <c r="CC9" s="911">
        <v>0</v>
      </c>
      <c r="CG9" s="477" t="s">
        <v>785</v>
      </c>
      <c r="CI9" s="867" t="s">
        <v>789</v>
      </c>
      <c r="CJ9" s="866">
        <f>'G-1.01 DFIT'!E11</f>
        <v>-3285545.2399999998</v>
      </c>
      <c r="CK9" s="866">
        <f>IF($CI9="I",$CJ9,0)</f>
        <v>0</v>
      </c>
      <c r="CL9" s="866">
        <f t="shared" si="13"/>
        <v>-3285545.2399999998</v>
      </c>
      <c r="CM9" s="866">
        <f t="shared" si="14"/>
        <v>0</v>
      </c>
      <c r="CN9" s="866">
        <f>IF($CI9="O",$CJ9,0)</f>
        <v>0</v>
      </c>
      <c r="CQ9" s="873" t="s">
        <v>62</v>
      </c>
      <c r="CR9" s="873" t="s">
        <v>785</v>
      </c>
      <c r="CW9" s="993">
        <v>303000</v>
      </c>
      <c r="CX9" s="229" t="s">
        <v>805</v>
      </c>
      <c r="CY9" s="988">
        <f t="shared" si="0"/>
        <v>319716</v>
      </c>
      <c r="CZ9" s="988">
        <f t="shared" si="1"/>
        <v>16240555</v>
      </c>
      <c r="DA9" s="988">
        <f t="shared" si="2"/>
        <v>16560271</v>
      </c>
      <c r="DB9" s="988"/>
      <c r="DC9" s="990">
        <v>319716</v>
      </c>
      <c r="DD9" s="990">
        <v>10569861</v>
      </c>
      <c r="DE9" s="988">
        <f t="shared" si="3"/>
        <v>10889577</v>
      </c>
      <c r="DF9" s="988"/>
      <c r="DG9" s="990">
        <v>0</v>
      </c>
      <c r="DH9" s="990">
        <v>5670694</v>
      </c>
      <c r="DI9" s="988">
        <f t="shared" si="4"/>
        <v>5670694</v>
      </c>
      <c r="DO9" s="988"/>
      <c r="DP9" s="988"/>
      <c r="DQ9" s="988"/>
      <c r="DR9" s="988"/>
      <c r="DS9" s="988"/>
      <c r="DT9" s="988"/>
      <c r="DU9" s="988"/>
      <c r="DV9" s="988"/>
      <c r="DW9" s="988"/>
      <c r="DX9" s="988"/>
      <c r="DY9" s="988"/>
    </row>
    <row r="10" spans="1:129">
      <c r="A10" s="477" t="s">
        <v>786</v>
      </c>
      <c r="B10" s="477" t="s">
        <v>672</v>
      </c>
      <c r="C10" s="867">
        <v>4</v>
      </c>
      <c r="D10" s="866">
        <f>ROUND('G-1.01 DFIT'!$S$10*J10,0)</f>
        <v>-609377</v>
      </c>
      <c r="E10" s="866">
        <f>D10*E35</f>
        <v>-437203.62241999997</v>
      </c>
      <c r="F10" s="866">
        <f>D10*F35</f>
        <v>-172173.37758</v>
      </c>
      <c r="H10" s="877" t="s">
        <v>672</v>
      </c>
      <c r="I10" s="952">
        <f>'G-1.01 DFIT'!DQ8-'G-1.01 DFIT'!DQ35</f>
        <v>6393769</v>
      </c>
      <c r="J10" s="951">
        <f>ROUND(I10/$I$14,8)</f>
        <v>5.9854699999999997E-3</v>
      </c>
      <c r="N10" s="477" t="s">
        <v>728</v>
      </c>
      <c r="Q10" s="866">
        <f>'G-1.01 DFIT'!AE67</f>
        <v>-101809321.63937648</v>
      </c>
      <c r="R10" s="866"/>
      <c r="S10" s="889">
        <f>Q10</f>
        <v>-101809321.63937648</v>
      </c>
      <c r="T10" s="866"/>
      <c r="X10" s="182">
        <f t="shared" ref="X10:X15" si="17">X9+1</f>
        <v>202207</v>
      </c>
      <c r="Y10" s="971">
        <v>-75731446.540000007</v>
      </c>
      <c r="Z10" s="970">
        <v>0</v>
      </c>
      <c r="AA10" s="960">
        <f t="shared" si="15"/>
        <v>-75731446.540000007</v>
      </c>
      <c r="AB10" s="960"/>
      <c r="AC10" s="971">
        <v>-845501.82</v>
      </c>
      <c r="AD10" s="971">
        <v>-533157747.48000002</v>
      </c>
      <c r="AE10" s="971">
        <v>-103645373.22</v>
      </c>
      <c r="AF10" s="971">
        <v>-60978368.909999996</v>
      </c>
      <c r="AH10" s="960">
        <f t="shared" si="16"/>
        <v>-774358437.97000003</v>
      </c>
      <c r="AI10" s="970">
        <v>0</v>
      </c>
      <c r="AJ10" s="875">
        <f t="shared" ref="AJ10:AJ21" si="18">AH10-AH9</f>
        <v>114995</v>
      </c>
      <c r="AK10" s="875"/>
      <c r="AQ10" s="972"/>
      <c r="AR10" s="877">
        <v>202306</v>
      </c>
      <c r="AS10" s="866">
        <v>0</v>
      </c>
      <c r="AT10" s="866"/>
      <c r="AU10" s="866">
        <f>'G-1.01 DFIT'!BF18</f>
        <v>-1323850.82</v>
      </c>
      <c r="AV10" s="866">
        <f>'G-1.01 DFIT'!BQ18</f>
        <v>-7184.3</v>
      </c>
      <c r="AW10" s="866">
        <f>'G-1.01 DFIT'!BZ18</f>
        <v>-6511185</v>
      </c>
      <c r="BA10" s="915">
        <f>'G-1.01 DFIT'!X13</f>
        <v>202210</v>
      </c>
      <c r="BB10" s="914">
        <f t="shared" si="10"/>
        <v>-1346012.72</v>
      </c>
      <c r="BC10" s="914">
        <v>2580.83</v>
      </c>
      <c r="BD10" s="913">
        <v>-1343431.89</v>
      </c>
      <c r="BE10" s="975">
        <v>0</v>
      </c>
      <c r="BF10" s="912">
        <f t="shared" si="6"/>
        <v>-1343431.89</v>
      </c>
      <c r="BJ10" s="915">
        <v>202210</v>
      </c>
      <c r="BK10" s="914">
        <f t="shared" si="11"/>
        <v>468044.44</v>
      </c>
      <c r="BL10" s="914">
        <v>0</v>
      </c>
      <c r="BM10" s="913">
        <v>468044.44</v>
      </c>
      <c r="BN10" s="978">
        <v>0</v>
      </c>
      <c r="BO10" s="912">
        <f t="shared" si="7"/>
        <v>468044.44</v>
      </c>
      <c r="BP10" s="977"/>
      <c r="BQ10" s="911">
        <f t="shared" si="8"/>
        <v>468044.44</v>
      </c>
      <c r="BU10" s="915">
        <v>202210</v>
      </c>
      <c r="BV10" s="914">
        <f t="shared" si="12"/>
        <v>-4463792</v>
      </c>
      <c r="BW10" s="914">
        <v>0</v>
      </c>
      <c r="BX10" s="913">
        <v>-4463792</v>
      </c>
      <c r="BY10" s="978">
        <v>0</v>
      </c>
      <c r="BZ10" s="912">
        <f t="shared" si="9"/>
        <v>-4463792</v>
      </c>
      <c r="CA10" s="977"/>
      <c r="CB10" s="911">
        <v>-4463792</v>
      </c>
      <c r="CC10" s="911">
        <v>0</v>
      </c>
      <c r="CG10" s="477" t="s">
        <v>45</v>
      </c>
      <c r="CI10" s="867" t="s">
        <v>670</v>
      </c>
      <c r="CJ10" s="866">
        <f>'G-1.01 DFIT'!E12</f>
        <v>-64457597.517719999</v>
      </c>
      <c r="CK10" s="866">
        <f>IF($CI10="I",$CJ10,0)</f>
        <v>0</v>
      </c>
      <c r="CL10" s="866">
        <f t="shared" si="13"/>
        <v>0</v>
      </c>
      <c r="CM10" s="866">
        <f t="shared" si="14"/>
        <v>-64457597.517719999</v>
      </c>
      <c r="CN10" s="866">
        <f>IF($CI10="O",$CJ10,0)</f>
        <v>0</v>
      </c>
      <c r="CQ10" s="477" t="s">
        <v>785</v>
      </c>
      <c r="CR10" s="979">
        <f>'G-1.01 DFIT'!DU10</f>
        <v>34499717</v>
      </c>
      <c r="CW10" s="993">
        <v>303100</v>
      </c>
      <c r="CX10" s="229" t="s">
        <v>804</v>
      </c>
      <c r="CY10" s="988">
        <f t="shared" si="0"/>
        <v>4126795</v>
      </c>
      <c r="CZ10" s="988">
        <f t="shared" si="1"/>
        <v>111817414</v>
      </c>
      <c r="DA10" s="988">
        <f t="shared" si="2"/>
        <v>115944209</v>
      </c>
      <c r="DB10" s="988"/>
      <c r="DC10" s="990">
        <v>4126795</v>
      </c>
      <c r="DD10" s="990">
        <v>74853931</v>
      </c>
      <c r="DE10" s="988">
        <f t="shared" si="3"/>
        <v>78980726</v>
      </c>
      <c r="DF10" s="988"/>
      <c r="DG10" s="990">
        <v>0</v>
      </c>
      <c r="DH10" s="990">
        <v>36963483</v>
      </c>
      <c r="DI10" s="988">
        <f t="shared" si="4"/>
        <v>36963483</v>
      </c>
      <c r="DN10" s="478" t="s">
        <v>785</v>
      </c>
      <c r="DO10" s="988">
        <f t="shared" ref="DO10:DP12" si="19">SUM(DS10,DW10)</f>
        <v>0</v>
      </c>
      <c r="DP10" s="988">
        <f t="shared" si="19"/>
        <v>50362209</v>
      </c>
      <c r="DQ10" s="988">
        <f>SUM(DO10:DP10)</f>
        <v>50362209</v>
      </c>
      <c r="DR10" s="988"/>
      <c r="DS10" s="991">
        <v>0</v>
      </c>
      <c r="DT10" s="991">
        <v>34499717</v>
      </c>
      <c r="DU10" s="988">
        <f>SUM(DS10:DT10)</f>
        <v>34499717</v>
      </c>
      <c r="DV10" s="988"/>
      <c r="DW10" s="991">
        <v>0</v>
      </c>
      <c r="DX10" s="991">
        <v>15862492</v>
      </c>
      <c r="DY10" s="988">
        <f>SUM(DW10:DX10)</f>
        <v>15862492</v>
      </c>
    </row>
    <row r="11" spans="1:129">
      <c r="B11" s="477" t="s">
        <v>785</v>
      </c>
      <c r="C11" s="867">
        <v>1</v>
      </c>
      <c r="D11" s="866">
        <f>ROUND('G-1.01 DFIT'!$S$10*J11,0)</f>
        <v>-4799920</v>
      </c>
      <c r="E11" s="866">
        <f>D11*E34</f>
        <v>-3285545.2399999998</v>
      </c>
      <c r="F11" s="866">
        <f>D11*F34</f>
        <v>-1514374.76</v>
      </c>
      <c r="H11" s="877" t="s">
        <v>785</v>
      </c>
      <c r="I11" s="952">
        <f>'G-1.01 DFIT'!DQ10</f>
        <v>50362209</v>
      </c>
      <c r="J11" s="951">
        <f>ROUND(I11/$I$14,8)</f>
        <v>4.7146170000000001E-2</v>
      </c>
      <c r="Q11" s="866"/>
      <c r="R11" s="866"/>
      <c r="S11" s="866"/>
      <c r="T11" s="866"/>
      <c r="X11" s="182">
        <f t="shared" si="17"/>
        <v>202208</v>
      </c>
      <c r="Y11" s="971">
        <v>-75303989.540000007</v>
      </c>
      <c r="Z11" s="970">
        <v>0</v>
      </c>
      <c r="AA11" s="960">
        <f t="shared" si="15"/>
        <v>-75303989.540000007</v>
      </c>
      <c r="AB11" s="960"/>
      <c r="AC11" s="971">
        <v>-843246.82</v>
      </c>
      <c r="AD11" s="971">
        <v>-533252339.48000002</v>
      </c>
      <c r="AE11" s="971">
        <v>-103775119.22</v>
      </c>
      <c r="AF11" s="971">
        <v>-61068747.909999996</v>
      </c>
      <c r="AH11" s="960">
        <f t="shared" si="16"/>
        <v>-774243442.97000003</v>
      </c>
      <c r="AI11" s="970">
        <v>0</v>
      </c>
      <c r="AJ11" s="875">
        <f t="shared" si="18"/>
        <v>114995</v>
      </c>
      <c r="AK11" s="875"/>
      <c r="AQ11" s="972"/>
      <c r="AR11" s="920" t="s">
        <v>706</v>
      </c>
      <c r="AS11" s="921">
        <f>AS9+AS10</f>
        <v>0</v>
      </c>
      <c r="AT11" s="921"/>
      <c r="AU11" s="921">
        <f>AU9+AU10</f>
        <v>-2677606.0300000003</v>
      </c>
      <c r="AV11" s="921">
        <f>AV9+AV10</f>
        <v>392791.14</v>
      </c>
      <c r="AW11" s="921">
        <f>AW9+AW10</f>
        <v>-10779376</v>
      </c>
      <c r="BA11" s="915">
        <f>'G-1.01 DFIT'!X14</f>
        <v>202211</v>
      </c>
      <c r="BB11" s="914">
        <f t="shared" si="10"/>
        <v>-1343431.89</v>
      </c>
      <c r="BC11" s="914">
        <v>2580.83</v>
      </c>
      <c r="BD11" s="913">
        <v>-1340851.06</v>
      </c>
      <c r="BE11" s="975">
        <v>0</v>
      </c>
      <c r="BF11" s="912">
        <f t="shared" si="6"/>
        <v>-1340851.06</v>
      </c>
      <c r="BJ11" s="915">
        <v>202211</v>
      </c>
      <c r="BK11" s="914">
        <f t="shared" si="11"/>
        <v>468044.44</v>
      </c>
      <c r="BL11" s="914">
        <v>0</v>
      </c>
      <c r="BM11" s="913">
        <v>468044.44</v>
      </c>
      <c r="BN11" s="978">
        <v>0</v>
      </c>
      <c r="BO11" s="912">
        <f t="shared" si="7"/>
        <v>468044.44</v>
      </c>
      <c r="BP11" s="977"/>
      <c r="BQ11" s="911">
        <f t="shared" si="8"/>
        <v>468044.44</v>
      </c>
      <c r="BU11" s="915">
        <v>202211</v>
      </c>
      <c r="BV11" s="914">
        <f t="shared" si="12"/>
        <v>-4463792</v>
      </c>
      <c r="BW11" s="914">
        <v>0</v>
      </c>
      <c r="BX11" s="913">
        <v>-4463792</v>
      </c>
      <c r="BY11" s="978">
        <v>0</v>
      </c>
      <c r="BZ11" s="912">
        <f t="shared" si="9"/>
        <v>-4463792</v>
      </c>
      <c r="CA11" s="977"/>
      <c r="CB11" s="911">
        <v>-5923743</v>
      </c>
      <c r="CC11" s="911">
        <v>-1459951</v>
      </c>
      <c r="CG11" s="477" t="s">
        <v>669</v>
      </c>
      <c r="CI11" s="867" t="s">
        <v>657</v>
      </c>
      <c r="CJ11" s="866">
        <f>'G-1.01 DFIT'!E13</f>
        <v>-4592044.6802699994</v>
      </c>
      <c r="CK11" s="866">
        <f>IF($CI11="I",$CJ11,0)</f>
        <v>0</v>
      </c>
      <c r="CL11" s="866">
        <f t="shared" si="13"/>
        <v>0</v>
      </c>
      <c r="CM11" s="866">
        <f t="shared" si="14"/>
        <v>0</v>
      </c>
      <c r="CN11" s="866">
        <f>IF($CI11="O",$CJ11,0)</f>
        <v>-4592044.6802699994</v>
      </c>
      <c r="CR11" s="979"/>
      <c r="CW11" s="993" t="s">
        <v>796</v>
      </c>
      <c r="CX11" s="229" t="s">
        <v>803</v>
      </c>
      <c r="CY11" s="988">
        <f t="shared" si="0"/>
        <v>0</v>
      </c>
      <c r="CZ11" s="988">
        <f t="shared" si="1"/>
        <v>17496275</v>
      </c>
      <c r="DA11" s="988">
        <f t="shared" si="2"/>
        <v>17496275</v>
      </c>
      <c r="DB11" s="988"/>
      <c r="DC11" s="990">
        <v>0</v>
      </c>
      <c r="DD11" s="990">
        <v>11712531</v>
      </c>
      <c r="DE11" s="988">
        <f t="shared" si="3"/>
        <v>11712531</v>
      </c>
      <c r="DF11" s="988"/>
      <c r="DG11" s="990">
        <v>0</v>
      </c>
      <c r="DH11" s="990">
        <v>5783744</v>
      </c>
      <c r="DI11" s="988">
        <f t="shared" si="4"/>
        <v>5783744</v>
      </c>
      <c r="DN11" s="478" t="s">
        <v>45</v>
      </c>
      <c r="DO11" s="988">
        <f t="shared" si="19"/>
        <v>948341053</v>
      </c>
      <c r="DP11" s="988">
        <f t="shared" si="19"/>
        <v>2518937</v>
      </c>
      <c r="DQ11" s="988">
        <f>SUM(DO11:DP11)</f>
        <v>950859990</v>
      </c>
      <c r="DR11" s="988"/>
      <c r="DS11" s="991">
        <v>648833763</v>
      </c>
      <c r="DT11" s="991">
        <v>1688796</v>
      </c>
      <c r="DU11" s="988">
        <f>SUM(DS11:DT11)</f>
        <v>650522559</v>
      </c>
      <c r="DV11" s="988"/>
      <c r="DW11" s="991">
        <v>299507290</v>
      </c>
      <c r="DX11" s="991">
        <v>830141</v>
      </c>
      <c r="DY11" s="988">
        <f>SUM(DW11:DX11)</f>
        <v>300337431</v>
      </c>
    </row>
    <row r="12" spans="1:129">
      <c r="B12" s="477" t="s">
        <v>45</v>
      </c>
      <c r="C12" s="867">
        <v>12</v>
      </c>
      <c r="D12" s="866">
        <f>ROUND('G-1.01 DFIT'!$S$10*J12,0)</f>
        <v>-90624522</v>
      </c>
      <c r="E12" s="866">
        <f>D12*E36</f>
        <v>-64457597.517719999</v>
      </c>
      <c r="F12" s="866">
        <f>D12*F36</f>
        <v>-26166924.482280001</v>
      </c>
      <c r="H12" s="877" t="s">
        <v>45</v>
      </c>
      <c r="I12" s="952">
        <f>'G-1.01 DFIT'!DQ11</f>
        <v>950859990</v>
      </c>
      <c r="J12" s="951">
        <f>ROUND(I12/$I$14,8)</f>
        <v>0.89013973000000002</v>
      </c>
      <c r="N12" s="477" t="s">
        <v>727</v>
      </c>
      <c r="Q12" s="866">
        <f>'G-1.01 DFIT'!AF67</f>
        <v>-59479025.616839044</v>
      </c>
      <c r="R12" s="866"/>
      <c r="S12" s="866"/>
      <c r="T12" s="889">
        <f>Q12</f>
        <v>-59479025.616839044</v>
      </c>
      <c r="X12" s="182">
        <f t="shared" si="17"/>
        <v>202209</v>
      </c>
      <c r="Y12" s="971">
        <v>-74482468.540000007</v>
      </c>
      <c r="Z12" s="970">
        <v>0</v>
      </c>
      <c r="AA12" s="960">
        <f t="shared" si="15"/>
        <v>-74482468.540000007</v>
      </c>
      <c r="AB12" s="960"/>
      <c r="AC12" s="971">
        <v>-809033.82</v>
      </c>
      <c r="AD12" s="971">
        <v>-538429377.48000002</v>
      </c>
      <c r="AE12" s="971">
        <v>-103060910.22</v>
      </c>
      <c r="AF12" s="971">
        <v>-60538488.909999996</v>
      </c>
      <c r="AH12" s="960">
        <f t="shared" si="16"/>
        <v>-777320278.97000003</v>
      </c>
      <c r="AI12" s="970">
        <v>0</v>
      </c>
      <c r="AJ12" s="875">
        <f t="shared" si="18"/>
        <v>-3076836</v>
      </c>
      <c r="AK12" s="875"/>
      <c r="AQ12" s="919"/>
      <c r="AR12" s="920"/>
      <c r="AS12" s="866"/>
      <c r="AT12" s="866"/>
      <c r="AU12" s="866"/>
      <c r="AV12" s="866"/>
      <c r="AW12" s="866"/>
      <c r="BA12" s="915">
        <f>'G-1.01 DFIT'!X15</f>
        <v>202212</v>
      </c>
      <c r="BB12" s="914">
        <f t="shared" si="10"/>
        <v>-1340851.06</v>
      </c>
      <c r="BC12" s="914">
        <v>2580.83</v>
      </c>
      <c r="BD12" s="913">
        <v>-1338270.23</v>
      </c>
      <c r="BE12" s="975">
        <v>0</v>
      </c>
      <c r="BF12" s="912">
        <f t="shared" si="6"/>
        <v>-1338270.23</v>
      </c>
      <c r="BJ12" s="915">
        <v>202212</v>
      </c>
      <c r="BK12" s="914">
        <f t="shared" si="11"/>
        <v>468044.44</v>
      </c>
      <c r="BL12" s="914">
        <v>-475228.74</v>
      </c>
      <c r="BM12" s="913">
        <v>-7184.3</v>
      </c>
      <c r="BN12" s="978">
        <v>0</v>
      </c>
      <c r="BO12" s="912">
        <f t="shared" si="7"/>
        <v>-7184.3</v>
      </c>
      <c r="BP12" s="977"/>
      <c r="BQ12" s="911">
        <f t="shared" si="8"/>
        <v>-7184.3</v>
      </c>
      <c r="BU12" s="915">
        <v>202212</v>
      </c>
      <c r="BV12" s="914">
        <f t="shared" si="12"/>
        <v>-4463792</v>
      </c>
      <c r="BW12" s="914">
        <v>-1459951</v>
      </c>
      <c r="BX12" s="913">
        <v>-5923743</v>
      </c>
      <c r="BY12" s="978">
        <v>0</v>
      </c>
      <c r="BZ12" s="912">
        <f t="shared" si="9"/>
        <v>-5923743</v>
      </c>
      <c r="CA12" s="977"/>
      <c r="CB12" s="911">
        <v>-5923743</v>
      </c>
      <c r="CC12" s="911">
        <v>0</v>
      </c>
      <c r="CG12" s="477" t="s">
        <v>668</v>
      </c>
      <c r="CI12" s="867" t="s">
        <v>657</v>
      </c>
      <c r="CJ12" s="866">
        <f>'G-1.01 DFIT'!E15</f>
        <v>-11265793.828433853</v>
      </c>
      <c r="CK12" s="866">
        <f>CJ12*CT23</f>
        <v>-3161765.6680584336</v>
      </c>
      <c r="CL12" s="866">
        <f t="shared" si="13"/>
        <v>0</v>
      </c>
      <c r="CM12" s="866">
        <f t="shared" si="14"/>
        <v>0</v>
      </c>
      <c r="CN12" s="866">
        <f>CJ12*CT22</f>
        <v>-8104028.16037542</v>
      </c>
      <c r="CO12" s="866">
        <f>CJ12-CK12-CL12-CM12-CN12</f>
        <v>0</v>
      </c>
      <c r="CR12" s="981"/>
      <c r="CW12" s="993">
        <v>303110</v>
      </c>
      <c r="CX12" s="229" t="s">
        <v>802</v>
      </c>
      <c r="CY12" s="988">
        <f t="shared" si="0"/>
        <v>0</v>
      </c>
      <c r="CZ12" s="988">
        <f t="shared" si="1"/>
        <v>7805190</v>
      </c>
      <c r="DA12" s="988">
        <f t="shared" si="2"/>
        <v>7805190</v>
      </c>
      <c r="DB12" s="988"/>
      <c r="DC12" s="990">
        <v>0</v>
      </c>
      <c r="DD12" s="990">
        <v>5225028</v>
      </c>
      <c r="DE12" s="988">
        <f t="shared" si="3"/>
        <v>5225028</v>
      </c>
      <c r="DF12" s="988"/>
      <c r="DG12" s="990">
        <v>0</v>
      </c>
      <c r="DH12" s="990">
        <v>2580162</v>
      </c>
      <c r="DI12" s="988">
        <f t="shared" si="4"/>
        <v>2580162</v>
      </c>
      <c r="DN12" s="478" t="s">
        <v>61</v>
      </c>
      <c r="DO12" s="988">
        <f t="shared" si="19"/>
        <v>60598337</v>
      </c>
      <c r="DP12" s="988">
        <f t="shared" si="19"/>
        <v>83465794</v>
      </c>
      <c r="DQ12" s="988">
        <f>SUM(DO12:DP12)</f>
        <v>144064131</v>
      </c>
      <c r="DR12" s="988"/>
      <c r="DS12" s="991">
        <v>52288067</v>
      </c>
      <c r="DT12" s="991">
        <v>59883369</v>
      </c>
      <c r="DU12" s="988">
        <f>SUM(DS12:DT12)</f>
        <v>112171436</v>
      </c>
      <c r="DV12" s="988"/>
      <c r="DW12" s="991">
        <v>8310270</v>
      </c>
      <c r="DX12" s="991">
        <v>23582425</v>
      </c>
      <c r="DY12" s="988">
        <f>SUM(DW12:DX12)</f>
        <v>31892695</v>
      </c>
    </row>
    <row r="13" spans="1:129">
      <c r="B13" s="477" t="s">
        <v>784</v>
      </c>
      <c r="C13" s="867">
        <v>13</v>
      </c>
      <c r="D13" s="866">
        <f>ROUND('G-1.01 DFIT'!$S$10*J13,0)</f>
        <v>-5775503</v>
      </c>
      <c r="E13" s="866">
        <f>D13*E37</f>
        <v>-4592044.6802699994</v>
      </c>
      <c r="F13" s="866">
        <f>D13*F37</f>
        <v>-1183458.3197300001</v>
      </c>
      <c r="H13" s="877" t="s">
        <v>726</v>
      </c>
      <c r="I13" s="950">
        <f>'G-1.01 DFIT'!DO12</f>
        <v>60598337</v>
      </c>
      <c r="J13" s="949">
        <f>ROUND(I13/$I$14,8)</f>
        <v>5.6728630000000002E-2</v>
      </c>
      <c r="Q13" s="889"/>
      <c r="R13" s="866"/>
      <c r="S13" s="866"/>
      <c r="T13" s="866"/>
      <c r="X13" s="182">
        <f t="shared" si="17"/>
        <v>202210</v>
      </c>
      <c r="Y13" s="971">
        <v>-74055011.540000007</v>
      </c>
      <c r="Z13" s="970">
        <v>0</v>
      </c>
      <c r="AA13" s="960">
        <f t="shared" si="15"/>
        <v>-74055011.540000007</v>
      </c>
      <c r="AB13" s="960"/>
      <c r="AC13" s="971">
        <v>-806778.82</v>
      </c>
      <c r="AD13" s="971">
        <v>-538523969.48000002</v>
      </c>
      <c r="AE13" s="971">
        <v>-103190656.22</v>
      </c>
      <c r="AF13" s="971">
        <v>-60628867.909999996</v>
      </c>
      <c r="AH13" s="960">
        <f t="shared" si="16"/>
        <v>-777205283.97000003</v>
      </c>
      <c r="AI13" s="970">
        <v>0</v>
      </c>
      <c r="AJ13" s="875">
        <f t="shared" si="18"/>
        <v>114995</v>
      </c>
      <c r="AK13" s="875"/>
      <c r="AR13" s="920" t="s">
        <v>724</v>
      </c>
      <c r="AS13" s="866">
        <f>AS11/2</f>
        <v>0</v>
      </c>
      <c r="AT13" s="866"/>
      <c r="AU13" s="866">
        <f>AU11/2</f>
        <v>-1338803.0150000001</v>
      </c>
      <c r="AV13" s="866">
        <f>AV11/2</f>
        <v>196395.57</v>
      </c>
      <c r="AW13" s="866">
        <f>AW11/2</f>
        <v>-5389688</v>
      </c>
      <c r="BA13" s="915">
        <f>'G-1.01 DFIT'!X16</f>
        <v>202301</v>
      </c>
      <c r="BB13" s="914">
        <f t="shared" si="10"/>
        <v>-1338270.23</v>
      </c>
      <c r="BC13" s="914">
        <v>2223.9899999999998</v>
      </c>
      <c r="BD13" s="913">
        <v>-1336046.24</v>
      </c>
      <c r="BE13" s="975">
        <v>0</v>
      </c>
      <c r="BF13" s="912">
        <f t="shared" si="6"/>
        <v>-1336046.24</v>
      </c>
      <c r="BJ13" s="915">
        <v>202301</v>
      </c>
      <c r="BK13" s="914">
        <f t="shared" si="11"/>
        <v>-7184.3</v>
      </c>
      <c r="BL13" s="914">
        <v>0</v>
      </c>
      <c r="BM13" s="913">
        <v>-7184.3</v>
      </c>
      <c r="BN13" s="978">
        <v>0</v>
      </c>
      <c r="BO13" s="912">
        <f t="shared" si="7"/>
        <v>-7184.3</v>
      </c>
      <c r="BP13" s="977"/>
      <c r="BQ13" s="911">
        <f t="shared" si="8"/>
        <v>-7184.3</v>
      </c>
      <c r="BU13" s="915">
        <v>202301</v>
      </c>
      <c r="BV13" s="914">
        <f t="shared" si="12"/>
        <v>-5923743</v>
      </c>
      <c r="BW13" s="914">
        <v>0</v>
      </c>
      <c r="BX13" s="913">
        <v>-5923743</v>
      </c>
      <c r="BY13" s="978">
        <v>0</v>
      </c>
      <c r="BZ13" s="912">
        <f t="shared" si="9"/>
        <v>-5923743</v>
      </c>
      <c r="CA13" s="977"/>
      <c r="CB13" s="911">
        <v>-5923743</v>
      </c>
      <c r="CC13" s="911">
        <v>0</v>
      </c>
      <c r="CG13" s="477" t="s">
        <v>667</v>
      </c>
      <c r="CI13" s="867" t="s">
        <v>657</v>
      </c>
      <c r="CJ13" s="876">
        <f>'G-1.01 DFIT'!E16</f>
        <v>0</v>
      </c>
      <c r="CK13" s="876">
        <f>CJ13*CT23</f>
        <v>0</v>
      </c>
      <c r="CL13" s="876">
        <f t="shared" si="13"/>
        <v>0</v>
      </c>
      <c r="CM13" s="876">
        <f t="shared" si="14"/>
        <v>0</v>
      </c>
      <c r="CN13" s="876">
        <f>CJ13*CT22</f>
        <v>0</v>
      </c>
      <c r="CO13" s="866">
        <f>CJ13-CK13-CL13-CM13-CN13</f>
        <v>0</v>
      </c>
      <c r="CR13" s="979">
        <f>SUM(CR10:CR12)</f>
        <v>34499717</v>
      </c>
      <c r="CW13" s="993">
        <v>303115</v>
      </c>
      <c r="CX13" s="229" t="s">
        <v>802</v>
      </c>
      <c r="CY13" s="988">
        <f t="shared" si="0"/>
        <v>0</v>
      </c>
      <c r="CZ13" s="988">
        <f t="shared" si="1"/>
        <v>68822259</v>
      </c>
      <c r="DA13" s="988">
        <f t="shared" si="2"/>
        <v>68822259</v>
      </c>
      <c r="DB13" s="988"/>
      <c r="DC13" s="990">
        <v>0</v>
      </c>
      <c r="DD13" s="990">
        <v>46071685</v>
      </c>
      <c r="DE13" s="988">
        <f t="shared" si="3"/>
        <v>46071685</v>
      </c>
      <c r="DF13" s="988"/>
      <c r="DG13" s="990">
        <v>0</v>
      </c>
      <c r="DH13" s="990">
        <v>22750574</v>
      </c>
      <c r="DI13" s="988">
        <f t="shared" si="4"/>
        <v>22750574</v>
      </c>
      <c r="DO13" s="988"/>
      <c r="DP13" s="988"/>
      <c r="DQ13" s="988"/>
      <c r="DR13" s="988"/>
      <c r="DS13" s="991"/>
      <c r="DT13" s="991"/>
      <c r="DU13" s="988"/>
      <c r="DV13" s="988"/>
      <c r="DW13" s="991"/>
      <c r="DX13" s="991"/>
      <c r="DY13" s="988">
        <f>SUM(DW13:DX13)</f>
        <v>0</v>
      </c>
    </row>
    <row r="14" spans="1:129" ht="13.5" thickBot="1">
      <c r="C14" s="867"/>
      <c r="D14" s="866"/>
      <c r="E14" s="866"/>
      <c r="F14" s="866"/>
      <c r="H14" s="877"/>
      <c r="I14" s="910">
        <f>SUM(I10:I13)</f>
        <v>1068214305</v>
      </c>
      <c r="J14" s="870">
        <f>SUM(J10:J13)</f>
        <v>1</v>
      </c>
      <c r="N14" s="477" t="s">
        <v>725</v>
      </c>
      <c r="O14" s="477" t="s">
        <v>723</v>
      </c>
      <c r="Q14" s="889">
        <f>'G-1.01 DFIT'!AA67</f>
        <v>-75827362.393177196</v>
      </c>
      <c r="R14" s="866">
        <f>Q14*R34</f>
        <v>-53164080.321104392</v>
      </c>
      <c r="S14" s="866">
        <f>Q14*S34</f>
        <v>-15702330.204379132</v>
      </c>
      <c r="T14" s="866">
        <f>Q14*T34</f>
        <v>-6960951.8676936673</v>
      </c>
      <c r="X14" s="182">
        <f t="shared" si="17"/>
        <v>202211</v>
      </c>
      <c r="Y14" s="971">
        <v>-73627554.540000007</v>
      </c>
      <c r="Z14" s="970">
        <v>0</v>
      </c>
      <c r="AA14" s="960">
        <f t="shared" si="15"/>
        <v>-73627554.540000007</v>
      </c>
      <c r="AB14" s="960"/>
      <c r="AC14" s="971">
        <v>-804523.82</v>
      </c>
      <c r="AD14" s="971">
        <v>-538618561.48000002</v>
      </c>
      <c r="AE14" s="971">
        <v>-103320402.22</v>
      </c>
      <c r="AF14" s="971">
        <v>-60719246.909999996</v>
      </c>
      <c r="AH14" s="960">
        <f t="shared" si="16"/>
        <v>-777090288.97000003</v>
      </c>
      <c r="AI14" s="970">
        <v>0</v>
      </c>
      <c r="AJ14" s="875">
        <f t="shared" si="18"/>
        <v>114995</v>
      </c>
      <c r="AK14" s="875"/>
      <c r="AQ14" s="919"/>
      <c r="AR14" s="877">
        <v>202207</v>
      </c>
      <c r="AS14" s="866">
        <v>0</v>
      </c>
      <c r="AT14" s="866"/>
      <c r="AU14" s="866">
        <f>'G-1.01 DFIT'!BF7</f>
        <v>-1351174.38</v>
      </c>
      <c r="AV14" s="866">
        <f>'G-1.01 DFIT'!BQ7</f>
        <v>399975.44</v>
      </c>
      <c r="AW14" s="866">
        <f>'G-1.01 DFIT'!BZ7</f>
        <v>-4268191</v>
      </c>
      <c r="BA14" s="915">
        <f>'G-1.01 DFIT'!X17</f>
        <v>202302</v>
      </c>
      <c r="BB14" s="914">
        <f t="shared" si="10"/>
        <v>-1336046.24</v>
      </c>
      <c r="BC14" s="914">
        <v>2571.9</v>
      </c>
      <c r="BD14" s="913">
        <v>-1333474.3400000001</v>
      </c>
      <c r="BE14" s="975">
        <v>0</v>
      </c>
      <c r="BF14" s="912">
        <f t="shared" si="6"/>
        <v>-1333474.3400000001</v>
      </c>
      <c r="BJ14" s="915">
        <v>202302</v>
      </c>
      <c r="BK14" s="914">
        <f t="shared" si="11"/>
        <v>-7184.3</v>
      </c>
      <c r="BL14" s="914">
        <v>0</v>
      </c>
      <c r="BM14" s="913">
        <v>-7184.3</v>
      </c>
      <c r="BN14" s="978">
        <v>0</v>
      </c>
      <c r="BO14" s="912">
        <f t="shared" si="7"/>
        <v>-7184.3</v>
      </c>
      <c r="BP14" s="977"/>
      <c r="BQ14" s="911">
        <f t="shared" si="8"/>
        <v>-7184.3</v>
      </c>
      <c r="BU14" s="915">
        <v>202302</v>
      </c>
      <c r="BV14" s="914">
        <f t="shared" si="12"/>
        <v>-5923743</v>
      </c>
      <c r="BW14" s="914">
        <v>0</v>
      </c>
      <c r="BX14" s="913">
        <v>-5923743</v>
      </c>
      <c r="BY14" s="978">
        <v>0</v>
      </c>
      <c r="BZ14" s="912">
        <f t="shared" si="9"/>
        <v>-5923743</v>
      </c>
      <c r="CA14" s="977"/>
      <c r="CB14" s="911">
        <v>-6217464</v>
      </c>
      <c r="CC14" s="911">
        <v>-293721</v>
      </c>
      <c r="CG14" s="477" t="s">
        <v>666</v>
      </c>
      <c r="CI14" s="867"/>
      <c r="CJ14" s="866">
        <f>SUM(CJ8:CJ13)</f>
        <v>-84038184.888843849</v>
      </c>
      <c r="CK14" s="866">
        <f>SUM(CK8:CK13)</f>
        <v>-3598969.2904784335</v>
      </c>
      <c r="CL14" s="866">
        <f>SUM(CL8:CL13)</f>
        <v>-3285545.2399999998</v>
      </c>
      <c r="CM14" s="866">
        <f>SUM(CM8:CM13)</f>
        <v>-64457597.517719999</v>
      </c>
      <c r="CN14" s="866">
        <f>SUM(CN8:CN13)</f>
        <v>-12696072.840645419</v>
      </c>
      <c r="CR14" s="979"/>
      <c r="CW14" s="993">
        <v>303120</v>
      </c>
      <c r="CX14" s="229" t="s">
        <v>801</v>
      </c>
      <c r="CY14" s="988">
        <f t="shared" si="0"/>
        <v>0</v>
      </c>
      <c r="CZ14" s="988">
        <f t="shared" si="1"/>
        <v>20467720</v>
      </c>
      <c r="DA14" s="988">
        <f t="shared" si="2"/>
        <v>20467720</v>
      </c>
      <c r="DB14" s="988"/>
      <c r="DC14" s="990">
        <v>0</v>
      </c>
      <c r="DD14" s="990">
        <v>13701706</v>
      </c>
      <c r="DE14" s="988">
        <f t="shared" si="3"/>
        <v>13701706</v>
      </c>
      <c r="DF14" s="988"/>
      <c r="DG14" s="990">
        <v>0</v>
      </c>
      <c r="DH14" s="990">
        <v>6766014</v>
      </c>
      <c r="DI14" s="988">
        <f t="shared" si="4"/>
        <v>6766014</v>
      </c>
      <c r="DN14" s="478" t="s">
        <v>798</v>
      </c>
      <c r="DO14" s="989">
        <f t="shared" ref="DO14:DU14" si="20">SUM(DO8:DO13)</f>
        <v>1015035814</v>
      </c>
      <c r="DP14" s="989">
        <f t="shared" si="20"/>
        <v>197641966</v>
      </c>
      <c r="DQ14" s="989">
        <f t="shared" si="20"/>
        <v>1212677780</v>
      </c>
      <c r="DR14" s="988">
        <f t="shared" si="20"/>
        <v>0</v>
      </c>
      <c r="DS14" s="989">
        <f t="shared" si="20"/>
        <v>706446737</v>
      </c>
      <c r="DT14" s="989">
        <f t="shared" si="20"/>
        <v>140048611</v>
      </c>
      <c r="DU14" s="989">
        <f t="shared" si="20"/>
        <v>846495348</v>
      </c>
      <c r="DV14" s="988"/>
      <c r="DW14" s="989">
        <f>SUM(DW8:DW13)</f>
        <v>308589077</v>
      </c>
      <c r="DX14" s="989">
        <f>SUM(DX8:DX13)</f>
        <v>57593355</v>
      </c>
      <c r="DY14" s="989">
        <f>SUM(DY8:DY13)</f>
        <v>366182432</v>
      </c>
    </row>
    <row r="15" spans="1:129">
      <c r="A15" s="477" t="s">
        <v>783</v>
      </c>
      <c r="B15" s="477" t="s">
        <v>723</v>
      </c>
      <c r="C15" s="867">
        <v>4</v>
      </c>
      <c r="D15" s="866">
        <f>'G-1.01 DFIT'!S14</f>
        <v>-15702330.204379132</v>
      </c>
      <c r="E15" s="866">
        <f>D15*E35</f>
        <v>-11265793.828433853</v>
      </c>
      <c r="F15" s="866">
        <f>D15*F35</f>
        <v>-4436536.3759452803</v>
      </c>
      <c r="H15" s="877" t="s">
        <v>722</v>
      </c>
      <c r="I15" s="910">
        <f>'G-1.01 DFIT'!DP12</f>
        <v>83465794</v>
      </c>
      <c r="Q15" s="866"/>
      <c r="R15" s="866"/>
      <c r="S15" s="866"/>
      <c r="T15" s="866"/>
      <c r="X15" s="182">
        <f t="shared" si="17"/>
        <v>202212</v>
      </c>
      <c r="Y15" s="971">
        <v>-73382673.540000007</v>
      </c>
      <c r="Z15" s="970">
        <v>0</v>
      </c>
      <c r="AA15" s="960">
        <f t="shared" si="15"/>
        <v>-73382673.540000007</v>
      </c>
      <c r="AB15" s="960"/>
      <c r="AC15" s="971">
        <v>-829328.82</v>
      </c>
      <c r="AD15" s="971">
        <v>-537831752.48000002</v>
      </c>
      <c r="AE15" s="971">
        <v>-101133064.22</v>
      </c>
      <c r="AF15" s="971">
        <v>-60673093.909999996</v>
      </c>
      <c r="AH15" s="968">
        <f t="shared" si="16"/>
        <v>-773849912.97000003</v>
      </c>
      <c r="AI15" s="970">
        <v>0</v>
      </c>
      <c r="AJ15" s="875">
        <f t="shared" si="18"/>
        <v>3240376</v>
      </c>
      <c r="AK15" s="875"/>
      <c r="AQ15" s="972"/>
      <c r="AR15" s="877">
        <v>202208</v>
      </c>
      <c r="AS15" s="866">
        <v>0</v>
      </c>
      <c r="AT15" s="866"/>
      <c r="AU15" s="866">
        <f>'G-1.01 DFIT'!BF8</f>
        <v>-1348593.55</v>
      </c>
      <c r="AV15" s="866">
        <f>'G-1.01 DFIT'!BQ8</f>
        <v>399975.44</v>
      </c>
      <c r="AW15" s="866">
        <f>'G-1.01 DFIT'!BZ8</f>
        <v>-4268191</v>
      </c>
      <c r="BA15" s="915">
        <f>'G-1.01 DFIT'!X18</f>
        <v>202303</v>
      </c>
      <c r="BB15" s="914">
        <f t="shared" si="10"/>
        <v>-1333474.3400000001</v>
      </c>
      <c r="BC15" s="914">
        <v>2571.9</v>
      </c>
      <c r="BD15" s="913">
        <v>-1330902.44</v>
      </c>
      <c r="BE15" s="975">
        <v>0</v>
      </c>
      <c r="BF15" s="912">
        <f t="shared" si="6"/>
        <v>-1330902.44</v>
      </c>
      <c r="BJ15" s="915">
        <v>202303</v>
      </c>
      <c r="BK15" s="914">
        <f t="shared" si="11"/>
        <v>-7184.3</v>
      </c>
      <c r="BL15" s="914">
        <v>0</v>
      </c>
      <c r="BM15" s="913">
        <v>-7184.3</v>
      </c>
      <c r="BN15" s="978">
        <v>0</v>
      </c>
      <c r="BO15" s="912">
        <f t="shared" si="7"/>
        <v>-7184.3</v>
      </c>
      <c r="BP15" s="977"/>
      <c r="BQ15" s="911">
        <f t="shared" si="8"/>
        <v>-7184.3</v>
      </c>
      <c r="BU15" s="915">
        <v>202303</v>
      </c>
      <c r="BV15" s="914">
        <f t="shared" si="12"/>
        <v>-5923743</v>
      </c>
      <c r="BW15" s="914">
        <v>-293721</v>
      </c>
      <c r="BX15" s="913">
        <v>-6217464</v>
      </c>
      <c r="BY15" s="978">
        <v>0</v>
      </c>
      <c r="BZ15" s="912">
        <f t="shared" si="9"/>
        <v>-6217464</v>
      </c>
      <c r="CA15" s="977"/>
      <c r="CB15" s="911">
        <v>-6217464</v>
      </c>
      <c r="CC15" s="911">
        <v>0</v>
      </c>
      <c r="CI15" s="867"/>
      <c r="CJ15" s="866"/>
      <c r="CK15" s="866"/>
      <c r="CL15" s="866"/>
      <c r="CM15" s="866"/>
      <c r="CN15" s="866"/>
      <c r="CR15" s="979"/>
      <c r="CW15" s="993">
        <v>303121</v>
      </c>
      <c r="CX15" s="229" t="s">
        <v>800</v>
      </c>
      <c r="CY15" s="988">
        <f t="shared" si="0"/>
        <v>16115343</v>
      </c>
      <c r="CZ15" s="988">
        <f t="shared" si="1"/>
        <v>58365</v>
      </c>
      <c r="DA15" s="988">
        <f t="shared" si="2"/>
        <v>16173708</v>
      </c>
      <c r="DB15" s="988"/>
      <c r="DC15" s="990">
        <v>16115343</v>
      </c>
      <c r="DD15" s="990">
        <v>39071</v>
      </c>
      <c r="DE15" s="988">
        <f t="shared" si="3"/>
        <v>16154414</v>
      </c>
      <c r="DF15" s="988"/>
      <c r="DG15" s="990">
        <v>0</v>
      </c>
      <c r="DH15" s="990">
        <v>19294</v>
      </c>
      <c r="DI15" s="988">
        <f t="shared" si="4"/>
        <v>19294</v>
      </c>
      <c r="DO15" s="988"/>
      <c r="DP15" s="988"/>
      <c r="DQ15" s="988"/>
      <c r="DR15" s="988"/>
      <c r="DS15" s="988"/>
      <c r="DT15" s="988"/>
      <c r="DU15" s="988"/>
      <c r="DV15" s="988"/>
      <c r="DW15" s="988"/>
      <c r="DX15" s="988"/>
      <c r="DY15" s="988"/>
    </row>
    <row r="16" spans="1:129">
      <c r="A16" s="477" t="s">
        <v>783</v>
      </c>
      <c r="B16" s="477" t="s">
        <v>721</v>
      </c>
      <c r="C16" s="867">
        <v>12</v>
      </c>
      <c r="D16" s="876">
        <f>'G-1.01 DFIT'!S16</f>
        <v>0</v>
      </c>
      <c r="E16" s="876">
        <f>D16*E36</f>
        <v>0</v>
      </c>
      <c r="F16" s="876">
        <f>D16*F36</f>
        <v>0</v>
      </c>
      <c r="H16" s="877" t="s">
        <v>720</v>
      </c>
      <c r="I16" s="910">
        <f>'G-1.01 DFIT'!DQ35</f>
        <v>60997681</v>
      </c>
      <c r="N16" s="477" t="s">
        <v>669</v>
      </c>
      <c r="O16" s="477" t="s">
        <v>721</v>
      </c>
      <c r="Q16" s="918">
        <f>'G-1.01 DFIT'!AC67</f>
        <v>0</v>
      </c>
      <c r="R16" s="876">
        <f>Q16*R35</f>
        <v>0</v>
      </c>
      <c r="S16" s="876">
        <f>Q16*S35</f>
        <v>0</v>
      </c>
      <c r="T16" s="876"/>
      <c r="X16" s="182">
        <f>X15+89</f>
        <v>202301</v>
      </c>
      <c r="Y16" s="971">
        <v>-72912915.540000007</v>
      </c>
      <c r="Z16" s="970">
        <v>0</v>
      </c>
      <c r="AA16" s="960">
        <f t="shared" si="15"/>
        <v>-72912915.540000007</v>
      </c>
      <c r="AB16" s="960"/>
      <c r="AC16" s="971">
        <v>-829328.82</v>
      </c>
      <c r="AD16" s="971">
        <v>-538434055.48000002</v>
      </c>
      <c r="AE16" s="971">
        <v>-101239177.22</v>
      </c>
      <c r="AF16" s="971">
        <v>-60730109.909999996</v>
      </c>
      <c r="AH16" s="960">
        <f t="shared" si="16"/>
        <v>-774145586.97000003</v>
      </c>
      <c r="AI16" s="970">
        <v>0</v>
      </c>
      <c r="AJ16" s="875">
        <f t="shared" si="18"/>
        <v>-295674</v>
      </c>
      <c r="AK16" s="875"/>
      <c r="AQ16" s="972"/>
      <c r="AR16" s="877">
        <v>202209</v>
      </c>
      <c r="AS16" s="866">
        <v>0</v>
      </c>
      <c r="AT16" s="866"/>
      <c r="AU16" s="866">
        <f>'G-1.01 DFIT'!BF9</f>
        <v>-1346012.72</v>
      </c>
      <c r="AV16" s="866">
        <f>'G-1.01 DFIT'!BQ9</f>
        <v>468044.44</v>
      </c>
      <c r="AW16" s="866">
        <f>'G-1.01 DFIT'!BZ9</f>
        <v>-4463792</v>
      </c>
      <c r="BA16" s="915">
        <f>'G-1.01 DFIT'!X19</f>
        <v>202304</v>
      </c>
      <c r="BB16" s="914">
        <f t="shared" si="10"/>
        <v>-1330902.44</v>
      </c>
      <c r="BC16" s="914">
        <v>2571.9</v>
      </c>
      <c r="BD16" s="913">
        <v>-1328330.54</v>
      </c>
      <c r="BE16" s="975">
        <v>0</v>
      </c>
      <c r="BF16" s="912">
        <f t="shared" si="6"/>
        <v>-1328330.54</v>
      </c>
      <c r="BJ16" s="915">
        <v>202304</v>
      </c>
      <c r="BK16" s="914">
        <f t="shared" si="11"/>
        <v>-7184.3</v>
      </c>
      <c r="BL16" s="914">
        <v>0</v>
      </c>
      <c r="BM16" s="913">
        <v>-7184.3</v>
      </c>
      <c r="BN16" s="978">
        <v>0</v>
      </c>
      <c r="BO16" s="912">
        <f t="shared" si="7"/>
        <v>-7184.3</v>
      </c>
      <c r="BP16" s="977"/>
      <c r="BQ16" s="911">
        <f t="shared" si="8"/>
        <v>-7184.3</v>
      </c>
      <c r="BU16" s="915">
        <v>202304</v>
      </c>
      <c r="BV16" s="914">
        <f t="shared" si="12"/>
        <v>-6217464</v>
      </c>
      <c r="BW16" s="914">
        <v>0</v>
      </c>
      <c r="BX16" s="913">
        <v>-6217464</v>
      </c>
      <c r="BY16" s="978">
        <v>0</v>
      </c>
      <c r="BZ16" s="912">
        <f t="shared" si="9"/>
        <v>-6217464</v>
      </c>
      <c r="CA16" s="977"/>
      <c r="CB16" s="911">
        <v>-6217464</v>
      </c>
      <c r="CC16" s="911">
        <v>0</v>
      </c>
      <c r="CG16" s="477" t="s">
        <v>653</v>
      </c>
      <c r="CH16" s="182" t="s">
        <v>652</v>
      </c>
      <c r="CI16" s="867"/>
      <c r="CJ16" s="866">
        <f>'G-1.01 DFIT'!E21</f>
        <v>-197140.30667729556</v>
      </c>
      <c r="CK16" s="866">
        <f>ROUND($CJ$16*CK27,0)</f>
        <v>-1290</v>
      </c>
      <c r="CL16" s="866">
        <f>ROUND($CJ$16*CL27,0)</f>
        <v>-8035</v>
      </c>
      <c r="CM16" s="866">
        <f>ROUND($CJ$16*CM27,0)</f>
        <v>-151500</v>
      </c>
      <c r="CN16" s="866">
        <f>ROUND($CJ$16*CN27,0)</f>
        <v>-36316</v>
      </c>
      <c r="CO16" s="866">
        <f>CJ16-CK16-CL16-CM16-CN16</f>
        <v>0.69332270443555899</v>
      </c>
      <c r="CR16" s="979"/>
      <c r="CW16" s="993" t="s">
        <v>795</v>
      </c>
      <c r="CX16" s="229" t="s">
        <v>799</v>
      </c>
      <c r="CY16" s="988">
        <f t="shared" si="0"/>
        <v>0</v>
      </c>
      <c r="CZ16" s="988">
        <f t="shared" si="1"/>
        <v>9537844</v>
      </c>
      <c r="DA16" s="988">
        <f t="shared" si="2"/>
        <v>9537844</v>
      </c>
      <c r="DB16" s="988"/>
      <c r="DC16" s="990">
        <v>0</v>
      </c>
      <c r="DD16" s="990">
        <v>6384919</v>
      </c>
      <c r="DE16" s="988">
        <f t="shared" si="3"/>
        <v>6384919</v>
      </c>
      <c r="DF16" s="988"/>
      <c r="DG16" s="990">
        <v>0</v>
      </c>
      <c r="DH16" s="990">
        <v>3152925</v>
      </c>
      <c r="DI16" s="988">
        <f t="shared" si="4"/>
        <v>3152925</v>
      </c>
      <c r="DO16" s="988"/>
      <c r="DP16" s="988"/>
      <c r="DQ16" s="988"/>
      <c r="DR16" s="988"/>
      <c r="DS16" s="988"/>
      <c r="DT16" s="988"/>
      <c r="DU16" s="988"/>
      <c r="DV16" s="988"/>
      <c r="DW16" s="988"/>
      <c r="DX16" s="988"/>
      <c r="DY16" s="988"/>
    </row>
    <row r="17" spans="1:129" ht="13.5" thickBot="1">
      <c r="A17" s="477" t="s">
        <v>782</v>
      </c>
      <c r="C17" s="867"/>
      <c r="D17" s="866">
        <f>SUM(D10:D16)</f>
        <v>-117511652.20437913</v>
      </c>
      <c r="E17" s="866">
        <f>SUM(E10:E16)</f>
        <v>-84038184.888843849</v>
      </c>
      <c r="F17" s="866">
        <f>SUM(F10:F16)</f>
        <v>-33473467.315535281</v>
      </c>
      <c r="H17" s="877"/>
      <c r="I17" s="905"/>
      <c r="N17" s="477" t="s">
        <v>666</v>
      </c>
      <c r="Q17" s="895">
        <f>SUM(Q8:Q16)</f>
        <v>-771192566.60536945</v>
      </c>
      <c r="R17" s="866">
        <f>SUM(R8:R16)</f>
        <v>-587240937.27708113</v>
      </c>
      <c r="S17" s="866">
        <f>SUM(S9:S16)</f>
        <v>-117511651.8437556</v>
      </c>
      <c r="T17" s="866">
        <f>SUM(T9:T16)</f>
        <v>-66439977.484532714</v>
      </c>
      <c r="U17" s="199"/>
      <c r="X17" s="182">
        <f>X16+1</f>
        <v>202302</v>
      </c>
      <c r="Y17" s="971">
        <v>-72443157.540000007</v>
      </c>
      <c r="Z17" s="970">
        <v>0</v>
      </c>
      <c r="AA17" s="960">
        <f t="shared" si="15"/>
        <v>-72443157.540000007</v>
      </c>
      <c r="AB17" s="960"/>
      <c r="AC17" s="971">
        <v>-829328.82</v>
      </c>
      <c r="AD17" s="971">
        <v>-539036358.48000002</v>
      </c>
      <c r="AE17" s="971">
        <v>-101345290.22</v>
      </c>
      <c r="AF17" s="971">
        <v>-60787125.909999996</v>
      </c>
      <c r="AH17" s="960">
        <f t="shared" si="16"/>
        <v>-774441260.97000003</v>
      </c>
      <c r="AI17" s="970">
        <v>0</v>
      </c>
      <c r="AJ17" s="875">
        <f t="shared" si="18"/>
        <v>-295674</v>
      </c>
      <c r="AK17" s="875"/>
      <c r="AQ17" s="972"/>
      <c r="AR17" s="877">
        <v>202210</v>
      </c>
      <c r="AS17" s="866">
        <v>0</v>
      </c>
      <c r="AT17" s="866"/>
      <c r="AU17" s="866">
        <f>'G-1.01 DFIT'!BF10</f>
        <v>-1343431.89</v>
      </c>
      <c r="AV17" s="866">
        <f>'G-1.01 DFIT'!BQ10</f>
        <v>468044.44</v>
      </c>
      <c r="AW17" s="866">
        <f>'G-1.01 DFIT'!BZ10</f>
        <v>-4463792</v>
      </c>
      <c r="BA17" s="915">
        <f>'G-1.01 DFIT'!X20</f>
        <v>202305</v>
      </c>
      <c r="BB17" s="914">
        <f t="shared" si="10"/>
        <v>-1328330.54</v>
      </c>
      <c r="BC17" s="914">
        <v>2571.9</v>
      </c>
      <c r="BD17" s="913">
        <v>-1325758.6399999999</v>
      </c>
      <c r="BE17" s="975">
        <v>0</v>
      </c>
      <c r="BF17" s="912">
        <f t="shared" si="6"/>
        <v>-1325758.6399999999</v>
      </c>
      <c r="BJ17" s="915">
        <v>202305</v>
      </c>
      <c r="BK17" s="914">
        <f t="shared" si="11"/>
        <v>-7184.3</v>
      </c>
      <c r="BL17" s="914">
        <v>0</v>
      </c>
      <c r="BM17" s="913">
        <v>-7184.3</v>
      </c>
      <c r="BN17" s="978">
        <v>0</v>
      </c>
      <c r="BO17" s="912">
        <f t="shared" si="7"/>
        <v>-7184.3</v>
      </c>
      <c r="BP17" s="977"/>
      <c r="BQ17" s="911">
        <f t="shared" si="8"/>
        <v>-7184.3</v>
      </c>
      <c r="BU17" s="915">
        <v>202305</v>
      </c>
      <c r="BV17" s="914">
        <f t="shared" si="12"/>
        <v>-6217464</v>
      </c>
      <c r="BW17" s="914">
        <v>0</v>
      </c>
      <c r="BX17" s="913">
        <v>-6217464</v>
      </c>
      <c r="BY17" s="978">
        <v>0</v>
      </c>
      <c r="BZ17" s="912">
        <f t="shared" si="9"/>
        <v>-6217464</v>
      </c>
      <c r="CA17" s="977"/>
      <c r="CB17" s="911">
        <v>-6511185</v>
      </c>
      <c r="CC17" s="911">
        <v>-293721</v>
      </c>
      <c r="CG17" s="477" t="str">
        <f>'G-1.01 DFIT'!A19</f>
        <v>ADFIT-Plant - AFUDC Equity</v>
      </c>
      <c r="CH17" s="182"/>
      <c r="CI17" s="867" t="s">
        <v>657</v>
      </c>
      <c r="CJ17" s="866">
        <f>'G-1.01 DFIT'!E19</f>
        <v>0</v>
      </c>
      <c r="CK17" s="866">
        <f>IF($CI17="I",$CJ17,0)</f>
        <v>0</v>
      </c>
      <c r="CL17" s="866">
        <f>IF($CI17="U",$CJ17,0)</f>
        <v>0</v>
      </c>
      <c r="CM17" s="866">
        <f>IF($CI17="D",$CJ17,0)</f>
        <v>0</v>
      </c>
      <c r="CN17" s="866">
        <f>IF($CI17="O",$CJ17,0)</f>
        <v>0</v>
      </c>
      <c r="CO17" s="866"/>
      <c r="CX17" s="229" t="s">
        <v>307</v>
      </c>
      <c r="CY17" s="992">
        <f>SUM(CY4:CY16)</f>
        <v>23286571</v>
      </c>
      <c r="CZ17" s="992">
        <f>SUM(CZ4:CZ16)</f>
        <v>334103998</v>
      </c>
      <c r="DA17" s="992">
        <f>SUM(DA4:DA16)</f>
        <v>357390569</v>
      </c>
      <c r="DB17" s="988"/>
      <c r="DC17" s="992">
        <f>SUM(DC4:DC16)</f>
        <v>23286571</v>
      </c>
      <c r="DD17" s="992">
        <f>SUM(DD4:DD16)</f>
        <v>221275526</v>
      </c>
      <c r="DE17" s="992">
        <f>SUM(DE4:DE16)</f>
        <v>244562097</v>
      </c>
      <c r="DF17" s="988"/>
      <c r="DG17" s="992">
        <f>SUM(DG4:DG16)</f>
        <v>0</v>
      </c>
      <c r="DH17" s="992">
        <f>SUM(DH4:DH16)</f>
        <v>112828472</v>
      </c>
      <c r="DI17" s="992">
        <f>SUM(DI4:DI16)</f>
        <v>112828472</v>
      </c>
      <c r="DO17" s="988"/>
      <c r="DP17" s="988"/>
      <c r="DQ17" s="988"/>
      <c r="DR17" s="988"/>
      <c r="DS17" s="988"/>
      <c r="DT17" s="988"/>
      <c r="DU17" s="988"/>
      <c r="DV17" s="988"/>
      <c r="DW17" s="988"/>
      <c r="DX17" s="988"/>
      <c r="DY17" s="988"/>
    </row>
    <row r="18" spans="1:129" ht="13.5" thickTop="1">
      <c r="C18" s="867"/>
      <c r="D18" s="866"/>
      <c r="E18" s="866"/>
      <c r="F18" s="866"/>
      <c r="H18" s="877"/>
      <c r="I18" s="948"/>
      <c r="Q18" s="917" t="s">
        <v>662</v>
      </c>
      <c r="R18" s="866"/>
      <c r="S18" s="866"/>
      <c r="T18" s="866"/>
      <c r="U18" s="199"/>
      <c r="X18" s="182">
        <f>X17+1</f>
        <v>202303</v>
      </c>
      <c r="Y18" s="971">
        <v>-71973399.540000007</v>
      </c>
      <c r="Z18" s="970">
        <v>0</v>
      </c>
      <c r="AA18" s="965">
        <f t="shared" si="15"/>
        <v>-71973399.540000007</v>
      </c>
      <c r="AB18" s="965"/>
      <c r="AC18" s="971">
        <v>-829328.82</v>
      </c>
      <c r="AD18" s="971">
        <v>-539638661.48000002</v>
      </c>
      <c r="AE18" s="971">
        <v>-101451403.22</v>
      </c>
      <c r="AF18" s="971">
        <v>-60844141.909999996</v>
      </c>
      <c r="AH18" s="965">
        <f t="shared" si="16"/>
        <v>-774736934.97000003</v>
      </c>
      <c r="AI18" s="970">
        <v>0</v>
      </c>
      <c r="AJ18" s="875">
        <f t="shared" si="18"/>
        <v>-295674</v>
      </c>
      <c r="AK18" s="875"/>
      <c r="AQ18" s="972"/>
      <c r="AR18" s="877">
        <v>202211</v>
      </c>
      <c r="AS18" s="866">
        <v>0</v>
      </c>
      <c r="AT18" s="866"/>
      <c r="AU18" s="866">
        <f>'G-1.01 DFIT'!BF11</f>
        <v>-1340851.06</v>
      </c>
      <c r="AV18" s="866">
        <f>'G-1.01 DFIT'!BQ11</f>
        <v>468044.44</v>
      </c>
      <c r="AW18" s="866">
        <f>'G-1.01 DFIT'!BZ11</f>
        <v>-4463792</v>
      </c>
      <c r="BA18" s="915">
        <f>'G-1.01 DFIT'!X21</f>
        <v>202306</v>
      </c>
      <c r="BB18" s="914">
        <f t="shared" si="10"/>
        <v>-1325758.6399999999</v>
      </c>
      <c r="BC18" s="914">
        <v>1907.82</v>
      </c>
      <c r="BD18" s="913">
        <v>-1323850.82</v>
      </c>
      <c r="BE18" s="975">
        <v>0</v>
      </c>
      <c r="BF18" s="912">
        <f t="shared" si="6"/>
        <v>-1323850.82</v>
      </c>
      <c r="BJ18" s="915">
        <v>202306</v>
      </c>
      <c r="BK18" s="914">
        <f t="shared" si="11"/>
        <v>-7184.3</v>
      </c>
      <c r="BL18" s="914">
        <v>0</v>
      </c>
      <c r="BM18" s="913">
        <v>-7184.3</v>
      </c>
      <c r="BN18" s="978">
        <v>0</v>
      </c>
      <c r="BO18" s="912">
        <f t="shared" si="7"/>
        <v>-7184.3</v>
      </c>
      <c r="BP18" s="977"/>
      <c r="BQ18" s="911">
        <f t="shared" si="8"/>
        <v>-7184.3</v>
      </c>
      <c r="BU18" s="915">
        <v>202306</v>
      </c>
      <c r="BV18" s="914">
        <f t="shared" si="12"/>
        <v>-6217464</v>
      </c>
      <c r="BW18" s="914">
        <v>-293721</v>
      </c>
      <c r="BX18" s="913">
        <v>-6511185</v>
      </c>
      <c r="BY18" s="978">
        <v>0</v>
      </c>
      <c r="BZ18" s="912">
        <f t="shared" si="9"/>
        <v>-6511185</v>
      </c>
      <c r="CA18" s="977"/>
      <c r="CB18" s="911"/>
      <c r="CG18" s="477" t="s">
        <v>656</v>
      </c>
      <c r="CI18" s="867" t="s">
        <v>655</v>
      </c>
      <c r="CJ18" s="866">
        <f>'G-1.01 DFIT'!E20</f>
        <v>29186.571843761238</v>
      </c>
      <c r="CK18" s="866">
        <f>IF($CI18="I",$CJ18,0)</f>
        <v>29186.571843761238</v>
      </c>
      <c r="CL18" s="866">
        <f>IF($CI18="U",$CJ18,0)</f>
        <v>0</v>
      </c>
      <c r="CM18" s="866">
        <f>IF($CI18="D",$CJ18,0)</f>
        <v>0</v>
      </c>
      <c r="CN18" s="866">
        <f>IF($CI18="O",$CJ18,0)</f>
        <v>0</v>
      </c>
      <c r="CQ18" s="873" t="s">
        <v>62</v>
      </c>
      <c r="CR18" s="873" t="s">
        <v>45</v>
      </c>
      <c r="CY18" s="988"/>
      <c r="CZ18" s="988"/>
      <c r="DA18" s="988"/>
      <c r="DB18" s="988"/>
      <c r="DC18" s="988"/>
      <c r="DD18" s="988"/>
      <c r="DE18" s="988"/>
      <c r="DF18" s="988"/>
      <c r="DG18" s="988"/>
      <c r="DH18" s="988"/>
      <c r="DI18" s="988"/>
      <c r="DM18" s="478" t="s">
        <v>812</v>
      </c>
      <c r="DO18" s="988"/>
      <c r="DP18" s="988"/>
      <c r="DQ18" s="988"/>
      <c r="DR18" s="988"/>
      <c r="DS18" s="988"/>
      <c r="DT18" s="988"/>
      <c r="DU18" s="988"/>
      <c r="DV18" s="988"/>
      <c r="DW18" s="988"/>
      <c r="DX18" s="988"/>
      <c r="DY18" s="988"/>
    </row>
    <row r="19" spans="1:129">
      <c r="A19" s="3673" t="str">
        <f>'G-1.01 DFIT'!N27</f>
        <v>ADFIT-Plant - AFUDC Equity</v>
      </c>
      <c r="B19" s="3673"/>
      <c r="C19" s="3675">
        <v>4</v>
      </c>
      <c r="D19" s="3676">
        <f>'G-1.01 DFIT'!S27</f>
        <v>0</v>
      </c>
      <c r="E19" s="3676">
        <f>D19*E35</f>
        <v>0</v>
      </c>
      <c r="F19" s="3676">
        <f>D19*F35</f>
        <v>0</v>
      </c>
      <c r="G19" s="3673"/>
      <c r="H19" s="3673" t="s">
        <v>3399</v>
      </c>
      <c r="I19" s="3674"/>
      <c r="J19" s="3673"/>
      <c r="N19" s="881" t="s">
        <v>719</v>
      </c>
      <c r="Q19" s="866"/>
      <c r="R19" s="866"/>
      <c r="S19" s="866"/>
      <c r="T19" s="866"/>
      <c r="X19" s="182">
        <f>X18+1</f>
        <v>202304</v>
      </c>
      <c r="Y19" s="971">
        <v>-71503641.540000007</v>
      </c>
      <c r="Z19" s="970">
        <v>0</v>
      </c>
      <c r="AA19" s="965">
        <f t="shared" si="15"/>
        <v>-71503641.540000007</v>
      </c>
      <c r="AB19" s="965"/>
      <c r="AC19" s="971">
        <v>-829328.82</v>
      </c>
      <c r="AD19" s="971">
        <v>-540240964.48000002</v>
      </c>
      <c r="AE19" s="971">
        <v>-101557516.22</v>
      </c>
      <c r="AF19" s="971">
        <v>-60901157.909999996</v>
      </c>
      <c r="AH19" s="965">
        <f t="shared" si="16"/>
        <v>-775032608.97000003</v>
      </c>
      <c r="AI19" s="970">
        <v>0</v>
      </c>
      <c r="AJ19" s="875">
        <f t="shared" si="18"/>
        <v>-295674</v>
      </c>
      <c r="AK19" s="875"/>
      <c r="AQ19" s="972"/>
      <c r="AR19" s="877">
        <v>202212</v>
      </c>
      <c r="AS19" s="866">
        <v>0</v>
      </c>
      <c r="AT19" s="866"/>
      <c r="AU19" s="866">
        <f>'G-1.01 DFIT'!BF12</f>
        <v>-1338270.23</v>
      </c>
      <c r="AV19" s="866">
        <f>'G-1.01 DFIT'!BQ12</f>
        <v>-7184.3</v>
      </c>
      <c r="AW19" s="866">
        <f>'G-1.01 DFIT'!BZ12</f>
        <v>-5923743</v>
      </c>
      <c r="BA19" s="909"/>
      <c r="BB19" s="908"/>
      <c r="BC19" s="907">
        <f>SUM(BC7:BC18)</f>
        <v>29904.390000000007</v>
      </c>
      <c r="BD19" s="907"/>
      <c r="BE19" s="907"/>
      <c r="BF19" s="906"/>
      <c r="BJ19" s="909"/>
      <c r="BK19" s="908"/>
      <c r="BL19" s="907">
        <f>SUM(BL7:BL18)</f>
        <v>-407159.74</v>
      </c>
      <c r="BM19" s="907"/>
      <c r="BN19" s="907"/>
      <c r="BO19" s="906"/>
      <c r="BU19" s="909"/>
      <c r="BV19" s="908"/>
      <c r="BW19" s="907">
        <f>SUM(BW7:BW18)</f>
        <v>-2242994</v>
      </c>
      <c r="BX19" s="907"/>
      <c r="BY19" s="907"/>
      <c r="BZ19" s="906"/>
      <c r="CG19" s="477" t="s">
        <v>651</v>
      </c>
      <c r="CJ19" s="872">
        <f>SUM(CJ16:CJ18)</f>
        <v>-167953.73483353434</v>
      </c>
      <c r="CK19" s="872">
        <f>SUM(CK16:CK18)</f>
        <v>27896.571843761238</v>
      </c>
      <c r="CL19" s="872">
        <f>SUM(CL16:CL18)</f>
        <v>-8035</v>
      </c>
      <c r="CM19" s="872">
        <f>SUM(CM16:CM18)</f>
        <v>-151500</v>
      </c>
      <c r="CN19" s="872">
        <f>SUM(CN16:CN18)</f>
        <v>-36316</v>
      </c>
      <c r="CQ19" s="874" t="s">
        <v>658</v>
      </c>
      <c r="CR19" s="979">
        <f>'G-1.01 DFIT'!DU11</f>
        <v>650522559</v>
      </c>
      <c r="CX19" s="478" t="s">
        <v>671</v>
      </c>
      <c r="CY19" s="988">
        <f t="shared" ref="CY19:CZ22" si="21">SUM(DC19,DG19)</f>
        <v>329680076</v>
      </c>
      <c r="CZ19" s="988">
        <f t="shared" si="21"/>
        <v>1236589882</v>
      </c>
      <c r="DA19" s="988">
        <f>SUM(CY19:CZ19)</f>
        <v>1566269958</v>
      </c>
      <c r="DB19" s="988"/>
      <c r="DC19" s="990">
        <v>213393431</v>
      </c>
      <c r="DD19" s="990">
        <v>796363884</v>
      </c>
      <c r="DE19" s="988">
        <f>SUM(DC19:DD19)</f>
        <v>1009757315</v>
      </c>
      <c r="DF19" s="988"/>
      <c r="DG19" s="990">
        <v>116286645</v>
      </c>
      <c r="DH19" s="990">
        <v>440225998</v>
      </c>
      <c r="DI19" s="988">
        <f>SUM(DG19:DH19)</f>
        <v>556512643</v>
      </c>
      <c r="DM19" s="478">
        <v>303000</v>
      </c>
      <c r="DN19" s="478" t="s">
        <v>723</v>
      </c>
      <c r="DO19" s="988">
        <f t="shared" ref="DO19:DO34" si="22">SUM(DS19,DW19)</f>
        <v>0</v>
      </c>
      <c r="DP19" s="991">
        <v>1288554</v>
      </c>
      <c r="DQ19" s="988">
        <f t="shared" ref="DQ19:DQ34" si="23">SUM(DO19:DP19)</f>
        <v>1288554</v>
      </c>
      <c r="DR19" s="988"/>
      <c r="DS19" s="991">
        <v>0</v>
      </c>
      <c r="DT19" s="988">
        <f t="shared" ref="DT19:DT34" si="24">DP19*$DT$39</f>
        <v>924485.95283999993</v>
      </c>
      <c r="DU19" s="988">
        <f>SUM(DS19:DT19)</f>
        <v>924485.95283999993</v>
      </c>
      <c r="DV19" s="988"/>
      <c r="DW19" s="991">
        <v>0</v>
      </c>
      <c r="DX19" s="988">
        <f t="shared" ref="DX19:DX34" si="25">DP19-DT19</f>
        <v>364068.04716000007</v>
      </c>
      <c r="DY19" s="988">
        <f t="shared" ref="DY19:DY34" si="26">SUM(DW19:DX19)</f>
        <v>364068.04716000007</v>
      </c>
    </row>
    <row r="20" spans="1:129">
      <c r="A20" s="183" t="s">
        <v>695</v>
      </c>
      <c r="C20" s="867">
        <v>4</v>
      </c>
      <c r="D20" s="866">
        <f>'G-1.01 DFIT'!S25</f>
        <v>40680.416808966685</v>
      </c>
      <c r="E20" s="866">
        <f>D20*E35</f>
        <v>29186.571843761238</v>
      </c>
      <c r="F20" s="866">
        <f>D20*F35</f>
        <v>11493.844965205448</v>
      </c>
      <c r="H20" s="877"/>
      <c r="I20" s="948"/>
      <c r="N20" s="477" t="s">
        <v>665</v>
      </c>
      <c r="O20" s="477" t="s">
        <v>718</v>
      </c>
      <c r="P20" s="893" t="s">
        <v>698</v>
      </c>
      <c r="Q20" s="889">
        <v>0</v>
      </c>
      <c r="R20" s="866">
        <f>Q20</f>
        <v>0</v>
      </c>
      <c r="S20" s="866"/>
      <c r="T20" s="866"/>
      <c r="X20" s="182">
        <f>X19+1</f>
        <v>202305</v>
      </c>
      <c r="Y20" s="971">
        <v>-71033883.540000007</v>
      </c>
      <c r="Z20" s="970">
        <v>0</v>
      </c>
      <c r="AA20" s="960">
        <f t="shared" si="15"/>
        <v>-71033883.540000007</v>
      </c>
      <c r="AB20" s="960"/>
      <c r="AC20" s="971">
        <v>-829328.82</v>
      </c>
      <c r="AD20" s="971">
        <v>-540843267.48000002</v>
      </c>
      <c r="AE20" s="971">
        <v>-101663629.22</v>
      </c>
      <c r="AF20" s="971">
        <v>-60958173.909999996</v>
      </c>
      <c r="AH20" s="960">
        <f t="shared" si="16"/>
        <v>-775328282.97000003</v>
      </c>
      <c r="AI20" s="970">
        <v>0</v>
      </c>
      <c r="AJ20" s="875">
        <f t="shared" si="18"/>
        <v>-295674</v>
      </c>
      <c r="AK20" s="875"/>
      <c r="AQ20" s="972"/>
      <c r="AR20" s="877">
        <v>202301</v>
      </c>
      <c r="AS20" s="866">
        <v>0</v>
      </c>
      <c r="AT20" s="866"/>
      <c r="AU20" s="866">
        <f>'G-1.01 DFIT'!BF13</f>
        <v>-1336046.24</v>
      </c>
      <c r="AV20" s="866">
        <f>'G-1.01 DFIT'!BQ13</f>
        <v>-7184.3</v>
      </c>
      <c r="AW20" s="866">
        <f>'G-1.01 DFIT'!BZ13</f>
        <v>-5923743</v>
      </c>
      <c r="CJ20" s="866"/>
      <c r="CX20" s="478" t="s">
        <v>664</v>
      </c>
      <c r="CY20" s="988">
        <f t="shared" si="21"/>
        <v>42086112</v>
      </c>
      <c r="CZ20" s="988">
        <f t="shared" si="21"/>
        <v>950932946</v>
      </c>
      <c r="DA20" s="988">
        <f>SUM(CY20:CZ20)</f>
        <v>993019058</v>
      </c>
      <c r="DB20" s="988"/>
      <c r="DC20" s="990">
        <v>27505626</v>
      </c>
      <c r="DD20" s="990">
        <v>612400817</v>
      </c>
      <c r="DE20" s="988">
        <f>SUM(DC20:DD20)</f>
        <v>639906443</v>
      </c>
      <c r="DF20" s="988"/>
      <c r="DG20" s="990">
        <v>14580486</v>
      </c>
      <c r="DH20" s="990">
        <v>338532129</v>
      </c>
      <c r="DI20" s="988">
        <f>SUM(DG20:DH20)</f>
        <v>353112615</v>
      </c>
      <c r="DN20" s="478" t="s">
        <v>721</v>
      </c>
      <c r="DO20" s="988">
        <f t="shared" si="22"/>
        <v>0</v>
      </c>
      <c r="DP20" s="991">
        <v>44356</v>
      </c>
      <c r="DQ20" s="988">
        <f t="shared" si="23"/>
        <v>44356</v>
      </c>
      <c r="DR20" s="988"/>
      <c r="DS20" s="991">
        <v>0</v>
      </c>
      <c r="DT20" s="988">
        <f t="shared" si="24"/>
        <v>31823.655759999998</v>
      </c>
      <c r="DU20" s="988">
        <f>SUM(DS20:DT20)</f>
        <v>31823.655759999998</v>
      </c>
      <c r="DV20" s="988"/>
      <c r="DW20" s="991">
        <v>0</v>
      </c>
      <c r="DX20" s="988">
        <f t="shared" si="25"/>
        <v>12532.344240000002</v>
      </c>
      <c r="DY20" s="988">
        <f t="shared" si="26"/>
        <v>12532.344240000002</v>
      </c>
    </row>
    <row r="21" spans="1:129" ht="13.5" thickBot="1">
      <c r="A21" s="477" t="str">
        <f>'G-1.01 DFIT'!N26</f>
        <v>FMB &amp; MTN Redeemed</v>
      </c>
      <c r="C21" s="867">
        <v>12</v>
      </c>
      <c r="D21" s="876">
        <f>'G-1.01 DFIT'!S26</f>
        <v>-277170.52368655003</v>
      </c>
      <c r="E21" s="876">
        <f>D21*E36</f>
        <v>-197140.30667729556</v>
      </c>
      <c r="F21" s="876">
        <f>D21*F36</f>
        <v>-80030.217009254455</v>
      </c>
      <c r="H21" s="877"/>
      <c r="I21" s="905"/>
      <c r="N21" s="477" t="s">
        <v>717</v>
      </c>
      <c r="O21" s="477" t="s">
        <v>716</v>
      </c>
      <c r="P21" s="893" t="s">
        <v>697</v>
      </c>
      <c r="Q21" s="889">
        <v>0</v>
      </c>
      <c r="R21" s="866">
        <f>Q21</f>
        <v>0</v>
      </c>
      <c r="S21" s="866"/>
      <c r="T21" s="866"/>
      <c r="X21" s="182">
        <f>X20+1</f>
        <v>202306</v>
      </c>
      <c r="Y21" s="971">
        <v>-70564125.540000007</v>
      </c>
      <c r="Z21" s="970">
        <v>0</v>
      </c>
      <c r="AA21" s="965">
        <f t="shared" si="15"/>
        <v>-70564125.540000007</v>
      </c>
      <c r="AB21" s="960"/>
      <c r="AC21" s="971">
        <v>-829328.82</v>
      </c>
      <c r="AD21" s="971">
        <v>-541445570.48000002</v>
      </c>
      <c r="AE21" s="971">
        <v>-101769742.22</v>
      </c>
      <c r="AF21" s="971">
        <v>-61015189.909999996</v>
      </c>
      <c r="AH21" s="965">
        <f t="shared" si="16"/>
        <v>-775623956.97000003</v>
      </c>
      <c r="AI21" s="970">
        <v>0</v>
      </c>
      <c r="AJ21" s="875">
        <f t="shared" si="18"/>
        <v>-295674</v>
      </c>
      <c r="AK21" s="875"/>
      <c r="AQ21" s="972"/>
      <c r="AR21" s="877">
        <v>202302</v>
      </c>
      <c r="AS21" s="866">
        <v>0</v>
      </c>
      <c r="AT21" s="866"/>
      <c r="AU21" s="866">
        <f>'G-1.01 DFIT'!BF14</f>
        <v>-1333474.3400000001</v>
      </c>
      <c r="AV21" s="866">
        <f>'G-1.01 DFIT'!BQ14</f>
        <v>-7184.3</v>
      </c>
      <c r="AW21" s="866">
        <f>'G-1.01 DFIT'!BZ14</f>
        <v>-5923743</v>
      </c>
      <c r="CG21" s="477" t="s">
        <v>649</v>
      </c>
      <c r="CI21" s="899" t="s">
        <v>781</v>
      </c>
      <c r="CJ21" s="869">
        <f>SUM(CJ14,CJ19)</f>
        <v>-84206138.623677388</v>
      </c>
      <c r="CK21" s="869">
        <f>SUM(CK14,CK19)</f>
        <v>-3571072.7186346725</v>
      </c>
      <c r="CL21" s="869">
        <f>SUM(CL14,CL19)</f>
        <v>-3293580.2399999998</v>
      </c>
      <c r="CM21" s="869">
        <f>SUM(CM14,CM19)</f>
        <v>-64609097.517719999</v>
      </c>
      <c r="CN21" s="869">
        <f>SUM(CN14,CN19)</f>
        <v>-12732388.840645419</v>
      </c>
      <c r="CO21" s="984">
        <f>CJ21-CK21-CL21-CM21-CN21</f>
        <v>0.69332270510494709</v>
      </c>
      <c r="CQ21" s="873" t="s">
        <v>62</v>
      </c>
      <c r="CR21" s="873" t="s">
        <v>654</v>
      </c>
      <c r="CX21" s="478" t="s">
        <v>45</v>
      </c>
      <c r="CY21" s="988">
        <f t="shared" si="21"/>
        <v>2233863022</v>
      </c>
      <c r="CZ21" s="988">
        <f t="shared" si="21"/>
        <v>3189321</v>
      </c>
      <c r="DA21" s="988">
        <f>SUM(CY21:CZ21)</f>
        <v>2237052343</v>
      </c>
      <c r="DB21" s="988"/>
      <c r="DC21" s="990">
        <v>1484338725</v>
      </c>
      <c r="DD21" s="990">
        <v>2044929</v>
      </c>
      <c r="DE21" s="988">
        <f>SUM(DC21:DD21)</f>
        <v>1486383654</v>
      </c>
      <c r="DF21" s="988"/>
      <c r="DG21" s="990">
        <v>749524297</v>
      </c>
      <c r="DH21" s="990">
        <v>1144392</v>
      </c>
      <c r="DI21" s="988">
        <f>SUM(DG21:DH21)</f>
        <v>750668689</v>
      </c>
      <c r="DM21" s="478">
        <v>303100</v>
      </c>
      <c r="DN21" s="478" t="s">
        <v>723</v>
      </c>
      <c r="DO21" s="988">
        <f t="shared" si="22"/>
        <v>0</v>
      </c>
      <c r="DP21" s="991">
        <v>26245700</v>
      </c>
      <c r="DQ21" s="988">
        <f t="shared" si="23"/>
        <v>26245700</v>
      </c>
      <c r="DR21" s="988"/>
      <c r="DS21" s="991">
        <v>0</v>
      </c>
      <c r="DT21" s="988">
        <f t="shared" si="24"/>
        <v>18830239.921999998</v>
      </c>
      <c r="DU21" s="988">
        <f>SUM(DS21:DT21)</f>
        <v>18830239.921999998</v>
      </c>
      <c r="DV21" s="988"/>
      <c r="DW21" s="991">
        <v>0</v>
      </c>
      <c r="DX21" s="988">
        <f t="shared" si="25"/>
        <v>7415460.0780000016</v>
      </c>
      <c r="DY21" s="988">
        <f t="shared" si="26"/>
        <v>7415460.0780000016</v>
      </c>
    </row>
    <row r="22" spans="1:129" ht="13.5" thickTop="1">
      <c r="A22" s="477" t="str">
        <f>'G-1.01 DFIT'!N28</f>
        <v xml:space="preserve">   Total Other Deferred FIT</v>
      </c>
      <c r="C22" s="867"/>
      <c r="D22" s="876">
        <f>SUM(D19:D21)</f>
        <v>-236490.10687758334</v>
      </c>
      <c r="E22" s="876">
        <f>SUM(E19:E21)</f>
        <v>-167953.73483353434</v>
      </c>
      <c r="F22" s="876">
        <f>SUM(F19:F21)</f>
        <v>-68536.372044049</v>
      </c>
      <c r="H22" s="877"/>
      <c r="I22" s="905"/>
      <c r="N22" s="477" t="s">
        <v>715</v>
      </c>
      <c r="O22" s="477" t="s">
        <v>714</v>
      </c>
      <c r="P22" s="893" t="s">
        <v>670</v>
      </c>
      <c r="Q22" s="889">
        <v>-5763133.1499999994</v>
      </c>
      <c r="R22" s="866">
        <f>Q22</f>
        <v>-5763133.1499999994</v>
      </c>
      <c r="S22" s="866"/>
      <c r="T22" s="866"/>
      <c r="Y22" s="967"/>
      <c r="Z22" s="967"/>
      <c r="AA22" s="967"/>
      <c r="AB22" s="960"/>
      <c r="AC22" s="967"/>
      <c r="AD22" s="967"/>
      <c r="AE22" s="967"/>
      <c r="AF22" s="967"/>
      <c r="AH22" s="967"/>
      <c r="AI22" s="960"/>
      <c r="AQ22" s="972"/>
      <c r="AR22" s="877">
        <v>202303</v>
      </c>
      <c r="AS22" s="866">
        <v>0</v>
      </c>
      <c r="AT22" s="866"/>
      <c r="AU22" s="866">
        <f>'G-1.01 DFIT'!BF15</f>
        <v>-1330902.44</v>
      </c>
      <c r="AV22" s="866">
        <f>'G-1.01 DFIT'!BQ15</f>
        <v>-7184.3</v>
      </c>
      <c r="AW22" s="866">
        <f>'G-1.01 DFIT'!BZ15</f>
        <v>-6217464</v>
      </c>
      <c r="CQ22" s="477" t="s">
        <v>344</v>
      </c>
      <c r="CR22" s="979">
        <f>'G-1.01 DFIT'!DU12</f>
        <v>112171436</v>
      </c>
      <c r="CT22" s="870">
        <f>CR22/CR24</f>
        <v>0.71934816878341767</v>
      </c>
      <c r="CX22" s="478" t="s">
        <v>61</v>
      </c>
      <c r="CY22" s="988">
        <f t="shared" si="21"/>
        <v>132415852</v>
      </c>
      <c r="CZ22" s="988">
        <f t="shared" si="21"/>
        <v>329612307</v>
      </c>
      <c r="DA22" s="988">
        <f>SUM(CY22:CZ22)</f>
        <v>462028159</v>
      </c>
      <c r="DB22" s="988"/>
      <c r="DC22" s="990">
        <v>90186961</v>
      </c>
      <c r="DD22" s="990">
        <v>220652368</v>
      </c>
      <c r="DE22" s="988">
        <f>SUM(DC22:DD22)</f>
        <v>310839329</v>
      </c>
      <c r="DF22" s="988"/>
      <c r="DG22" s="990">
        <v>42228891</v>
      </c>
      <c r="DH22" s="990">
        <v>108959939</v>
      </c>
      <c r="DI22" s="988">
        <f>SUM(DG22:DH22)</f>
        <v>151188830</v>
      </c>
      <c r="DN22" s="478" t="s">
        <v>721</v>
      </c>
      <c r="DO22" s="988">
        <f t="shared" si="22"/>
        <v>0</v>
      </c>
      <c r="DP22" s="991">
        <v>137094</v>
      </c>
      <c r="DQ22" s="988">
        <f t="shared" si="23"/>
        <v>137094</v>
      </c>
      <c r="DR22" s="988"/>
      <c r="DS22" s="991">
        <v>0</v>
      </c>
      <c r="DT22" s="988">
        <f t="shared" si="24"/>
        <v>98359.461240000004</v>
      </c>
      <c r="DU22" s="988"/>
      <c r="DV22" s="988"/>
      <c r="DW22" s="991">
        <v>0</v>
      </c>
      <c r="DX22" s="988">
        <f t="shared" si="25"/>
        <v>38734.538759999996</v>
      </c>
      <c r="DY22" s="988">
        <f t="shared" si="26"/>
        <v>38734.538759999996</v>
      </c>
    </row>
    <row r="23" spans="1:129" ht="13.5" thickBot="1">
      <c r="D23" s="866"/>
      <c r="E23" s="866"/>
      <c r="F23" s="866"/>
      <c r="H23" s="877"/>
      <c r="I23" s="905"/>
      <c r="N23" s="477" t="s">
        <v>713</v>
      </c>
      <c r="O23" s="477" t="s">
        <v>712</v>
      </c>
      <c r="P23" s="893" t="s">
        <v>696</v>
      </c>
      <c r="Q23" s="889">
        <v>276721.25</v>
      </c>
      <c r="R23" s="866">
        <f>Q23</f>
        <v>276721.25</v>
      </c>
      <c r="S23" s="866"/>
      <c r="T23" s="866"/>
      <c r="X23" s="477" t="s">
        <v>663</v>
      </c>
      <c r="Y23" s="961">
        <f>(((Y9+Y21)/2)+(Y10+Y11+Y12+Y13+Y14+Y15+Y16+Y17+Y18+Y19+Y20))/12</f>
        <v>-73317638.039999992</v>
      </c>
      <c r="Z23" s="961">
        <f>(((Z9+Z21)/2)+(Z10+Z11+Z12+Z13+Z14+Z15+Z16+Z17+Z18+Z19+Z20))/12</f>
        <v>0</v>
      </c>
      <c r="AA23" s="961">
        <f>SUM(Y23:Z23)</f>
        <v>-73317638.039999992</v>
      </c>
      <c r="AB23" s="960"/>
      <c r="AC23" s="961">
        <f>(((AC9+AC21)/2)+(AC10+AC11+AC12+AC13+AC14+AC15+AC16+AC17+AC18+AC19+AC20))/12</f>
        <v>-826966.73666666681</v>
      </c>
      <c r="AD23" s="961">
        <f>(((AD9+AD21)/2)+(AD10+AD11+AD12+AD13+AD14+AD15+AD16+AD17+AD18+AD19+AD20))/12</f>
        <v>-537938451.52166653</v>
      </c>
      <c r="AE23" s="961">
        <f>(((AE9+AE21)/2)+(AE10+AE11+AE12+AE13+AE14+AE15+AE16+AE17+AE18+AE19+AE20))/12</f>
        <v>-102335435.51166667</v>
      </c>
      <c r="AF23" s="961">
        <f>(((AF9+AF21)/2)+(AF10+AF11+AF12+AF13+AF14+AF15+AF16+AF17+AF18+AF19+AF20))/12</f>
        <v>-60814926.159999974</v>
      </c>
      <c r="AG23" s="960"/>
      <c r="AH23" s="961">
        <f>SUM(AA23:AF23)</f>
        <v>-775233417.96999979</v>
      </c>
      <c r="AI23" s="960"/>
      <c r="AQ23" s="972"/>
      <c r="AR23" s="877">
        <v>202304</v>
      </c>
      <c r="AS23" s="866">
        <v>0</v>
      </c>
      <c r="AT23" s="866"/>
      <c r="AU23" s="866">
        <f>'G-1.01 DFIT'!BF16</f>
        <v>-1328330.54</v>
      </c>
      <c r="AV23" s="866">
        <f>'G-1.01 DFIT'!BQ16</f>
        <v>-7184.3</v>
      </c>
      <c r="AW23" s="866">
        <f>'G-1.01 DFIT'!BZ16</f>
        <v>-6217464</v>
      </c>
      <c r="CG23" s="531"/>
      <c r="CJ23" s="965"/>
      <c r="CK23" s="965"/>
      <c r="CL23" s="965"/>
      <c r="CM23" s="965"/>
      <c r="CN23" s="965"/>
      <c r="CO23" s="866"/>
      <c r="CQ23" s="477" t="s">
        <v>650</v>
      </c>
      <c r="CR23" s="981">
        <f>-CR5</f>
        <v>43763396.210259989</v>
      </c>
      <c r="CT23" s="870">
        <f>CR23/CR24</f>
        <v>0.28065183121658244</v>
      </c>
      <c r="CY23" s="988"/>
      <c r="CZ23" s="988"/>
      <c r="DA23" s="988"/>
      <c r="DB23" s="988"/>
      <c r="DC23" s="991"/>
      <c r="DD23" s="991"/>
      <c r="DE23" s="988"/>
      <c r="DF23" s="988"/>
      <c r="DG23" s="991"/>
      <c r="DH23" s="991"/>
      <c r="DI23" s="988">
        <f>SUM(DG23:DH23)</f>
        <v>0</v>
      </c>
      <c r="DM23" s="69" t="s">
        <v>796</v>
      </c>
      <c r="DN23" s="478" t="s">
        <v>723</v>
      </c>
      <c r="DO23" s="988">
        <f t="shared" si="22"/>
        <v>0</v>
      </c>
      <c r="DP23" s="991">
        <v>4132479</v>
      </c>
      <c r="DQ23" s="988">
        <f t="shared" si="23"/>
        <v>4132479</v>
      </c>
      <c r="DR23" s="988"/>
      <c r="DS23" s="991">
        <v>0</v>
      </c>
      <c r="DT23" s="988">
        <f t="shared" si="24"/>
        <v>2964888.3833400002</v>
      </c>
      <c r="DU23" s="988">
        <f t="shared" ref="DU23:DU34" si="27">SUM(DS23:DT23)</f>
        <v>2964888.3833400002</v>
      </c>
      <c r="DV23" s="988"/>
      <c r="DW23" s="991">
        <v>0</v>
      </c>
      <c r="DX23" s="988">
        <f t="shared" si="25"/>
        <v>1167590.6166599998</v>
      </c>
      <c r="DY23" s="988">
        <f t="shared" si="26"/>
        <v>1167590.6166599998</v>
      </c>
    </row>
    <row r="24" spans="1:129" ht="13.5" thickBot="1">
      <c r="A24" s="477" t="str">
        <f>'G-1.01 DFIT'!N30</f>
        <v xml:space="preserve">      Total Deferred FIT</v>
      </c>
      <c r="C24" s="893" t="s">
        <v>694</v>
      </c>
      <c r="D24" s="895">
        <f>D17+D22</f>
        <v>-117748142.31125671</v>
      </c>
      <c r="E24" s="894">
        <f>E17+E22</f>
        <v>-84206138.623677388</v>
      </c>
      <c r="F24" s="894">
        <f>F17+F22</f>
        <v>-33542003.68757933</v>
      </c>
      <c r="H24" s="877" t="s">
        <v>709</v>
      </c>
      <c r="I24" s="875">
        <f>SUM(I14:I21)</f>
        <v>1212677780</v>
      </c>
      <c r="N24" s="477" t="s">
        <v>659</v>
      </c>
      <c r="O24" s="904" t="s">
        <v>711</v>
      </c>
      <c r="P24" s="901" t="s">
        <v>701</v>
      </c>
      <c r="Q24" s="889">
        <f>'G-1.01 DFIT'!AS26</f>
        <v>0</v>
      </c>
      <c r="R24" s="866">
        <f>Q24</f>
        <v>0</v>
      </c>
      <c r="S24" s="866"/>
      <c r="T24" s="866"/>
      <c r="Y24" s="960"/>
      <c r="Z24" s="960"/>
      <c r="AA24" s="960"/>
      <c r="AB24" s="960"/>
      <c r="AC24" s="960"/>
      <c r="AD24" s="960"/>
      <c r="AE24" s="960"/>
      <c r="AF24" s="960"/>
      <c r="AG24" s="960"/>
      <c r="AH24" s="962"/>
      <c r="AI24" s="960"/>
      <c r="AQ24" s="972"/>
      <c r="AR24" s="877">
        <v>202305</v>
      </c>
      <c r="AS24" s="866">
        <v>0</v>
      </c>
      <c r="AT24" s="866"/>
      <c r="AU24" s="866">
        <f>'G-1.01 DFIT'!BF17</f>
        <v>-1325758.6399999999</v>
      </c>
      <c r="AV24" s="866">
        <f>'G-1.01 DFIT'!BQ17</f>
        <v>-7184.3</v>
      </c>
      <c r="AW24" s="866">
        <f>'G-1.01 DFIT'!BZ17</f>
        <v>-6217464</v>
      </c>
      <c r="CJ24" s="965"/>
      <c r="CK24" s="965"/>
      <c r="CL24" s="965"/>
      <c r="CM24" s="965"/>
      <c r="CN24" s="965"/>
      <c r="CR24" s="979">
        <f>SUM(CR22:CR23)</f>
        <v>155934832.21025997</v>
      </c>
      <c r="CT24" s="870">
        <f>SUM(CT22:CT23)</f>
        <v>1</v>
      </c>
      <c r="CX24" s="478" t="s">
        <v>798</v>
      </c>
      <c r="CY24" s="989">
        <f t="shared" ref="CY24:DE24" si="28">SUM(CY17:CY23)</f>
        <v>2761331633</v>
      </c>
      <c r="CZ24" s="989">
        <f t="shared" si="28"/>
        <v>2854428454</v>
      </c>
      <c r="DA24" s="989">
        <f t="shared" si="28"/>
        <v>5615760087</v>
      </c>
      <c r="DB24" s="988">
        <f t="shared" si="28"/>
        <v>0</v>
      </c>
      <c r="DC24" s="989">
        <f t="shared" si="28"/>
        <v>1838711314</v>
      </c>
      <c r="DD24" s="989">
        <f t="shared" si="28"/>
        <v>1852737524</v>
      </c>
      <c r="DE24" s="989">
        <f t="shared" si="28"/>
        <v>3691448838</v>
      </c>
      <c r="DF24" s="988"/>
      <c r="DG24" s="989">
        <f>SUM(DG17:DG23)</f>
        <v>922620319</v>
      </c>
      <c r="DH24" s="989">
        <f>SUM(DH17:DH23)</f>
        <v>1001690930</v>
      </c>
      <c r="DI24" s="989">
        <f>SUM(DI17:DI23)</f>
        <v>1924311249</v>
      </c>
      <c r="DN24" s="478" t="s">
        <v>721</v>
      </c>
      <c r="DO24" s="988">
        <f t="shared" si="22"/>
        <v>0</v>
      </c>
      <c r="DP24" s="991">
        <v>0</v>
      </c>
      <c r="DQ24" s="988">
        <f t="shared" si="23"/>
        <v>0</v>
      </c>
      <c r="DR24" s="988"/>
      <c r="DS24" s="991">
        <v>0</v>
      </c>
      <c r="DT24" s="988">
        <f t="shared" si="24"/>
        <v>0</v>
      </c>
      <c r="DU24" s="988">
        <f t="shared" si="27"/>
        <v>0</v>
      </c>
      <c r="DV24" s="988"/>
      <c r="DW24" s="991">
        <v>0</v>
      </c>
      <c r="DX24" s="988">
        <f t="shared" si="25"/>
        <v>0</v>
      </c>
      <c r="DY24" s="988">
        <f t="shared" si="26"/>
        <v>0</v>
      </c>
    </row>
    <row r="25" spans="1:129" ht="14" thickTop="1" thickBot="1">
      <c r="D25" s="866"/>
      <c r="E25" s="917" t="s">
        <v>781</v>
      </c>
      <c r="F25" s="866"/>
      <c r="I25" s="875">
        <f>I24-'G-1.01 DFIT'!DQ14</f>
        <v>0</v>
      </c>
      <c r="N25" s="183" t="s">
        <v>695</v>
      </c>
      <c r="O25" s="904" t="s">
        <v>710</v>
      </c>
      <c r="P25" s="901" t="s">
        <v>699</v>
      </c>
      <c r="Q25" s="889">
        <f>'G-1.01 DFIT'!AV26</f>
        <v>196447.83083333343</v>
      </c>
      <c r="R25" s="866">
        <f>Q25*R34</f>
        <v>137733.50315386674</v>
      </c>
      <c r="S25" s="866">
        <f>Q25*S34</f>
        <v>40680.416808966685</v>
      </c>
      <c r="T25" s="866">
        <f>Q25*T34</f>
        <v>18033.910870500011</v>
      </c>
      <c r="X25" s="477" t="s">
        <v>660</v>
      </c>
      <c r="Y25" s="961">
        <f>Y21</f>
        <v>-70564125.540000007</v>
      </c>
      <c r="Z25" s="961">
        <f>Z21</f>
        <v>0</v>
      </c>
      <c r="AA25" s="961">
        <f>AA21</f>
        <v>-70564125.540000007</v>
      </c>
      <c r="AB25" s="960"/>
      <c r="AC25" s="961">
        <f>AC21</f>
        <v>-829328.82</v>
      </c>
      <c r="AD25" s="961">
        <f>AD21</f>
        <v>-541445570.48000002</v>
      </c>
      <c r="AE25" s="961">
        <f>AE21</f>
        <v>-101769742.22</v>
      </c>
      <c r="AF25" s="961">
        <f>AF21</f>
        <v>-61015189.909999996</v>
      </c>
      <c r="AG25" s="960"/>
      <c r="AH25" s="961">
        <f>SUM(AA25:AF25)</f>
        <v>-775623956.97000003</v>
      </c>
      <c r="AI25" s="960"/>
      <c r="AQ25" s="972"/>
      <c r="AR25" s="903" t="s">
        <v>706</v>
      </c>
      <c r="AS25" s="902">
        <f>SUM(AS13:AS24)</f>
        <v>0</v>
      </c>
      <c r="AT25" s="902"/>
      <c r="AU25" s="902">
        <f>SUM(AU13:AU24)</f>
        <v>-16061649.045000002</v>
      </c>
      <c r="AV25" s="902">
        <f>SUM(AV13:AV24)</f>
        <v>2357373.9700000011</v>
      </c>
      <c r="AW25" s="902">
        <f>SUM(AW13:AW24)</f>
        <v>-63741067</v>
      </c>
      <c r="CG25" s="881"/>
      <c r="CY25" s="988"/>
      <c r="CZ25" s="988"/>
      <c r="DA25" s="988"/>
      <c r="DB25" s="988"/>
      <c r="DC25" s="988"/>
      <c r="DD25" s="988"/>
      <c r="DE25" s="988"/>
      <c r="DF25" s="988"/>
      <c r="DG25" s="988"/>
      <c r="DH25" s="988"/>
      <c r="DI25" s="988"/>
      <c r="DM25" s="478">
        <v>303110</v>
      </c>
      <c r="DN25" s="478" t="s">
        <v>723</v>
      </c>
      <c r="DO25" s="988">
        <f t="shared" si="22"/>
        <v>0</v>
      </c>
      <c r="DP25" s="991">
        <v>0</v>
      </c>
      <c r="DQ25" s="988">
        <f t="shared" si="23"/>
        <v>0</v>
      </c>
      <c r="DR25" s="988"/>
      <c r="DS25" s="991">
        <v>0</v>
      </c>
      <c r="DT25" s="988">
        <f t="shared" si="24"/>
        <v>0</v>
      </c>
      <c r="DU25" s="988">
        <f t="shared" si="27"/>
        <v>0</v>
      </c>
      <c r="DV25" s="988"/>
      <c r="DW25" s="991">
        <v>0</v>
      </c>
      <c r="DX25" s="988">
        <f t="shared" si="25"/>
        <v>0</v>
      </c>
      <c r="DY25" s="988">
        <f t="shared" si="26"/>
        <v>0</v>
      </c>
    </row>
    <row r="26" spans="1:129">
      <c r="A26" s="477" t="s">
        <v>689</v>
      </c>
      <c r="D26" s="866">
        <f>SUM(E26:F26)</f>
        <v>-119043519</v>
      </c>
      <c r="E26" s="889">
        <v>-84771593</v>
      </c>
      <c r="F26" s="889">
        <v>-34271926</v>
      </c>
      <c r="H26" s="888" t="s">
        <v>780</v>
      </c>
      <c r="I26" s="871"/>
      <c r="N26" s="477" t="s">
        <v>708</v>
      </c>
      <c r="O26" s="904" t="s">
        <v>707</v>
      </c>
      <c r="P26" s="901" t="s">
        <v>700</v>
      </c>
      <c r="Q26" s="889">
        <f>'G-1.01 DFIT'!AU26</f>
        <v>-1338470.7537500001</v>
      </c>
      <c r="R26" s="866">
        <f>Q26*R34</f>
        <v>-938428.61486920004</v>
      </c>
      <c r="S26" s="866">
        <f>Q26*S34</f>
        <v>-277170.52368655003</v>
      </c>
      <c r="T26" s="866">
        <f>Q26*T34</f>
        <v>-122871.61519425003</v>
      </c>
      <c r="AB26" s="882"/>
      <c r="AC26" s="882"/>
      <c r="AR26" s="182" t="s">
        <v>702</v>
      </c>
      <c r="AS26" s="889">
        <f>AS25/12</f>
        <v>0</v>
      </c>
      <c r="AT26" s="889"/>
      <c r="AU26" s="889">
        <f>AU25/12</f>
        <v>-1338470.7537500001</v>
      </c>
      <c r="AV26" s="889">
        <f>AV25/12</f>
        <v>196447.83083333343</v>
      </c>
      <c r="AW26" s="889">
        <f>AW25/12</f>
        <v>-5311755.583333333</v>
      </c>
      <c r="CH26" s="477" t="s">
        <v>24</v>
      </c>
      <c r="CI26" s="477" t="s">
        <v>648</v>
      </c>
      <c r="CJ26" s="980">
        <f>SUM(CK26:CN26)</f>
        <v>846495348</v>
      </c>
      <c r="CK26" s="979">
        <f>CR7</f>
        <v>5538239.7897400111</v>
      </c>
      <c r="CL26" s="979">
        <f>CR13</f>
        <v>34499717</v>
      </c>
      <c r="CM26" s="979">
        <f>CR19</f>
        <v>650522559</v>
      </c>
      <c r="CN26" s="979">
        <f>CR24</f>
        <v>155934832.21025997</v>
      </c>
      <c r="CO26" s="875">
        <f>CJ26-'G-1.01 DFIT'!DU14</f>
        <v>0</v>
      </c>
      <c r="CY26" s="988"/>
      <c r="CZ26" s="988"/>
      <c r="DA26" s="988"/>
      <c r="DB26" s="988"/>
      <c r="DC26" s="988"/>
      <c r="DD26" s="988"/>
      <c r="DE26" s="988"/>
      <c r="DF26" s="988"/>
      <c r="DG26" s="988"/>
      <c r="DH26" s="988"/>
      <c r="DI26" s="988"/>
      <c r="DN26" s="478" t="s">
        <v>721</v>
      </c>
      <c r="DO26" s="988">
        <f t="shared" si="22"/>
        <v>0</v>
      </c>
      <c r="DP26" s="991">
        <v>0</v>
      </c>
      <c r="DQ26" s="988">
        <f t="shared" si="23"/>
        <v>0</v>
      </c>
      <c r="DR26" s="988"/>
      <c r="DS26" s="991">
        <v>0</v>
      </c>
      <c r="DT26" s="988">
        <f t="shared" si="24"/>
        <v>0</v>
      </c>
      <c r="DU26" s="988">
        <f t="shared" si="27"/>
        <v>0</v>
      </c>
      <c r="DV26" s="988"/>
      <c r="DW26" s="991">
        <v>0</v>
      </c>
      <c r="DX26" s="988">
        <f t="shared" si="25"/>
        <v>0</v>
      </c>
      <c r="DY26" s="988">
        <f t="shared" si="26"/>
        <v>0</v>
      </c>
    </row>
    <row r="27" spans="1:129" ht="13.5" thickBot="1">
      <c r="D27" s="866"/>
      <c r="E27" s="866"/>
      <c r="F27" s="866"/>
      <c r="H27" s="877"/>
      <c r="I27" s="871"/>
      <c r="N27" s="477" t="s">
        <v>705</v>
      </c>
      <c r="O27" s="183" t="s">
        <v>704</v>
      </c>
      <c r="P27" s="901" t="s">
        <v>655</v>
      </c>
      <c r="Q27" s="889">
        <f>'G-1.01 DFIT'!AW28</f>
        <v>0</v>
      </c>
      <c r="R27" s="866">
        <f>Q27*R34</f>
        <v>0</v>
      </c>
      <c r="S27" s="866">
        <f>Q27*S34</f>
        <v>0</v>
      </c>
      <c r="T27" s="866">
        <f>Q27*T34</f>
        <v>0</v>
      </c>
      <c r="X27" s="966" t="s">
        <v>703</v>
      </c>
      <c r="AB27" s="882"/>
      <c r="AC27" s="882"/>
      <c r="AS27" s="900" t="s">
        <v>701</v>
      </c>
      <c r="AT27" s="900"/>
      <c r="AU27" s="900" t="s">
        <v>700</v>
      </c>
      <c r="AV27" s="900" t="s">
        <v>699</v>
      </c>
      <c r="AW27" s="900" t="s">
        <v>655</v>
      </c>
      <c r="CK27" s="983">
        <f>ROUND(CK26/$CJ$26,7)</f>
        <v>6.5426E-3</v>
      </c>
      <c r="CL27" s="983">
        <f>ROUND(CL26/$CJ$26,7)</f>
        <v>4.0755899999999998E-2</v>
      </c>
      <c r="CM27" s="983">
        <f>ROUND(CM26/$CJ$26,7)</f>
        <v>0.76848919999999998</v>
      </c>
      <c r="CN27" s="983">
        <f>ROUND(CN26/$CJ$26,7)</f>
        <v>0.1842123</v>
      </c>
      <c r="CY27" s="988"/>
      <c r="CZ27" s="988"/>
      <c r="DA27" s="988"/>
      <c r="DB27" s="988"/>
      <c r="DC27" s="988"/>
      <c r="DD27" s="988"/>
      <c r="DE27" s="988"/>
      <c r="DF27" s="988"/>
      <c r="DG27" s="988"/>
      <c r="DH27" s="988"/>
      <c r="DI27" s="988"/>
      <c r="DM27" s="478">
        <v>303115</v>
      </c>
      <c r="DN27" s="478" t="s">
        <v>723</v>
      </c>
      <c r="DO27" s="988">
        <f t="shared" si="22"/>
        <v>0</v>
      </c>
      <c r="DP27" s="991">
        <v>20327067</v>
      </c>
      <c r="DQ27" s="988">
        <f t="shared" si="23"/>
        <v>20327067</v>
      </c>
      <c r="DR27" s="988"/>
      <c r="DS27" s="991">
        <v>0</v>
      </c>
      <c r="DT27" s="988">
        <f t="shared" si="24"/>
        <v>14583857.48982</v>
      </c>
      <c r="DU27" s="988">
        <f t="shared" si="27"/>
        <v>14583857.48982</v>
      </c>
      <c r="DV27" s="988"/>
      <c r="DW27" s="991">
        <v>0</v>
      </c>
      <c r="DX27" s="988">
        <f t="shared" si="25"/>
        <v>5743209.5101800002</v>
      </c>
      <c r="DY27" s="988">
        <f t="shared" si="26"/>
        <v>5743209.5101800002</v>
      </c>
    </row>
    <row r="28" spans="1:129" ht="14" thickTop="1" thickBot="1">
      <c r="A28" s="531" t="s">
        <v>3398</v>
      </c>
      <c r="D28" s="866">
        <f>D24-D26</f>
        <v>1295376.6887432933</v>
      </c>
      <c r="E28" s="887">
        <f>E24-E26</f>
        <v>565454.37632261217</v>
      </c>
      <c r="F28" s="866">
        <f>F24-F26</f>
        <v>729922.31242066994</v>
      </c>
      <c r="H28" s="877"/>
      <c r="I28" s="871"/>
      <c r="N28" s="477" t="s">
        <v>651</v>
      </c>
      <c r="Q28" s="872">
        <f>SUM(Q20:Q27)</f>
        <v>-6628434.822916666</v>
      </c>
      <c r="R28" s="872">
        <f>SUM(R20:R27)</f>
        <v>-6287107.011715332</v>
      </c>
      <c r="S28" s="872">
        <f>SUM(S20:S27)</f>
        <v>-236490.10687758334</v>
      </c>
      <c r="T28" s="872">
        <f>SUM(T20:T27)</f>
        <v>-104837.70432375002</v>
      </c>
      <c r="X28" s="867"/>
      <c r="Y28" s="867">
        <v>282900</v>
      </c>
      <c r="Z28" s="867">
        <v>283000</v>
      </c>
      <c r="AA28" s="867" t="s">
        <v>24</v>
      </c>
      <c r="AB28" s="867"/>
      <c r="AC28" s="867">
        <v>282900</v>
      </c>
      <c r="AD28" s="867">
        <v>282900</v>
      </c>
      <c r="AE28" s="867">
        <v>282900</v>
      </c>
      <c r="AF28" s="867">
        <v>282900</v>
      </c>
      <c r="AG28" s="867"/>
      <c r="AH28" s="867"/>
      <c r="AI28" s="867">
        <v>282900</v>
      </c>
      <c r="AJ28" s="875">
        <f>SUM(AK28:AN29)</f>
        <v>0</v>
      </c>
      <c r="AW28" s="199">
        <v>0</v>
      </c>
      <c r="CI28" s="867"/>
      <c r="CJ28" s="866"/>
      <c r="CK28" s="866"/>
      <c r="CL28" s="960"/>
      <c r="CM28" s="960"/>
      <c r="CN28" s="960"/>
      <c r="CW28" s="478" t="s">
        <v>797</v>
      </c>
      <c r="CY28" s="988"/>
      <c r="CZ28" s="988"/>
      <c r="DA28" s="988"/>
      <c r="DB28" s="988"/>
      <c r="DC28" s="988"/>
      <c r="DD28" s="988"/>
      <c r="DE28" s="988"/>
      <c r="DF28" s="988"/>
      <c r="DG28" s="988"/>
      <c r="DH28" s="988"/>
      <c r="DI28" s="988"/>
      <c r="DN28" s="478" t="s">
        <v>721</v>
      </c>
      <c r="DO28" s="988">
        <f t="shared" si="22"/>
        <v>0</v>
      </c>
      <c r="DP28" s="991">
        <v>0</v>
      </c>
      <c r="DQ28" s="988">
        <f t="shared" si="23"/>
        <v>0</v>
      </c>
      <c r="DR28" s="988"/>
      <c r="DS28" s="991">
        <v>0</v>
      </c>
      <c r="DT28" s="988">
        <f t="shared" si="24"/>
        <v>0</v>
      </c>
      <c r="DU28" s="988">
        <f t="shared" si="27"/>
        <v>0</v>
      </c>
      <c r="DV28" s="988"/>
      <c r="DW28" s="991">
        <v>0</v>
      </c>
      <c r="DX28" s="988">
        <f t="shared" si="25"/>
        <v>0</v>
      </c>
      <c r="DY28" s="988">
        <f t="shared" si="26"/>
        <v>0</v>
      </c>
    </row>
    <row r="29" spans="1:129" ht="14" thickTop="1" thickBot="1">
      <c r="D29" s="866"/>
      <c r="E29" s="866"/>
      <c r="F29" s="866"/>
      <c r="H29" s="877"/>
      <c r="I29" s="897"/>
      <c r="Q29" s="866"/>
      <c r="R29" s="866"/>
      <c r="S29" s="866"/>
      <c r="T29" s="866"/>
      <c r="Y29" s="867" t="s">
        <v>682</v>
      </c>
      <c r="Z29" s="867" t="s">
        <v>682</v>
      </c>
      <c r="AA29" s="867" t="s">
        <v>682</v>
      </c>
      <c r="AB29" s="867"/>
      <c r="AC29" s="867" t="s">
        <v>682</v>
      </c>
      <c r="AD29" s="867" t="s">
        <v>681</v>
      </c>
      <c r="AE29" s="867" t="s">
        <v>680</v>
      </c>
      <c r="AF29" s="867" t="s">
        <v>680</v>
      </c>
      <c r="AI29" s="867" t="s">
        <v>675</v>
      </c>
      <c r="CI29" s="867"/>
      <c r="CJ29" s="866"/>
      <c r="CK29" s="866"/>
      <c r="CL29" s="866"/>
      <c r="CM29" s="866"/>
      <c r="CN29" s="866"/>
      <c r="CW29" s="478">
        <v>303000</v>
      </c>
      <c r="CX29" s="478" t="s">
        <v>723</v>
      </c>
      <c r="CY29" s="988">
        <f t="shared" ref="CY29:CY44" si="29">SUM(DC29,DG29)</f>
        <v>0</v>
      </c>
      <c r="CZ29" s="990">
        <v>4362714</v>
      </c>
      <c r="DA29" s="988">
        <f t="shared" ref="DA29:DA44" si="30">SUM(CY29:CZ29)</f>
        <v>4362714</v>
      </c>
      <c r="DB29" s="988"/>
      <c r="DC29" s="988">
        <v>0</v>
      </c>
      <c r="DD29" s="988">
        <f>CZ29*DD49</f>
        <v>2809587.8160000001</v>
      </c>
      <c r="DE29" s="988">
        <f t="shared" ref="DE29:DE44" si="31">SUM(DC29:DD29)</f>
        <v>2809587.8160000001</v>
      </c>
      <c r="DF29" s="988"/>
      <c r="DG29" s="988">
        <v>0</v>
      </c>
      <c r="DH29" s="988">
        <f t="shared" ref="DH29:DH44" si="32">CZ29-DD29</f>
        <v>1553126.1839999999</v>
      </c>
      <c r="DI29" s="988">
        <f t="shared" ref="DI29:DI44" si="33">SUM(DG29:DH29)</f>
        <v>1553126.1839999999</v>
      </c>
      <c r="DM29" s="478">
        <v>303120</v>
      </c>
      <c r="DN29" s="478" t="s">
        <v>723</v>
      </c>
      <c r="DO29" s="988">
        <f t="shared" si="22"/>
        <v>0</v>
      </c>
      <c r="DP29" s="991">
        <v>6045264</v>
      </c>
      <c r="DQ29" s="988">
        <f t="shared" si="23"/>
        <v>6045264</v>
      </c>
      <c r="DR29" s="988"/>
      <c r="DS29" s="991">
        <v>0</v>
      </c>
      <c r="DT29" s="988">
        <f t="shared" si="24"/>
        <v>4337235.1094399998</v>
      </c>
      <c r="DU29" s="988">
        <f t="shared" si="27"/>
        <v>4337235.1094399998</v>
      </c>
      <c r="DV29" s="988"/>
      <c r="DW29" s="991">
        <v>0</v>
      </c>
      <c r="DX29" s="988">
        <f t="shared" si="25"/>
        <v>1708028.8905600002</v>
      </c>
      <c r="DY29" s="988">
        <f t="shared" si="26"/>
        <v>1708028.8905600002</v>
      </c>
    </row>
    <row r="30" spans="1:129" ht="14" thickTop="1" thickBot="1">
      <c r="A30" s="477" t="s">
        <v>3396</v>
      </c>
      <c r="D30" s="866">
        <v>195418.34254662693</v>
      </c>
      <c r="E30" s="3670">
        <v>-223721.73873963952</v>
      </c>
      <c r="F30" s="866">
        <v>419140.08128626645</v>
      </c>
      <c r="H30" s="877"/>
      <c r="I30" s="897"/>
      <c r="K30" s="477"/>
      <c r="N30" s="477" t="s">
        <v>649</v>
      </c>
      <c r="Q30" s="898">
        <f>Q17+Q28</f>
        <v>-777821001.42828608</v>
      </c>
      <c r="R30" s="895">
        <f>R17+R28</f>
        <v>-593528044.28879642</v>
      </c>
      <c r="S30" s="895">
        <f>S17+S28</f>
        <v>-117748141.95063318</v>
      </c>
      <c r="T30" s="898">
        <f>T17+T28</f>
        <v>-66544815.188856468</v>
      </c>
      <c r="U30" s="199"/>
      <c r="X30" s="880" t="s">
        <v>679</v>
      </c>
      <c r="Y30" s="879" t="s">
        <v>678</v>
      </c>
      <c r="Z30" s="879" t="s">
        <v>678</v>
      </c>
      <c r="AA30" s="879" t="s">
        <v>678</v>
      </c>
      <c r="AB30" s="867"/>
      <c r="AC30" s="879" t="s">
        <v>677</v>
      </c>
      <c r="AD30" s="879" t="s">
        <v>677</v>
      </c>
      <c r="AE30" s="879" t="s">
        <v>677</v>
      </c>
      <c r="AF30" s="879" t="s">
        <v>676</v>
      </c>
      <c r="AG30" s="880"/>
      <c r="AH30" s="879" t="s">
        <v>198</v>
      </c>
      <c r="AI30" s="879" t="s">
        <v>675</v>
      </c>
      <c r="CX30" s="478" t="s">
        <v>721</v>
      </c>
      <c r="CY30" s="988">
        <f t="shared" si="29"/>
        <v>0</v>
      </c>
      <c r="CZ30" s="990">
        <v>149702</v>
      </c>
      <c r="DA30" s="988">
        <f t="shared" si="30"/>
        <v>149702</v>
      </c>
      <c r="DB30" s="988"/>
      <c r="DC30" s="988">
        <v>0</v>
      </c>
      <c r="DD30" s="988">
        <f t="shared" ref="DD30:DD44" si="34">CZ30*$DD$50</f>
        <v>100215.00985999999</v>
      </c>
      <c r="DE30" s="988">
        <f t="shared" si="31"/>
        <v>100215.00985999999</v>
      </c>
      <c r="DF30" s="988"/>
      <c r="DG30" s="988">
        <v>0</v>
      </c>
      <c r="DH30" s="988">
        <f t="shared" si="32"/>
        <v>49486.990140000009</v>
      </c>
      <c r="DI30" s="988">
        <f t="shared" si="33"/>
        <v>49486.990140000009</v>
      </c>
      <c r="DN30" s="478" t="s">
        <v>721</v>
      </c>
      <c r="DO30" s="988">
        <f t="shared" si="22"/>
        <v>0</v>
      </c>
      <c r="DP30" s="991">
        <v>0</v>
      </c>
      <c r="DQ30" s="988">
        <f t="shared" si="23"/>
        <v>0</v>
      </c>
      <c r="DR30" s="988"/>
      <c r="DS30" s="991">
        <v>0</v>
      </c>
      <c r="DT30" s="988">
        <f t="shared" si="24"/>
        <v>0</v>
      </c>
      <c r="DU30" s="988">
        <f t="shared" si="27"/>
        <v>0</v>
      </c>
      <c r="DV30" s="988"/>
      <c r="DW30" s="991">
        <v>0</v>
      </c>
      <c r="DX30" s="988">
        <f t="shared" si="25"/>
        <v>0</v>
      </c>
      <c r="DY30" s="988">
        <f t="shared" si="26"/>
        <v>0</v>
      </c>
    </row>
    <row r="31" spans="1:129" ht="13.5" thickTop="1">
      <c r="A31" s="3671" t="s">
        <v>3397</v>
      </c>
      <c r="B31" s="3671"/>
      <c r="C31" s="3671"/>
      <c r="D31" s="3672">
        <f>D28-D30</f>
        <v>1099958.3461966664</v>
      </c>
      <c r="E31" s="3672">
        <f t="shared" ref="E31:F31" si="35">E28-E30</f>
        <v>789176.11506225169</v>
      </c>
      <c r="F31" s="3672">
        <f t="shared" si="35"/>
        <v>310782.2311344035</v>
      </c>
      <c r="I31" s="896"/>
      <c r="R31" s="893" t="s">
        <v>693</v>
      </c>
      <c r="S31" s="893" t="s">
        <v>694</v>
      </c>
      <c r="X31" s="182">
        <f t="shared" ref="X31:X43" si="36">X9</f>
        <v>202206</v>
      </c>
      <c r="Y31" s="968">
        <f t="shared" ref="Y31:AA43" si="37">Y53-Y9</f>
        <v>-2842796.3938403428</v>
      </c>
      <c r="Z31" s="968">
        <f t="shared" si="37"/>
        <v>0</v>
      </c>
      <c r="AA31" s="968">
        <f t="shared" si="37"/>
        <v>-2842796.3938403428</v>
      </c>
      <c r="AB31" s="968"/>
      <c r="AC31" s="968">
        <f t="shared" ref="AC31:AF43" si="38">AC53-AC9</f>
        <v>847756.82</v>
      </c>
      <c r="AD31" s="968">
        <f t="shared" si="38"/>
        <v>-119610.63712286949</v>
      </c>
      <c r="AE31" s="968">
        <f t="shared" si="38"/>
        <v>1642285.3593988419</v>
      </c>
      <c r="AF31" s="968">
        <f t="shared" si="38"/>
        <v>1825280.1585804746</v>
      </c>
      <c r="AH31" s="968">
        <f t="shared" ref="AH31:AH43" si="39">SUM(AA31:AF31)</f>
        <v>1352915.307016104</v>
      </c>
      <c r="AI31" s="960"/>
      <c r="CW31" s="478">
        <v>303100</v>
      </c>
      <c r="CX31" s="478" t="s">
        <v>723</v>
      </c>
      <c r="CY31" s="988">
        <f t="shared" si="29"/>
        <v>0</v>
      </c>
      <c r="CZ31" s="990">
        <v>88861238</v>
      </c>
      <c r="DA31" s="988">
        <f t="shared" si="30"/>
        <v>88861238</v>
      </c>
      <c r="DB31" s="988"/>
      <c r="DC31" s="988">
        <v>0</v>
      </c>
      <c r="DD31" s="988">
        <f t="shared" si="34"/>
        <v>59486378.554339997</v>
      </c>
      <c r="DE31" s="988">
        <f t="shared" si="31"/>
        <v>59486378.554339997</v>
      </c>
      <c r="DF31" s="988"/>
      <c r="DG31" s="988">
        <v>0</v>
      </c>
      <c r="DH31" s="988">
        <f t="shared" si="32"/>
        <v>29374859.445660003</v>
      </c>
      <c r="DI31" s="988">
        <f t="shared" si="33"/>
        <v>29374859.445660003</v>
      </c>
      <c r="DM31" s="478">
        <v>303121</v>
      </c>
      <c r="DN31" s="478" t="s">
        <v>723</v>
      </c>
      <c r="DO31" s="988">
        <f t="shared" si="22"/>
        <v>0</v>
      </c>
      <c r="DP31" s="991">
        <v>17238</v>
      </c>
      <c r="DQ31" s="988">
        <f t="shared" si="23"/>
        <v>17238</v>
      </c>
      <c r="DR31" s="988"/>
      <c r="DS31" s="991">
        <v>0</v>
      </c>
      <c r="DT31" s="988">
        <f t="shared" si="24"/>
        <v>12367.57548</v>
      </c>
      <c r="DU31" s="988">
        <f t="shared" si="27"/>
        <v>12367.57548</v>
      </c>
      <c r="DV31" s="988"/>
      <c r="DW31" s="991">
        <v>0</v>
      </c>
      <c r="DX31" s="988">
        <f t="shared" si="25"/>
        <v>4870.4245200000005</v>
      </c>
      <c r="DY31" s="988">
        <f t="shared" si="26"/>
        <v>4870.4245200000005</v>
      </c>
    </row>
    <row r="32" spans="1:129">
      <c r="H32" s="877"/>
      <c r="I32" s="892"/>
      <c r="X32" s="182">
        <f t="shared" si="36"/>
        <v>202207</v>
      </c>
      <c r="Y32" s="968">
        <f t="shared" si="37"/>
        <v>-2705059.0291137397</v>
      </c>
      <c r="Z32" s="968">
        <f t="shared" si="37"/>
        <v>0</v>
      </c>
      <c r="AA32" s="968">
        <f t="shared" si="37"/>
        <v>-2705059.0291137397</v>
      </c>
      <c r="AB32" s="968"/>
      <c r="AC32" s="968">
        <f t="shared" si="38"/>
        <v>845501.82</v>
      </c>
      <c r="AD32" s="968">
        <f t="shared" si="38"/>
        <v>-46609.91592669487</v>
      </c>
      <c r="AE32" s="968">
        <f t="shared" si="38"/>
        <v>1797818.4662153274</v>
      </c>
      <c r="AF32" s="968">
        <f t="shared" si="38"/>
        <v>1847560.3087772205</v>
      </c>
      <c r="AH32" s="968">
        <f t="shared" si="39"/>
        <v>1739211.6499521132</v>
      </c>
      <c r="AI32" s="960"/>
      <c r="CX32" s="478" t="s">
        <v>721</v>
      </c>
      <c r="CY32" s="988">
        <f t="shared" si="29"/>
        <v>0</v>
      </c>
      <c r="CZ32" s="990">
        <v>462697</v>
      </c>
      <c r="DA32" s="988">
        <f t="shared" si="30"/>
        <v>462697</v>
      </c>
      <c r="DB32" s="988"/>
      <c r="DC32" s="988">
        <v>0</v>
      </c>
      <c r="DD32" s="988">
        <f t="shared" si="34"/>
        <v>309743.25270999997</v>
      </c>
      <c r="DE32" s="988">
        <f t="shared" si="31"/>
        <v>309743.25270999997</v>
      </c>
      <c r="DF32" s="988"/>
      <c r="DG32" s="988">
        <v>0</v>
      </c>
      <c r="DH32" s="988">
        <f t="shared" si="32"/>
        <v>152953.74729000003</v>
      </c>
      <c r="DI32" s="988">
        <f t="shared" si="33"/>
        <v>152953.74729000003</v>
      </c>
      <c r="DN32" s="478" t="s">
        <v>721</v>
      </c>
      <c r="DO32" s="988">
        <f t="shared" si="22"/>
        <v>0</v>
      </c>
      <c r="DP32" s="991">
        <v>0</v>
      </c>
      <c r="DQ32" s="988">
        <f t="shared" si="23"/>
        <v>0</v>
      </c>
      <c r="DR32" s="988"/>
      <c r="DS32" s="991">
        <v>0</v>
      </c>
      <c r="DT32" s="988">
        <f t="shared" si="24"/>
        <v>0</v>
      </c>
      <c r="DU32" s="988">
        <f t="shared" si="27"/>
        <v>0</v>
      </c>
      <c r="DV32" s="988"/>
      <c r="DW32" s="991">
        <v>0</v>
      </c>
      <c r="DX32" s="988">
        <f t="shared" si="25"/>
        <v>0</v>
      </c>
      <c r="DY32" s="988">
        <f t="shared" si="26"/>
        <v>0</v>
      </c>
    </row>
    <row r="33" spans="1:129">
      <c r="A33" s="477" t="s">
        <v>688</v>
      </c>
      <c r="H33" s="877"/>
      <c r="I33" s="892"/>
      <c r="N33" s="883" t="s">
        <v>685</v>
      </c>
      <c r="O33" s="883"/>
      <c r="X33" s="182">
        <f t="shared" si="36"/>
        <v>202208</v>
      </c>
      <c r="Y33" s="968">
        <f t="shared" si="37"/>
        <v>-2567321.6643871367</v>
      </c>
      <c r="Z33" s="968">
        <f t="shared" si="37"/>
        <v>0</v>
      </c>
      <c r="AA33" s="968">
        <f t="shared" si="37"/>
        <v>-2567321.6643871367</v>
      </c>
      <c r="AB33" s="968"/>
      <c r="AC33" s="968">
        <f t="shared" si="38"/>
        <v>843246.82</v>
      </c>
      <c r="AD33" s="968">
        <f t="shared" si="38"/>
        <v>26390.805269479752</v>
      </c>
      <c r="AE33" s="968">
        <f t="shared" si="38"/>
        <v>1953351.573031798</v>
      </c>
      <c r="AF33" s="968">
        <f t="shared" si="38"/>
        <v>1869840.458973974</v>
      </c>
      <c r="AH33" s="968">
        <f t="shared" si="39"/>
        <v>2125507.9928881149</v>
      </c>
      <c r="AI33" s="960"/>
      <c r="CG33" s="477" t="s">
        <v>111</v>
      </c>
      <c r="CR33" s="477" t="s">
        <v>683</v>
      </c>
      <c r="CW33" s="69" t="s">
        <v>796</v>
      </c>
      <c r="CX33" s="478" t="s">
        <v>723</v>
      </c>
      <c r="CY33" s="988">
        <f t="shared" si="29"/>
        <v>0</v>
      </c>
      <c r="CZ33" s="990">
        <v>13991520</v>
      </c>
      <c r="DA33" s="988">
        <f t="shared" si="30"/>
        <v>13991520</v>
      </c>
      <c r="DB33" s="988"/>
      <c r="DC33" s="988">
        <v>0</v>
      </c>
      <c r="DD33" s="988">
        <f t="shared" si="34"/>
        <v>9366343.2335999999</v>
      </c>
      <c r="DE33" s="988">
        <f t="shared" si="31"/>
        <v>9366343.2335999999</v>
      </c>
      <c r="DF33" s="988"/>
      <c r="DG33" s="988">
        <v>0</v>
      </c>
      <c r="DH33" s="988">
        <f t="shared" si="32"/>
        <v>4625176.7664000001</v>
      </c>
      <c r="DI33" s="988">
        <f t="shared" si="33"/>
        <v>4625176.7664000001</v>
      </c>
      <c r="DM33" s="69" t="s">
        <v>795</v>
      </c>
      <c r="DN33" s="478" t="s">
        <v>723</v>
      </c>
      <c r="DO33" s="988">
        <f t="shared" si="22"/>
        <v>0</v>
      </c>
      <c r="DP33" s="991">
        <v>2759929</v>
      </c>
      <c r="DQ33" s="988">
        <f t="shared" si="23"/>
        <v>2759929</v>
      </c>
      <c r="DR33" s="988"/>
      <c r="DS33" s="991">
        <v>0</v>
      </c>
      <c r="DT33" s="988">
        <f t="shared" si="24"/>
        <v>1980138.6603399999</v>
      </c>
      <c r="DU33" s="988">
        <f t="shared" si="27"/>
        <v>1980138.6603399999</v>
      </c>
      <c r="DV33" s="988"/>
      <c r="DW33" s="991">
        <v>0</v>
      </c>
      <c r="DX33" s="988">
        <f t="shared" si="25"/>
        <v>779790.33966000006</v>
      </c>
      <c r="DY33" s="988">
        <f t="shared" si="26"/>
        <v>779790.33966000006</v>
      </c>
    </row>
    <row r="34" spans="1:129">
      <c r="A34" s="477" t="s">
        <v>779</v>
      </c>
      <c r="C34" s="867">
        <v>1</v>
      </c>
      <c r="D34" s="891">
        <f>SUM(E34:F34)</f>
        <v>1</v>
      </c>
      <c r="E34" s="885">
        <v>0.6845</v>
      </c>
      <c r="F34" s="884">
        <f>1-E34</f>
        <v>0.3155</v>
      </c>
      <c r="H34" s="877"/>
      <c r="I34" s="892"/>
      <c r="O34" s="477" t="s">
        <v>692</v>
      </c>
      <c r="Q34" s="891">
        <f>SUM(R34:T34)</f>
        <v>0.99999999999999989</v>
      </c>
      <c r="R34" s="885">
        <v>0.70111999999999997</v>
      </c>
      <c r="S34" s="885">
        <v>0.20707999999999999</v>
      </c>
      <c r="T34" s="885">
        <v>9.1800000000000007E-2</v>
      </c>
      <c r="U34" s="890" t="s">
        <v>690</v>
      </c>
      <c r="X34" s="182">
        <f t="shared" si="36"/>
        <v>202209</v>
      </c>
      <c r="Y34" s="968">
        <f t="shared" si="37"/>
        <v>-2823648.2996605188</v>
      </c>
      <c r="Z34" s="968">
        <f t="shared" si="37"/>
        <v>0</v>
      </c>
      <c r="AA34" s="968">
        <f t="shared" si="37"/>
        <v>-2823648.2996605188</v>
      </c>
      <c r="AB34" s="968"/>
      <c r="AC34" s="968">
        <f t="shared" si="38"/>
        <v>809033.82</v>
      </c>
      <c r="AD34" s="968">
        <f t="shared" si="38"/>
        <v>5181837.5264656544</v>
      </c>
      <c r="AE34" s="968">
        <f t="shared" si="38"/>
        <v>1264929.6798482686</v>
      </c>
      <c r="AF34" s="968">
        <f t="shared" si="38"/>
        <v>1271482.60917072</v>
      </c>
      <c r="AH34" s="968">
        <f t="shared" si="39"/>
        <v>5703635.3358241245</v>
      </c>
      <c r="AI34" s="960"/>
      <c r="CG34" s="881" t="s">
        <v>791</v>
      </c>
      <c r="CX34" s="478" t="s">
        <v>721</v>
      </c>
      <c r="CY34" s="988">
        <f t="shared" si="29"/>
        <v>0</v>
      </c>
      <c r="CZ34" s="990">
        <v>0</v>
      </c>
      <c r="DA34" s="988">
        <f t="shared" si="30"/>
        <v>0</v>
      </c>
      <c r="DB34" s="988"/>
      <c r="DC34" s="988">
        <v>0</v>
      </c>
      <c r="DD34" s="988">
        <f t="shared" si="34"/>
        <v>0</v>
      </c>
      <c r="DE34" s="988">
        <f t="shared" si="31"/>
        <v>0</v>
      </c>
      <c r="DF34" s="988"/>
      <c r="DG34" s="988">
        <v>0</v>
      </c>
      <c r="DH34" s="988">
        <f t="shared" si="32"/>
        <v>0</v>
      </c>
      <c r="DI34" s="988">
        <f t="shared" si="33"/>
        <v>0</v>
      </c>
      <c r="DN34" s="478" t="s">
        <v>721</v>
      </c>
      <c r="DO34" s="988">
        <f t="shared" si="22"/>
        <v>0</v>
      </c>
      <c r="DP34" s="991">
        <v>0</v>
      </c>
      <c r="DQ34" s="988">
        <f t="shared" si="23"/>
        <v>0</v>
      </c>
      <c r="DR34" s="988"/>
      <c r="DS34" s="991">
        <v>0</v>
      </c>
      <c r="DT34" s="988">
        <f t="shared" si="24"/>
        <v>0</v>
      </c>
      <c r="DU34" s="988">
        <f t="shared" si="27"/>
        <v>0</v>
      </c>
      <c r="DV34" s="988"/>
      <c r="DW34" s="991">
        <v>0</v>
      </c>
      <c r="DX34" s="988">
        <f t="shared" si="25"/>
        <v>0</v>
      </c>
      <c r="DY34" s="988">
        <f t="shared" si="26"/>
        <v>0</v>
      </c>
    </row>
    <row r="35" spans="1:129" ht="13.5" thickBot="1">
      <c r="A35" s="477" t="s">
        <v>687</v>
      </c>
      <c r="C35" s="867">
        <v>4</v>
      </c>
      <c r="D35" s="891">
        <f>SUM(E35:F35)</f>
        <v>1</v>
      </c>
      <c r="E35" s="885">
        <v>0.71745999999999999</v>
      </c>
      <c r="F35" s="884">
        <f>1-E35</f>
        <v>0.28254000000000001</v>
      </c>
      <c r="O35" s="477" t="s">
        <v>691</v>
      </c>
      <c r="Q35" s="891">
        <f>SUM(R35:T35)</f>
        <v>1</v>
      </c>
      <c r="R35" s="885">
        <v>0.77144000000000001</v>
      </c>
      <c r="S35" s="885">
        <v>0.22856000000000001</v>
      </c>
      <c r="T35" s="885">
        <v>0</v>
      </c>
      <c r="U35" s="890" t="s">
        <v>690</v>
      </c>
      <c r="X35" s="182">
        <f t="shared" si="36"/>
        <v>202210</v>
      </c>
      <c r="Y35" s="968">
        <f t="shared" si="37"/>
        <v>-2685910.9349339157</v>
      </c>
      <c r="Z35" s="968">
        <f t="shared" si="37"/>
        <v>0</v>
      </c>
      <c r="AA35" s="968">
        <f t="shared" si="37"/>
        <v>-2685910.9349339157</v>
      </c>
      <c r="AB35" s="968"/>
      <c r="AC35" s="968">
        <f t="shared" si="38"/>
        <v>806778.82</v>
      </c>
      <c r="AD35" s="968">
        <f t="shared" si="38"/>
        <v>5254838.247661829</v>
      </c>
      <c r="AE35" s="968">
        <f t="shared" si="38"/>
        <v>1420462.7866647393</v>
      </c>
      <c r="AF35" s="968">
        <f t="shared" si="38"/>
        <v>1293762.759367466</v>
      </c>
      <c r="AH35" s="968">
        <f t="shared" si="39"/>
        <v>6089931.6787601188</v>
      </c>
      <c r="AI35" s="960"/>
      <c r="CG35" s="477" t="str">
        <f>CG3</f>
        <v>Average - Twelve Months Ended June 30, 2023</v>
      </c>
      <c r="CQ35" s="873" t="s">
        <v>62</v>
      </c>
      <c r="CR35" s="873" t="s">
        <v>672</v>
      </c>
      <c r="CW35" s="478">
        <v>303110</v>
      </c>
      <c r="CX35" s="478" t="s">
        <v>723</v>
      </c>
      <c r="CY35" s="988">
        <f t="shared" si="29"/>
        <v>0</v>
      </c>
      <c r="CZ35" s="990">
        <v>0</v>
      </c>
      <c r="DA35" s="988">
        <f t="shared" si="30"/>
        <v>0</v>
      </c>
      <c r="DB35" s="988"/>
      <c r="DC35" s="988">
        <v>0</v>
      </c>
      <c r="DD35" s="988">
        <f t="shared" si="34"/>
        <v>0</v>
      </c>
      <c r="DE35" s="988">
        <f t="shared" si="31"/>
        <v>0</v>
      </c>
      <c r="DF35" s="988"/>
      <c r="DG35" s="988">
        <v>0</v>
      </c>
      <c r="DH35" s="988">
        <f t="shared" si="32"/>
        <v>0</v>
      </c>
      <c r="DI35" s="988">
        <f t="shared" si="33"/>
        <v>0</v>
      </c>
      <c r="DO35" s="989">
        <f>SUM(DO19:DO34)</f>
        <v>0</v>
      </c>
      <c r="DP35" s="989">
        <f>SUM(DP19:DP34)</f>
        <v>60997681</v>
      </c>
      <c r="DQ35" s="989">
        <f>SUM(DQ19:DQ34)</f>
        <v>60997681</v>
      </c>
      <c r="DR35" s="988"/>
      <c r="DS35" s="989">
        <f>SUM(DS19:DS34)</f>
        <v>0</v>
      </c>
      <c r="DT35" s="989">
        <f>SUM(DT19:DT34)</f>
        <v>43763396.210259989</v>
      </c>
      <c r="DU35" s="989">
        <f>SUM(DU19:DU34)</f>
        <v>43665036.749019995</v>
      </c>
      <c r="DV35" s="988"/>
      <c r="DW35" s="989">
        <f>SUM(DW19:DW34)</f>
        <v>0</v>
      </c>
      <c r="DX35" s="989">
        <f>SUM(DX19:DX34)</f>
        <v>17234284.789740004</v>
      </c>
      <c r="DY35" s="989">
        <f>SUM(DY19:DY34)</f>
        <v>17234284.789740004</v>
      </c>
    </row>
    <row r="36" spans="1:129">
      <c r="A36" s="477" t="s">
        <v>778</v>
      </c>
      <c r="C36" s="867">
        <v>12</v>
      </c>
      <c r="D36" s="891">
        <f>SUM(E36:F36)</f>
        <v>1</v>
      </c>
      <c r="E36" s="885">
        <v>0.71126</v>
      </c>
      <c r="F36" s="884">
        <f>1-E36</f>
        <v>0.28874</v>
      </c>
      <c r="X36" s="182">
        <f t="shared" si="36"/>
        <v>202211</v>
      </c>
      <c r="Y36" s="968">
        <f t="shared" si="37"/>
        <v>-2548173.5702073127</v>
      </c>
      <c r="Z36" s="968">
        <f t="shared" si="37"/>
        <v>0</v>
      </c>
      <c r="AA36" s="968">
        <f t="shared" si="37"/>
        <v>-2548173.5702073127</v>
      </c>
      <c r="AB36" s="968"/>
      <c r="AC36" s="968">
        <f t="shared" si="38"/>
        <v>804523.82</v>
      </c>
      <c r="AD36" s="968">
        <f t="shared" si="38"/>
        <v>5327838.9688580632</v>
      </c>
      <c r="AE36" s="968">
        <f t="shared" si="38"/>
        <v>1575995.8934812248</v>
      </c>
      <c r="AF36" s="968">
        <f t="shared" si="38"/>
        <v>1316042.909564212</v>
      </c>
      <c r="AH36" s="968">
        <f t="shared" si="39"/>
        <v>6476228.0216961876</v>
      </c>
      <c r="AI36" s="960"/>
      <c r="CQ36" s="477" t="s">
        <v>672</v>
      </c>
      <c r="CR36" s="979">
        <f>'G-1.01 DFIT'!DY8</f>
        <v>18089814</v>
      </c>
      <c r="CX36" s="478" t="s">
        <v>721</v>
      </c>
      <c r="CY36" s="988">
        <f t="shared" si="29"/>
        <v>0</v>
      </c>
      <c r="CZ36" s="990">
        <v>0</v>
      </c>
      <c r="DA36" s="988">
        <f t="shared" si="30"/>
        <v>0</v>
      </c>
      <c r="DB36" s="988"/>
      <c r="DC36" s="988">
        <v>0</v>
      </c>
      <c r="DD36" s="988">
        <f t="shared" si="34"/>
        <v>0</v>
      </c>
      <c r="DE36" s="988">
        <f t="shared" si="31"/>
        <v>0</v>
      </c>
      <c r="DF36" s="988"/>
      <c r="DG36" s="988">
        <v>0</v>
      </c>
      <c r="DH36" s="988">
        <f t="shared" si="32"/>
        <v>0</v>
      </c>
      <c r="DI36" s="988">
        <f t="shared" si="33"/>
        <v>0</v>
      </c>
      <c r="DO36" s="988"/>
      <c r="DP36" s="988"/>
      <c r="DQ36" s="988"/>
      <c r="DR36" s="988"/>
      <c r="DS36" s="988"/>
      <c r="DT36" s="988"/>
      <c r="DU36" s="988"/>
      <c r="DV36" s="988"/>
      <c r="DW36" s="988"/>
      <c r="DX36" s="988"/>
      <c r="DY36" s="988"/>
    </row>
    <row r="37" spans="1:129">
      <c r="A37" s="477" t="s">
        <v>777</v>
      </c>
      <c r="C37" s="867">
        <v>13</v>
      </c>
      <c r="D37" s="891">
        <f>SUM(E37:F37)</f>
        <v>1</v>
      </c>
      <c r="E37" s="885">
        <v>0.79508999999999996</v>
      </c>
      <c r="F37" s="884">
        <f>1-E37</f>
        <v>0.20491000000000004</v>
      </c>
      <c r="X37" s="182">
        <f t="shared" si="36"/>
        <v>202212</v>
      </c>
      <c r="Y37" s="968">
        <f t="shared" si="37"/>
        <v>-2227860.2054807097</v>
      </c>
      <c r="Z37" s="968">
        <f t="shared" si="37"/>
        <v>0</v>
      </c>
      <c r="AA37" s="968">
        <f t="shared" si="37"/>
        <v>-2227860.2054807097</v>
      </c>
      <c r="AB37" s="968"/>
      <c r="AC37" s="968">
        <f t="shared" si="38"/>
        <v>829328.82</v>
      </c>
      <c r="AD37" s="968">
        <f t="shared" si="38"/>
        <v>4519438.6900542378</v>
      </c>
      <c r="AE37" s="968">
        <f t="shared" si="38"/>
        <v>-585554.9997023046</v>
      </c>
      <c r="AF37" s="968">
        <f t="shared" si="38"/>
        <v>1201791.0597609654</v>
      </c>
      <c r="AH37" s="968">
        <f t="shared" si="39"/>
        <v>3737143.3646321888</v>
      </c>
      <c r="AI37" s="960"/>
      <c r="CG37" s="477" t="s">
        <v>674</v>
      </c>
      <c r="CQ37" s="477" t="s">
        <v>673</v>
      </c>
      <c r="CR37" s="981">
        <f>-'G-1.01 DFIT'!DX35</f>
        <v>-17234284.789740004</v>
      </c>
      <c r="CW37" s="478">
        <v>303115</v>
      </c>
      <c r="CX37" s="478" t="s">
        <v>723</v>
      </c>
      <c r="CY37" s="988">
        <f t="shared" si="29"/>
        <v>0</v>
      </c>
      <c r="CZ37" s="990">
        <v>68822259</v>
      </c>
      <c r="DA37" s="988">
        <f t="shared" si="30"/>
        <v>68822259</v>
      </c>
      <c r="DB37" s="988"/>
      <c r="DC37" s="988">
        <v>0</v>
      </c>
      <c r="DD37" s="988">
        <f t="shared" si="34"/>
        <v>46071684.842369996</v>
      </c>
      <c r="DE37" s="988">
        <f t="shared" si="31"/>
        <v>46071684.842369996</v>
      </c>
      <c r="DF37" s="988"/>
      <c r="DG37" s="988">
        <v>0</v>
      </c>
      <c r="DH37" s="988">
        <f t="shared" si="32"/>
        <v>22750574.157630004</v>
      </c>
      <c r="DI37" s="988">
        <f t="shared" si="33"/>
        <v>22750574.157630004</v>
      </c>
      <c r="DO37" s="988"/>
      <c r="DP37" s="988"/>
      <c r="DQ37" s="988"/>
      <c r="DR37" s="988"/>
      <c r="DS37" s="988"/>
      <c r="DT37" s="988"/>
      <c r="DU37" s="988"/>
      <c r="DV37" s="988"/>
      <c r="DW37" s="988"/>
      <c r="DX37" s="988"/>
      <c r="DY37" s="988"/>
    </row>
    <row r="38" spans="1:129">
      <c r="A38" s="511" t="s">
        <v>776</v>
      </c>
      <c r="B38" s="511"/>
      <c r="C38" s="511"/>
      <c r="D38" s="511"/>
      <c r="E38" s="511"/>
      <c r="F38" s="953"/>
      <c r="X38" s="182">
        <f t="shared" si="36"/>
        <v>202301</v>
      </c>
      <c r="Y38" s="968">
        <f t="shared" si="37"/>
        <v>-2276976.2725517601</v>
      </c>
      <c r="Z38" s="968">
        <f t="shared" si="37"/>
        <v>0</v>
      </c>
      <c r="AA38" s="968">
        <f t="shared" si="37"/>
        <v>-2276976.2725517601</v>
      </c>
      <c r="AB38" s="968"/>
      <c r="AC38" s="968">
        <f t="shared" si="38"/>
        <v>829328.82</v>
      </c>
      <c r="AD38" s="968">
        <f t="shared" si="38"/>
        <v>4590454.9672297835</v>
      </c>
      <c r="AE38" s="968">
        <f t="shared" si="38"/>
        <v>-514123.17266862094</v>
      </c>
      <c r="AF38" s="968">
        <f t="shared" si="38"/>
        <v>1185559.6988910437</v>
      </c>
      <c r="AH38" s="968">
        <f t="shared" si="39"/>
        <v>3814244.040900446</v>
      </c>
      <c r="AI38" s="960"/>
      <c r="CJ38" s="879" t="s">
        <v>81</v>
      </c>
      <c r="CK38" s="878" t="s">
        <v>672</v>
      </c>
      <c r="CL38" s="878" t="s">
        <v>785</v>
      </c>
      <c r="CM38" s="878" t="s">
        <v>45</v>
      </c>
      <c r="CN38" s="878" t="s">
        <v>654</v>
      </c>
      <c r="CO38" s="878" t="s">
        <v>82</v>
      </c>
      <c r="CQ38" s="477" t="s">
        <v>673</v>
      </c>
      <c r="CR38" s="979"/>
      <c r="CX38" s="478" t="s">
        <v>721</v>
      </c>
      <c r="CY38" s="988">
        <f t="shared" si="29"/>
        <v>0</v>
      </c>
      <c r="CZ38" s="990">
        <v>0</v>
      </c>
      <c r="DA38" s="988">
        <f t="shared" si="30"/>
        <v>0</v>
      </c>
      <c r="DB38" s="988"/>
      <c r="DC38" s="988">
        <v>0</v>
      </c>
      <c r="DD38" s="988">
        <f t="shared" si="34"/>
        <v>0</v>
      </c>
      <c r="DE38" s="988">
        <f t="shared" si="31"/>
        <v>0</v>
      </c>
      <c r="DF38" s="988"/>
      <c r="DG38" s="988">
        <v>0</v>
      </c>
      <c r="DH38" s="988">
        <f t="shared" si="32"/>
        <v>0</v>
      </c>
      <c r="DI38" s="988">
        <f t="shared" si="33"/>
        <v>0</v>
      </c>
      <c r="DM38" s="478" t="s">
        <v>794</v>
      </c>
      <c r="DO38" s="988"/>
      <c r="DP38" s="988"/>
      <c r="DQ38" s="988"/>
      <c r="DR38" s="988"/>
      <c r="DS38" s="988"/>
      <c r="DT38" s="988"/>
      <c r="DU38" s="988"/>
      <c r="DV38" s="988"/>
      <c r="DW38" s="988"/>
      <c r="DX38" s="988"/>
      <c r="DY38" s="988"/>
    </row>
    <row r="39" spans="1:129">
      <c r="A39" s="511"/>
      <c r="B39" s="511" t="s">
        <v>775</v>
      </c>
      <c r="C39" s="511"/>
      <c r="D39" s="954">
        <f>SUM(E39:F39)</f>
        <v>433956075</v>
      </c>
      <c r="E39" s="955">
        <v>281278889</v>
      </c>
      <c r="F39" s="955">
        <v>152677186</v>
      </c>
      <c r="X39" s="182">
        <f t="shared" si="36"/>
        <v>202302</v>
      </c>
      <c r="Y39" s="968">
        <f t="shared" si="37"/>
        <v>-2326092.3396227956</v>
      </c>
      <c r="Z39" s="968">
        <f t="shared" si="37"/>
        <v>0</v>
      </c>
      <c r="AA39" s="968">
        <f t="shared" si="37"/>
        <v>-2326092.3396227956</v>
      </c>
      <c r="AB39" s="968"/>
      <c r="AC39" s="968">
        <f t="shared" si="38"/>
        <v>829328.82</v>
      </c>
      <c r="AD39" s="968">
        <f t="shared" si="38"/>
        <v>4661471.2444053292</v>
      </c>
      <c r="AE39" s="968">
        <f t="shared" si="38"/>
        <v>-442691.34563493729</v>
      </c>
      <c r="AF39" s="968">
        <f t="shared" si="38"/>
        <v>1169328.3380211294</v>
      </c>
      <c r="AH39" s="968">
        <f t="shared" si="39"/>
        <v>3891344.7171687256</v>
      </c>
      <c r="AI39" s="960"/>
      <c r="CK39" s="877"/>
      <c r="CL39" s="877"/>
      <c r="CM39" s="877"/>
      <c r="CR39" s="979">
        <f>SUM(CR36:CR38)</f>
        <v>855529.21025999635</v>
      </c>
      <c r="CW39" s="478">
        <v>303120</v>
      </c>
      <c r="CX39" s="478" t="s">
        <v>723</v>
      </c>
      <c r="CY39" s="988">
        <f t="shared" si="29"/>
        <v>0</v>
      </c>
      <c r="CZ39" s="990">
        <v>20467720</v>
      </c>
      <c r="DA39" s="988">
        <f t="shared" si="30"/>
        <v>20467720</v>
      </c>
      <c r="DB39" s="988"/>
      <c r="DC39" s="988">
        <v>0</v>
      </c>
      <c r="DD39" s="988">
        <f t="shared" si="34"/>
        <v>13701705.7996</v>
      </c>
      <c r="DE39" s="988">
        <f t="shared" si="31"/>
        <v>13701705.7996</v>
      </c>
      <c r="DF39" s="988"/>
      <c r="DG39" s="988">
        <v>0</v>
      </c>
      <c r="DH39" s="988">
        <f t="shared" si="32"/>
        <v>6766014.2004000004</v>
      </c>
      <c r="DI39" s="988">
        <f t="shared" si="33"/>
        <v>6766014.2004000004</v>
      </c>
      <c r="DM39" s="478">
        <v>4</v>
      </c>
      <c r="DN39" s="478" t="s">
        <v>811</v>
      </c>
      <c r="DO39" s="988"/>
      <c r="DP39" s="988"/>
      <c r="DQ39" s="988"/>
      <c r="DR39" s="988"/>
      <c r="DS39" s="988"/>
      <c r="DT39" s="987">
        <v>0.71745999999999999</v>
      </c>
      <c r="DU39" s="988"/>
      <c r="DV39" s="988"/>
      <c r="DW39" s="988"/>
      <c r="DX39" s="986">
        <f>1-DT39</f>
        <v>0.28254000000000001</v>
      </c>
      <c r="DY39" s="988"/>
    </row>
    <row r="40" spans="1:129">
      <c r="A40" s="511"/>
      <c r="B40" s="511" t="s">
        <v>774</v>
      </c>
      <c r="C40" s="511"/>
      <c r="D40" s="956">
        <f>SUM(E40:F40)</f>
        <v>146236411</v>
      </c>
      <c r="E40" s="957">
        <v>97488810</v>
      </c>
      <c r="F40" s="957">
        <v>48747601</v>
      </c>
      <c r="N40" s="886"/>
      <c r="X40" s="182">
        <f t="shared" si="36"/>
        <v>202303</v>
      </c>
      <c r="Y40" s="968">
        <f t="shared" si="37"/>
        <v>-2375208.406693846</v>
      </c>
      <c r="Z40" s="968">
        <f t="shared" si="37"/>
        <v>0</v>
      </c>
      <c r="AA40" s="968">
        <f t="shared" si="37"/>
        <v>-2375208.406693846</v>
      </c>
      <c r="AB40" s="968"/>
      <c r="AC40" s="968">
        <f t="shared" si="38"/>
        <v>829328.82</v>
      </c>
      <c r="AD40" s="968">
        <f t="shared" si="38"/>
        <v>4732487.5215808153</v>
      </c>
      <c r="AE40" s="968">
        <f t="shared" si="38"/>
        <v>-371259.51860125363</v>
      </c>
      <c r="AF40" s="968">
        <f t="shared" si="38"/>
        <v>1153096.9771512076</v>
      </c>
      <c r="AH40" s="968">
        <f t="shared" si="39"/>
        <v>3968445.3934369232</v>
      </c>
      <c r="AI40" s="960"/>
      <c r="CG40" s="477" t="s">
        <v>790</v>
      </c>
      <c r="CI40" s="867" t="s">
        <v>655</v>
      </c>
      <c r="CJ40" s="866">
        <f>'G-1.01 DFIT'!F10</f>
        <v>-172173.37758</v>
      </c>
      <c r="CK40" s="866">
        <f>IF($CI40="I",$CJ40,0)</f>
        <v>-172173.37758</v>
      </c>
      <c r="CL40" s="866">
        <f t="shared" ref="CL40:CL45" si="40">IF($CI40="U",$CJ40,0)</f>
        <v>0</v>
      </c>
      <c r="CM40" s="866">
        <f t="shared" ref="CM40:CM45" si="41">IF($CI40="D",$CJ40,0)</f>
        <v>0</v>
      </c>
      <c r="CN40" s="866">
        <f>IF($CI40="O",$CJ40,0)</f>
        <v>0</v>
      </c>
      <c r="CX40" s="478" t="s">
        <v>721</v>
      </c>
      <c r="CY40" s="988">
        <f t="shared" si="29"/>
        <v>0</v>
      </c>
      <c r="CZ40" s="990">
        <v>0</v>
      </c>
      <c r="DA40" s="988">
        <f t="shared" si="30"/>
        <v>0</v>
      </c>
      <c r="DB40" s="988"/>
      <c r="DC40" s="988">
        <v>0</v>
      </c>
      <c r="DD40" s="988">
        <f t="shared" si="34"/>
        <v>0</v>
      </c>
      <c r="DE40" s="988">
        <f t="shared" si="31"/>
        <v>0</v>
      </c>
      <c r="DF40" s="988"/>
      <c r="DG40" s="988">
        <v>0</v>
      </c>
      <c r="DH40" s="988">
        <f t="shared" si="32"/>
        <v>0</v>
      </c>
      <c r="DI40" s="988">
        <f t="shared" si="33"/>
        <v>0</v>
      </c>
      <c r="DM40" s="478">
        <v>6</v>
      </c>
      <c r="DN40" s="478" t="s">
        <v>45</v>
      </c>
      <c r="DT40" s="987">
        <v>0.67044000000000004</v>
      </c>
      <c r="DX40" s="986">
        <f>1-DT40</f>
        <v>0.32955999999999996</v>
      </c>
    </row>
    <row r="41" spans="1:129">
      <c r="A41" s="511"/>
      <c r="B41" s="511" t="s">
        <v>773</v>
      </c>
      <c r="C41" s="511"/>
      <c r="D41" s="954">
        <f>SUM(D39:D40)</f>
        <v>580192486</v>
      </c>
      <c r="E41" s="954">
        <f>SUM(E39:E40)</f>
        <v>378767699</v>
      </c>
      <c r="F41" s="954">
        <f>SUM(F39:F40)</f>
        <v>201424787</v>
      </c>
      <c r="H41" s="477" t="s">
        <v>770</v>
      </c>
      <c r="N41" s="886"/>
      <c r="X41" s="182">
        <f t="shared" si="36"/>
        <v>202304</v>
      </c>
      <c r="Y41" s="968">
        <f t="shared" si="37"/>
        <v>-2424324.4737648964</v>
      </c>
      <c r="Z41" s="968">
        <f t="shared" si="37"/>
        <v>0</v>
      </c>
      <c r="AA41" s="968">
        <f t="shared" si="37"/>
        <v>-2424324.4737648964</v>
      </c>
      <c r="AB41" s="968"/>
      <c r="AC41" s="968">
        <f t="shared" si="38"/>
        <v>829328.82</v>
      </c>
      <c r="AD41" s="968">
        <f t="shared" si="38"/>
        <v>4803503.798756361</v>
      </c>
      <c r="AE41" s="968">
        <f t="shared" si="38"/>
        <v>-299827.69156756997</v>
      </c>
      <c r="AF41" s="968">
        <f t="shared" si="38"/>
        <v>1136865.6162812859</v>
      </c>
      <c r="AH41" s="968">
        <f t="shared" si="39"/>
        <v>4045546.0697051804</v>
      </c>
      <c r="AI41" s="960"/>
      <c r="CG41" s="477" t="s">
        <v>785</v>
      </c>
      <c r="CI41" s="867" t="s">
        <v>789</v>
      </c>
      <c r="CJ41" s="866">
        <f>'G-1.01 DFIT'!F11</f>
        <v>-1514374.76</v>
      </c>
      <c r="CK41" s="866">
        <f>IF($CI41="I",$CJ41,0)</f>
        <v>0</v>
      </c>
      <c r="CL41" s="866">
        <f t="shared" si="40"/>
        <v>-1514374.76</v>
      </c>
      <c r="CM41" s="866">
        <f t="shared" si="41"/>
        <v>0</v>
      </c>
      <c r="CN41" s="866">
        <f>IF($CI41="O",$CJ41,0)</f>
        <v>0</v>
      </c>
      <c r="CQ41" s="873" t="s">
        <v>62</v>
      </c>
      <c r="CR41" s="873" t="s">
        <v>785</v>
      </c>
      <c r="CW41" s="478">
        <v>303121</v>
      </c>
      <c r="CX41" s="478" t="s">
        <v>723</v>
      </c>
      <c r="CY41" s="988">
        <f t="shared" si="29"/>
        <v>0</v>
      </c>
      <c r="CZ41" s="990">
        <v>58365</v>
      </c>
      <c r="DA41" s="988">
        <f t="shared" si="30"/>
        <v>58365</v>
      </c>
      <c r="DB41" s="988"/>
      <c r="DC41" s="988">
        <v>0</v>
      </c>
      <c r="DD41" s="988">
        <f t="shared" si="34"/>
        <v>39071.281949999997</v>
      </c>
      <c r="DE41" s="988">
        <f t="shared" si="31"/>
        <v>39071.281949999997</v>
      </c>
      <c r="DF41" s="988"/>
      <c r="DG41" s="988">
        <v>0</v>
      </c>
      <c r="DH41" s="988">
        <f t="shared" si="32"/>
        <v>19293.718050000003</v>
      </c>
      <c r="DI41" s="988">
        <f t="shared" si="33"/>
        <v>19293.718050000003</v>
      </c>
    </row>
    <row r="42" spans="1:129">
      <c r="A42" s="511"/>
      <c r="B42" s="511" t="s">
        <v>772</v>
      </c>
      <c r="C42" s="958" t="s">
        <v>771</v>
      </c>
      <c r="D42" s="884">
        <f>SUM(E42:F42)</f>
        <v>1</v>
      </c>
      <c r="E42" s="884">
        <f>E41/D41</f>
        <v>0.6528311002635081</v>
      </c>
      <c r="F42" s="884">
        <f>F41/D41</f>
        <v>0.34716889973649195</v>
      </c>
      <c r="H42" s="477" t="s">
        <v>770</v>
      </c>
      <c r="N42" s="886"/>
      <c r="X42" s="182">
        <f t="shared" si="36"/>
        <v>202305</v>
      </c>
      <c r="Y42" s="968">
        <f t="shared" si="37"/>
        <v>-2473440.5408359319</v>
      </c>
      <c r="Z42" s="968">
        <f t="shared" si="37"/>
        <v>0</v>
      </c>
      <c r="AA42" s="968">
        <f t="shared" si="37"/>
        <v>-2473440.5408359319</v>
      </c>
      <c r="AB42" s="968"/>
      <c r="AC42" s="968">
        <f t="shared" si="38"/>
        <v>829328.82</v>
      </c>
      <c r="AD42" s="968">
        <f t="shared" si="38"/>
        <v>4874520.0759319067</v>
      </c>
      <c r="AE42" s="968">
        <f t="shared" si="38"/>
        <v>-228395.86453388631</v>
      </c>
      <c r="AF42" s="968">
        <f t="shared" si="38"/>
        <v>1120634.2554113716</v>
      </c>
      <c r="AH42" s="968">
        <f t="shared" si="39"/>
        <v>4122646.7459734599</v>
      </c>
      <c r="AI42" s="960"/>
      <c r="CG42" s="477" t="s">
        <v>45</v>
      </c>
      <c r="CI42" s="867" t="s">
        <v>670</v>
      </c>
      <c r="CJ42" s="866">
        <f>'G-1.01 DFIT'!F12</f>
        <v>-26166924.482280001</v>
      </c>
      <c r="CK42" s="866">
        <f>IF($CI42="I",$CJ42,0)</f>
        <v>0</v>
      </c>
      <c r="CL42" s="866">
        <f t="shared" si="40"/>
        <v>0</v>
      </c>
      <c r="CM42" s="866">
        <f t="shared" si="41"/>
        <v>-26166924.482280001</v>
      </c>
      <c r="CN42" s="866">
        <f>IF($CI42="O",$CJ42,0)</f>
        <v>0</v>
      </c>
      <c r="CQ42" s="477" t="s">
        <v>785</v>
      </c>
      <c r="CR42" s="979">
        <f>'G-1.01 DFIT'!DY10</f>
        <v>15862492</v>
      </c>
      <c r="CX42" s="478" t="s">
        <v>721</v>
      </c>
      <c r="CY42" s="988">
        <f t="shared" si="29"/>
        <v>0</v>
      </c>
      <c r="CZ42" s="990">
        <v>0</v>
      </c>
      <c r="DA42" s="988">
        <f t="shared" si="30"/>
        <v>0</v>
      </c>
      <c r="DB42" s="988"/>
      <c r="DC42" s="988">
        <v>0</v>
      </c>
      <c r="DD42" s="988">
        <f t="shared" si="34"/>
        <v>0</v>
      </c>
      <c r="DE42" s="988">
        <f t="shared" si="31"/>
        <v>0</v>
      </c>
      <c r="DF42" s="988"/>
      <c r="DG42" s="988">
        <v>0</v>
      </c>
      <c r="DH42" s="988">
        <f t="shared" si="32"/>
        <v>0</v>
      </c>
      <c r="DI42" s="988">
        <f t="shared" si="33"/>
        <v>0</v>
      </c>
    </row>
    <row r="43" spans="1:129">
      <c r="A43" s="477" t="s">
        <v>686</v>
      </c>
      <c r="C43" s="867" t="s">
        <v>670</v>
      </c>
      <c r="H43" s="477" t="s">
        <v>769</v>
      </c>
      <c r="X43" s="182">
        <f t="shared" si="36"/>
        <v>202306</v>
      </c>
      <c r="Y43" s="968">
        <f t="shared" si="37"/>
        <v>-2522556.6079069823</v>
      </c>
      <c r="Z43" s="968">
        <f t="shared" si="37"/>
        <v>0</v>
      </c>
      <c r="AA43" s="969">
        <f t="shared" si="37"/>
        <v>-2522556.6079069823</v>
      </c>
      <c r="AB43" s="968"/>
      <c r="AC43" s="968">
        <f t="shared" si="38"/>
        <v>829328.82</v>
      </c>
      <c r="AD43" s="968">
        <f t="shared" si="38"/>
        <v>4945536.3531074524</v>
      </c>
      <c r="AE43" s="968">
        <f t="shared" si="38"/>
        <v>-156964.03750020266</v>
      </c>
      <c r="AF43" s="968">
        <f t="shared" si="38"/>
        <v>1104402.8945414498</v>
      </c>
      <c r="AH43" s="969">
        <f t="shared" si="39"/>
        <v>4199747.4222417176</v>
      </c>
      <c r="AI43" s="968"/>
      <c r="CG43" s="477" t="s">
        <v>669</v>
      </c>
      <c r="CI43" s="867" t="s">
        <v>657</v>
      </c>
      <c r="CJ43" s="866">
        <f>'G-1.01 DFIT'!F13</f>
        <v>-1183458.3197300001</v>
      </c>
      <c r="CK43" s="866">
        <f>IF($CI43="I",$CJ43,0)</f>
        <v>0</v>
      </c>
      <c r="CL43" s="866">
        <f t="shared" si="40"/>
        <v>0</v>
      </c>
      <c r="CM43" s="866">
        <f t="shared" si="41"/>
        <v>0</v>
      </c>
      <c r="CN43" s="866">
        <f>IF($CI43="O",$CJ43,0)</f>
        <v>-1183458.3197300001</v>
      </c>
      <c r="CR43" s="979"/>
      <c r="CW43" s="478" t="s">
        <v>795</v>
      </c>
      <c r="CX43" s="478" t="s">
        <v>723</v>
      </c>
      <c r="CY43" s="988">
        <f t="shared" si="29"/>
        <v>0</v>
      </c>
      <c r="CZ43" s="990">
        <v>9344414</v>
      </c>
      <c r="DA43" s="988">
        <f t="shared" si="30"/>
        <v>9344414</v>
      </c>
      <c r="DB43" s="988"/>
      <c r="DC43" s="988">
        <v>0</v>
      </c>
      <c r="DD43" s="988">
        <f t="shared" si="34"/>
        <v>6255431.0640199995</v>
      </c>
      <c r="DE43" s="988">
        <f t="shared" si="31"/>
        <v>6255431.0640199995</v>
      </c>
      <c r="DF43" s="988"/>
      <c r="DG43" s="988">
        <v>0</v>
      </c>
      <c r="DH43" s="988">
        <f t="shared" si="32"/>
        <v>3088982.9359800005</v>
      </c>
      <c r="DI43" s="988">
        <f t="shared" si="33"/>
        <v>3088982.9359800005</v>
      </c>
    </row>
    <row r="44" spans="1:129">
      <c r="Y44" s="967"/>
      <c r="Z44" s="967"/>
      <c r="AA44" s="960"/>
      <c r="AB44" s="960"/>
      <c r="AC44" s="967"/>
      <c r="AD44" s="967"/>
      <c r="AE44" s="967"/>
      <c r="AF44" s="967"/>
      <c r="AH44" s="960"/>
      <c r="AI44" s="960"/>
      <c r="CG44" s="477" t="s">
        <v>668</v>
      </c>
      <c r="CI44" s="867" t="s">
        <v>657</v>
      </c>
      <c r="CJ44" s="866">
        <f>'G-1.01 DFIT'!F15</f>
        <v>-4436536.3759452803</v>
      </c>
      <c r="CK44" s="866">
        <f>CJ44*CT55</f>
        <v>-1556385.7519906098</v>
      </c>
      <c r="CL44" s="866">
        <f t="shared" si="40"/>
        <v>0</v>
      </c>
      <c r="CM44" s="866">
        <f t="shared" si="41"/>
        <v>0</v>
      </c>
      <c r="CN44" s="866">
        <f>CJ44*CT54</f>
        <v>-2880150.623954671</v>
      </c>
      <c r="CO44" s="866">
        <f>CJ44-CK44-CL44-CM44-CN44</f>
        <v>0</v>
      </c>
      <c r="CR44" s="981"/>
      <c r="CX44" s="478" t="s">
        <v>721</v>
      </c>
      <c r="CY44" s="988">
        <f t="shared" si="29"/>
        <v>0</v>
      </c>
      <c r="CZ44" s="990">
        <v>0</v>
      </c>
      <c r="DA44" s="988">
        <f t="shared" si="30"/>
        <v>0</v>
      </c>
      <c r="DB44" s="988"/>
      <c r="DC44" s="988">
        <v>0</v>
      </c>
      <c r="DD44" s="988">
        <f t="shared" si="34"/>
        <v>0</v>
      </c>
      <c r="DE44" s="988">
        <f t="shared" si="31"/>
        <v>0</v>
      </c>
      <c r="DF44" s="988"/>
      <c r="DG44" s="988">
        <v>0</v>
      </c>
      <c r="DH44" s="988">
        <f t="shared" si="32"/>
        <v>0</v>
      </c>
      <c r="DI44" s="988">
        <f t="shared" si="33"/>
        <v>0</v>
      </c>
    </row>
    <row r="45" spans="1:129" ht="13.5" thickBot="1">
      <c r="A45" s="883" t="s">
        <v>768</v>
      </c>
      <c r="X45" s="477" t="s">
        <v>663</v>
      </c>
      <c r="Y45" s="961">
        <f>(((Y31+Y43)/2)+(Y32+Y33+Y34+Y35+Y36+Y37+Y38+Y39+Y40+Y41+Y42))/12</f>
        <v>-2509724.3531771856</v>
      </c>
      <c r="Z45" s="961">
        <f>(((Z31+Z43)/2)+(Z32+Z33+Z34+Z35+Z36+Z37+Z38+Z39+Z40+Z41+Z42))/12</f>
        <v>0</v>
      </c>
      <c r="AA45" s="961">
        <f>SUM(Y45:Z45)</f>
        <v>-2509724.3531771856</v>
      </c>
      <c r="AB45" s="960"/>
      <c r="AC45" s="961">
        <f>(((AC31+AC43)/2)+(AC32+AC33+AC34+AC35+AC36+AC37+AC38+AC39+AC40+AC41+AC42))/12</f>
        <v>826966.73666666681</v>
      </c>
      <c r="AD45" s="961">
        <f>(((AD31+AD43)/2)+(AD32+AD33+AD34+AD35+AD36+AD37+AD38+AD39+AD40+AD41+AD42))/12</f>
        <v>3861594.5656899214</v>
      </c>
      <c r="AE45" s="961">
        <f>(((AE31+AE43)/2)+(AE32+AE33+AE34+AE35+AE36+AE37+AE38+AE39+AE40+AE41+AE42))/12</f>
        <v>526113.87229017541</v>
      </c>
      <c r="AF45" s="961">
        <f>(((AF31+AF43)/2)+(AF32+AF33+AF34+AF35+AF36+AF37+AF38+AF39+AF40+AF41+AF42))/12</f>
        <v>1335900.5431609631</v>
      </c>
      <c r="AG45" s="960"/>
      <c r="AH45" s="961">
        <f>SUM(AA45:AF45)</f>
        <v>4040851.3646305408</v>
      </c>
      <c r="AI45" s="960"/>
      <c r="CG45" s="477" t="s">
        <v>667</v>
      </c>
      <c r="CI45" s="867" t="s">
        <v>657</v>
      </c>
      <c r="CJ45" s="876">
        <f>'G-1.01 DFIT'!F16</f>
        <v>0</v>
      </c>
      <c r="CK45" s="876">
        <f>CJ45*CT55</f>
        <v>0</v>
      </c>
      <c r="CL45" s="876">
        <f t="shared" si="40"/>
        <v>0</v>
      </c>
      <c r="CM45" s="876">
        <f t="shared" si="41"/>
        <v>0</v>
      </c>
      <c r="CN45" s="876">
        <f>CJ45*CT54</f>
        <v>0</v>
      </c>
      <c r="CO45" s="866">
        <f>CJ45-CK45-CL45-CM45-CN45</f>
        <v>0</v>
      </c>
      <c r="CR45" s="979">
        <f>SUM(CR42:CR44)</f>
        <v>15862492</v>
      </c>
      <c r="CY45" s="989">
        <f>SUM(CY29:CY44)</f>
        <v>0</v>
      </c>
      <c r="CZ45" s="989">
        <f>SUM(CZ29:CZ44)</f>
        <v>206520629</v>
      </c>
      <c r="DA45" s="989">
        <f>SUM(DA29:DA44)</f>
        <v>206520629</v>
      </c>
      <c r="DB45" s="988"/>
      <c r="DC45" s="989">
        <f>SUM(DC29:DC44)</f>
        <v>0</v>
      </c>
      <c r="DD45" s="989">
        <f>SUM(DD29:DD44)</f>
        <v>138140160.85445002</v>
      </c>
      <c r="DE45" s="989">
        <f>SUM(DE29:DE44)</f>
        <v>138140160.85445002</v>
      </c>
      <c r="DF45" s="988"/>
      <c r="DG45" s="989">
        <f>SUM(DG29:DG44)</f>
        <v>0</v>
      </c>
      <c r="DH45" s="989">
        <f>SUM(DH29:DH44)</f>
        <v>68380468.145550013</v>
      </c>
      <c r="DI45" s="989">
        <f>SUM(DI29:DI44)</f>
        <v>68380468.145550013</v>
      </c>
    </row>
    <row r="46" spans="1:129">
      <c r="A46" s="883" t="s">
        <v>767</v>
      </c>
      <c r="Y46" s="960"/>
      <c r="Z46" s="960"/>
      <c r="AA46" s="960"/>
      <c r="AB46" s="960"/>
      <c r="AC46" s="960"/>
      <c r="AD46" s="960"/>
      <c r="AE46" s="960"/>
      <c r="AF46" s="960"/>
      <c r="AG46" s="960"/>
      <c r="AH46" s="962"/>
      <c r="AI46" s="960"/>
      <c r="CG46" s="477" t="s">
        <v>666</v>
      </c>
      <c r="CI46" s="867"/>
      <c r="CJ46" s="866">
        <f>SUM(CJ40:CJ45)</f>
        <v>-33473467.315535281</v>
      </c>
      <c r="CK46" s="866">
        <f>SUM(CK40:CK45)</f>
        <v>-1728559.1295706099</v>
      </c>
      <c r="CL46" s="866">
        <f>SUM(CL40:CL45)</f>
        <v>-1514374.76</v>
      </c>
      <c r="CM46" s="866">
        <f>SUM(CM40:CM45)</f>
        <v>-26166924.482280001</v>
      </c>
      <c r="CN46" s="866">
        <f>SUM(CN40:CN45)</f>
        <v>-4063608.9436846711</v>
      </c>
      <c r="CR46" s="979"/>
      <c r="CT46" s="873"/>
      <c r="CY46" s="988"/>
      <c r="CZ46" s="988"/>
      <c r="DA46" s="988"/>
      <c r="DB46" s="988"/>
      <c r="DC46" s="988"/>
      <c r="DD46" s="988"/>
      <c r="DE46" s="988"/>
      <c r="DF46" s="988"/>
      <c r="DG46" s="988"/>
      <c r="DH46" s="988"/>
      <c r="DI46" s="988"/>
    </row>
    <row r="47" spans="1:129" ht="13.5" thickBot="1">
      <c r="X47" s="477" t="s">
        <v>660</v>
      </c>
      <c r="Y47" s="961">
        <f>Y43</f>
        <v>-2522556.6079069823</v>
      </c>
      <c r="Z47" s="961">
        <f>Z43</f>
        <v>0</v>
      </c>
      <c r="AA47" s="961">
        <f>AA43</f>
        <v>-2522556.6079069823</v>
      </c>
      <c r="AB47" s="960"/>
      <c r="AC47" s="961">
        <f>AC43</f>
        <v>829328.82</v>
      </c>
      <c r="AD47" s="961">
        <f>AD43</f>
        <v>4945536.3531074524</v>
      </c>
      <c r="AE47" s="961">
        <f>AE43</f>
        <v>-156964.03750020266</v>
      </c>
      <c r="AF47" s="961">
        <f>AF43</f>
        <v>1104402.8945414498</v>
      </c>
      <c r="AG47" s="960"/>
      <c r="AH47" s="961">
        <f>SUM(AA47:AF47)</f>
        <v>4199747.4222417176</v>
      </c>
      <c r="AI47" s="960"/>
      <c r="CI47" s="867"/>
      <c r="CJ47" s="866"/>
      <c r="CK47" s="866"/>
      <c r="CL47" s="866"/>
      <c r="CM47" s="866"/>
      <c r="CN47" s="866"/>
      <c r="CQ47" s="982"/>
      <c r="CT47" s="982"/>
      <c r="CY47" s="988"/>
      <c r="CZ47" s="988"/>
      <c r="DA47" s="988"/>
      <c r="DB47" s="988"/>
      <c r="DC47" s="988"/>
      <c r="DD47" s="988"/>
      <c r="DE47" s="988"/>
      <c r="DF47" s="988"/>
      <c r="DG47" s="988"/>
      <c r="DH47" s="988"/>
      <c r="DI47" s="988"/>
    </row>
    <row r="48" spans="1:129">
      <c r="AB48" s="882"/>
      <c r="AC48" s="882"/>
      <c r="CI48" s="867"/>
      <c r="CJ48" s="866"/>
      <c r="CK48" s="866"/>
      <c r="CL48" s="866"/>
      <c r="CM48" s="866"/>
      <c r="CN48" s="866"/>
      <c r="CR48" s="979"/>
      <c r="CT48" s="982"/>
      <c r="CW48" s="478" t="s">
        <v>794</v>
      </c>
      <c r="CY48" s="988"/>
      <c r="CZ48" s="988"/>
      <c r="DA48" s="988"/>
      <c r="DB48" s="988"/>
      <c r="DC48" s="988"/>
      <c r="DD48" s="988"/>
      <c r="DE48" s="988"/>
      <c r="DF48" s="988"/>
      <c r="DG48" s="988"/>
      <c r="DH48" s="988"/>
      <c r="DI48" s="988"/>
    </row>
    <row r="49" spans="24:113">
      <c r="X49" s="966" t="s">
        <v>684</v>
      </c>
      <c r="AB49" s="882"/>
      <c r="AC49" s="882"/>
      <c r="CG49" s="477" t="s">
        <v>653</v>
      </c>
      <c r="CH49" s="182" t="s">
        <v>652</v>
      </c>
      <c r="CI49" s="867"/>
      <c r="CJ49" s="866">
        <f>'G-1.01 DFIT'!F21</f>
        <v>-80030.217009254455</v>
      </c>
      <c r="CK49" s="866">
        <f>ROUND($CJ$49*CK57,0)</f>
        <v>-187</v>
      </c>
      <c r="CL49" s="866">
        <f>ROUND($CJ$49*CL57,0)</f>
        <v>-3467</v>
      </c>
      <c r="CM49" s="866">
        <f>ROUND($CJ$49*CM57,0)</f>
        <v>-65640</v>
      </c>
      <c r="CN49" s="866">
        <f>ROUND($CJ$49*CN57,0)</f>
        <v>-10737</v>
      </c>
      <c r="CO49" s="866">
        <f>CJ49-CK49-CL49-CM49-CN49</f>
        <v>0.7829907455452485</v>
      </c>
      <c r="CT49" s="982"/>
      <c r="CW49" s="478">
        <v>1</v>
      </c>
      <c r="CX49" s="478">
        <v>303000</v>
      </c>
      <c r="CY49" s="988"/>
      <c r="CZ49" s="988"/>
      <c r="DA49" s="988"/>
      <c r="DB49" s="988"/>
      <c r="DC49" s="988"/>
      <c r="DD49" s="987">
        <v>0.64400000000000002</v>
      </c>
      <c r="DE49" s="988"/>
      <c r="DF49" s="988"/>
      <c r="DG49" s="988"/>
      <c r="DH49" s="986">
        <v>0.35599999999999998</v>
      </c>
      <c r="DI49" s="988"/>
    </row>
    <row r="50" spans="24:113">
      <c r="X50" s="867"/>
      <c r="Y50" s="867">
        <v>282900</v>
      </c>
      <c r="Z50" s="867">
        <v>283000</v>
      </c>
      <c r="AA50" s="867" t="s">
        <v>24</v>
      </c>
      <c r="AB50" s="867"/>
      <c r="AC50" s="867">
        <v>282900</v>
      </c>
      <c r="AD50" s="867">
        <v>282900</v>
      </c>
      <c r="AE50" s="867">
        <v>282900</v>
      </c>
      <c r="AF50" s="867">
        <v>282900</v>
      </c>
      <c r="AG50" s="867"/>
      <c r="AH50" s="867"/>
      <c r="AI50" s="867">
        <v>282900</v>
      </c>
      <c r="CG50" s="477" t="str">
        <f>'G-1.01 DFIT'!A19</f>
        <v>ADFIT-Plant - AFUDC Equity</v>
      </c>
      <c r="CH50" s="182"/>
      <c r="CI50" s="867" t="s">
        <v>657</v>
      </c>
      <c r="CJ50" s="866">
        <f>'G-1.01 DFIT'!F19</f>
        <v>0</v>
      </c>
      <c r="CK50" s="866"/>
      <c r="CL50" s="866"/>
      <c r="CM50" s="866"/>
      <c r="CN50" s="866">
        <f>IF($CI50="O",$CJ50,0)</f>
        <v>0</v>
      </c>
      <c r="CQ50" s="873" t="s">
        <v>62</v>
      </c>
      <c r="CR50" s="873" t="s">
        <v>45</v>
      </c>
      <c r="CT50" s="982"/>
      <c r="CW50" s="478">
        <v>4</v>
      </c>
      <c r="CX50" s="69" t="s">
        <v>793</v>
      </c>
      <c r="DD50" s="987">
        <v>0.66942999999999997</v>
      </c>
      <c r="DH50" s="986">
        <v>0.33057000000000003</v>
      </c>
    </row>
    <row r="51" spans="24:113">
      <c r="Y51" s="867" t="s">
        <v>682</v>
      </c>
      <c r="Z51" s="867" t="s">
        <v>682</v>
      </c>
      <c r="AA51" s="867" t="s">
        <v>682</v>
      </c>
      <c r="AB51" s="867"/>
      <c r="AC51" s="867" t="s">
        <v>682</v>
      </c>
      <c r="AD51" s="867" t="s">
        <v>681</v>
      </c>
      <c r="AE51" s="867" t="s">
        <v>680</v>
      </c>
      <c r="AF51" s="867" t="s">
        <v>680</v>
      </c>
      <c r="AI51" s="867" t="s">
        <v>675</v>
      </c>
      <c r="CG51" s="477" t="s">
        <v>656</v>
      </c>
      <c r="CH51" s="182"/>
      <c r="CI51" s="867" t="s">
        <v>655</v>
      </c>
      <c r="CJ51" s="866">
        <f>'G-1.01 DFIT'!F20</f>
        <v>11493.844965205448</v>
      </c>
      <c r="CK51" s="866">
        <f>CJ51</f>
        <v>11493.844965205448</v>
      </c>
      <c r="CL51" s="866"/>
      <c r="CM51" s="866"/>
      <c r="CN51" s="866"/>
      <c r="CQ51" s="874" t="s">
        <v>658</v>
      </c>
      <c r="CR51" s="979">
        <f>'G-1.01 DFIT'!DY11</f>
        <v>300337431</v>
      </c>
      <c r="CT51" s="982"/>
    </row>
    <row r="52" spans="24:113">
      <c r="X52" s="880" t="s">
        <v>679</v>
      </c>
      <c r="Y52" s="879" t="s">
        <v>678</v>
      </c>
      <c r="Z52" s="879" t="s">
        <v>678</v>
      </c>
      <c r="AA52" s="879" t="s">
        <v>678</v>
      </c>
      <c r="AB52" s="867"/>
      <c r="AC52" s="879" t="s">
        <v>677</v>
      </c>
      <c r="AD52" s="879" t="s">
        <v>677</v>
      </c>
      <c r="AE52" s="879" t="s">
        <v>677</v>
      </c>
      <c r="AF52" s="879" t="s">
        <v>676</v>
      </c>
      <c r="AG52" s="880"/>
      <c r="AH52" s="879" t="s">
        <v>198</v>
      </c>
      <c r="AI52" s="879" t="s">
        <v>675</v>
      </c>
      <c r="CG52" s="477" t="s">
        <v>651</v>
      </c>
      <c r="CJ52" s="872">
        <f>SUM(CJ49:CJ51)</f>
        <v>-68536.372044049</v>
      </c>
      <c r="CK52" s="872">
        <f>SUM(CK49:CK51)</f>
        <v>11306.844965205448</v>
      </c>
      <c r="CL52" s="872">
        <f>SUM(CL49:CL51)</f>
        <v>-3467</v>
      </c>
      <c r="CM52" s="872">
        <f>SUM(CM49:CM51)</f>
        <v>-65640</v>
      </c>
      <c r="CN52" s="872">
        <f>SUM(CN49:CN51)</f>
        <v>-10737</v>
      </c>
      <c r="CO52" s="866">
        <f>CJ54-CK54-CL54-CM54-CN54</f>
        <v>0.78299074620008469</v>
      </c>
      <c r="CT52" s="982"/>
      <c r="DA52" s="985"/>
    </row>
    <row r="53" spans="24:113">
      <c r="X53" s="182">
        <f t="shared" ref="X53:X65" si="42">X31</f>
        <v>202206</v>
      </c>
      <c r="Y53" s="960">
        <v>-79001699.933840349</v>
      </c>
      <c r="Z53" s="960">
        <v>0</v>
      </c>
      <c r="AA53" s="960">
        <f t="shared" ref="AA53:AA65" si="43">SUM(Y53:Z53)</f>
        <v>-79001699.933840349</v>
      </c>
      <c r="AB53" s="960"/>
      <c r="AC53" s="960">
        <v>0</v>
      </c>
      <c r="AD53" s="960">
        <v>-533182766.11712289</v>
      </c>
      <c r="AE53" s="960">
        <v>-101873341.86060116</v>
      </c>
      <c r="AF53" s="960">
        <v>-59062709.751419522</v>
      </c>
      <c r="AH53" s="960">
        <f t="shared" ref="AH53:AH65" si="44">SUM(AA53:AF53)</f>
        <v>-773120517.66298401</v>
      </c>
      <c r="AI53" s="960"/>
      <c r="AL53" s="867" t="s">
        <v>82</v>
      </c>
      <c r="CJ53" s="866"/>
      <c r="CQ53" s="873" t="s">
        <v>62</v>
      </c>
      <c r="CR53" s="873" t="s">
        <v>654</v>
      </c>
    </row>
    <row r="54" spans="24:113" ht="13.5" thickBot="1">
      <c r="X54" s="182">
        <f t="shared" si="42"/>
        <v>202207</v>
      </c>
      <c r="Y54" s="960">
        <v>-78436505.569113746</v>
      </c>
      <c r="Z54" s="960">
        <v>0</v>
      </c>
      <c r="AA54" s="960">
        <f t="shared" si="43"/>
        <v>-78436505.569113746</v>
      </c>
      <c r="AB54" s="960"/>
      <c r="AC54" s="960">
        <v>0</v>
      </c>
      <c r="AD54" s="960">
        <v>-533204357.39592671</v>
      </c>
      <c r="AE54" s="960">
        <v>-101847554.75378467</v>
      </c>
      <c r="AF54" s="960">
        <v>-59130808.601222776</v>
      </c>
      <c r="AH54" s="960">
        <f t="shared" si="44"/>
        <v>-772619226.32004786</v>
      </c>
      <c r="AI54" s="960"/>
      <c r="AK54" s="875">
        <f t="shared" ref="AK54:AK65" si="45">AH54-AH53</f>
        <v>501291.34293615818</v>
      </c>
      <c r="AL54" s="875">
        <f t="shared" ref="AL54:AL59" si="46">$AN$4</f>
        <v>501291.31005000073</v>
      </c>
      <c r="AN54" s="875"/>
      <c r="CG54" s="477" t="s">
        <v>649</v>
      </c>
      <c r="CJ54" s="869">
        <f>SUM(CJ46,CJ52)</f>
        <v>-33542003.68757933</v>
      </c>
      <c r="CK54" s="869">
        <f>SUM(CK46,CK52)</f>
        <v>-1717252.2846054044</v>
      </c>
      <c r="CL54" s="869">
        <f>SUM(CL46,CL52)</f>
        <v>-1517841.76</v>
      </c>
      <c r="CM54" s="869">
        <f>SUM(CM46,CM52)</f>
        <v>-26232564.482280001</v>
      </c>
      <c r="CN54" s="869">
        <f>SUM(CN46,CN52)</f>
        <v>-4074345.9436846711</v>
      </c>
      <c r="CQ54" s="477" t="s">
        <v>344</v>
      </c>
      <c r="CR54" s="979">
        <f>'G-1.01 DFIT'!DY12</f>
        <v>31892695</v>
      </c>
      <c r="CT54" s="870">
        <f>CR54/CR56</f>
        <v>0.64918900238725197</v>
      </c>
    </row>
    <row r="55" spans="24:113" ht="13.5" thickTop="1">
      <c r="X55" s="182">
        <f t="shared" si="42"/>
        <v>202208</v>
      </c>
      <c r="Y55" s="960">
        <v>-77871311.204387143</v>
      </c>
      <c r="Z55" s="960">
        <v>0</v>
      </c>
      <c r="AA55" s="960">
        <f t="shared" si="43"/>
        <v>-77871311.204387143</v>
      </c>
      <c r="AB55" s="960"/>
      <c r="AC55" s="960">
        <v>0</v>
      </c>
      <c r="AD55" s="960">
        <v>-533225948.67473054</v>
      </c>
      <c r="AE55" s="960">
        <v>-101821767.6469682</v>
      </c>
      <c r="AF55" s="960">
        <v>-59198907.451026022</v>
      </c>
      <c r="AH55" s="960">
        <f t="shared" si="44"/>
        <v>-772117934.97711205</v>
      </c>
      <c r="AI55" s="960"/>
      <c r="AK55" s="875">
        <f t="shared" si="45"/>
        <v>501291.34293580055</v>
      </c>
      <c r="AL55" s="875">
        <f t="shared" si="46"/>
        <v>501291.31005000073</v>
      </c>
      <c r="AN55" s="875"/>
      <c r="CQ55" s="477" t="s">
        <v>650</v>
      </c>
      <c r="CR55" s="981">
        <f>-CR37</f>
        <v>17234284.789740004</v>
      </c>
      <c r="CT55" s="870">
        <f>CR55/CR56</f>
        <v>0.35081099761274809</v>
      </c>
    </row>
    <row r="56" spans="24:113">
      <c r="X56" s="182">
        <f t="shared" si="42"/>
        <v>202209</v>
      </c>
      <c r="Y56" s="960">
        <v>-77306116.839660525</v>
      </c>
      <c r="Z56" s="960">
        <v>0</v>
      </c>
      <c r="AA56" s="960">
        <f t="shared" si="43"/>
        <v>-77306116.839660525</v>
      </c>
      <c r="AB56" s="960"/>
      <c r="AC56" s="960">
        <v>0</v>
      </c>
      <c r="AD56" s="960">
        <v>-533247539.95353436</v>
      </c>
      <c r="AE56" s="960">
        <v>-101795980.54015173</v>
      </c>
      <c r="AF56" s="960">
        <v>-59267006.300829276</v>
      </c>
      <c r="AH56" s="960">
        <f t="shared" si="44"/>
        <v>-771616643.6341759</v>
      </c>
      <c r="AI56" s="960"/>
      <c r="AK56" s="875">
        <f t="shared" si="45"/>
        <v>501291.34293615818</v>
      </c>
      <c r="AL56" s="875">
        <f t="shared" si="46"/>
        <v>501291.31005000073</v>
      </c>
      <c r="AN56" s="875"/>
      <c r="CH56" s="477" t="s">
        <v>24</v>
      </c>
      <c r="CI56" s="477" t="s">
        <v>648</v>
      </c>
      <c r="CJ56" s="980">
        <f>SUM(CK56:CN56)</f>
        <v>366182432</v>
      </c>
      <c r="CK56" s="980">
        <f>CR39</f>
        <v>855529.21025999635</v>
      </c>
      <c r="CL56" s="979">
        <f>CR45</f>
        <v>15862492</v>
      </c>
      <c r="CM56" s="979">
        <f>CR51</f>
        <v>300337431</v>
      </c>
      <c r="CN56" s="979">
        <f>CR56</f>
        <v>49126979.789740004</v>
      </c>
      <c r="CO56" s="875">
        <f>CJ56-'G-1.01 DFIT'!DY14</f>
        <v>0</v>
      </c>
      <c r="CR56" s="979">
        <f>SUM(CR54:CR55)</f>
        <v>49126979.789740004</v>
      </c>
      <c r="CT56" s="870">
        <f>SUM(CT54:CT55)</f>
        <v>1</v>
      </c>
    </row>
    <row r="57" spans="24:113">
      <c r="X57" s="182">
        <f t="shared" si="42"/>
        <v>202210</v>
      </c>
      <c r="Y57" s="960">
        <v>-76740922.474933922</v>
      </c>
      <c r="Z57" s="960">
        <v>0</v>
      </c>
      <c r="AA57" s="960">
        <f t="shared" si="43"/>
        <v>-76740922.474933922</v>
      </c>
      <c r="AB57" s="960"/>
      <c r="AC57" s="960">
        <v>0</v>
      </c>
      <c r="AD57" s="960">
        <v>-533269131.23233819</v>
      </c>
      <c r="AE57" s="960">
        <v>-101770193.43333526</v>
      </c>
      <c r="AF57" s="960">
        <v>-59335105.15063253</v>
      </c>
      <c r="AH57" s="960">
        <f t="shared" si="44"/>
        <v>-771115352.29123986</v>
      </c>
      <c r="AI57" s="960"/>
      <c r="AK57" s="875">
        <f t="shared" si="45"/>
        <v>501291.34293603897</v>
      </c>
      <c r="AL57" s="875">
        <f t="shared" si="46"/>
        <v>501291.31005000073</v>
      </c>
      <c r="AN57" s="875"/>
      <c r="CK57" s="868">
        <f>ROUND(CK56/$CJ$56,7)</f>
        <v>2.3362999999999999E-3</v>
      </c>
      <c r="CL57" s="868">
        <f>ROUND(CL56/$CJ$56,7)</f>
        <v>4.3318599999999999E-2</v>
      </c>
      <c r="CM57" s="868">
        <f>ROUND(CM56/$CJ$56,7)</f>
        <v>0.82018530000000001</v>
      </c>
      <c r="CN57" s="868">
        <f>ROUND(CN56/$CJ$56,7)</f>
        <v>0.1341598</v>
      </c>
    </row>
    <row r="58" spans="24:113">
      <c r="X58" s="182">
        <f t="shared" si="42"/>
        <v>202211</v>
      </c>
      <c r="Y58" s="960">
        <v>-76175728.110207319</v>
      </c>
      <c r="Z58" s="960">
        <v>0</v>
      </c>
      <c r="AA58" s="960">
        <f t="shared" si="43"/>
        <v>-76175728.110207319</v>
      </c>
      <c r="AB58" s="960"/>
      <c r="AC58" s="960">
        <v>0</v>
      </c>
      <c r="AD58" s="960">
        <v>-533290722.51114196</v>
      </c>
      <c r="AE58" s="960">
        <v>-101744406.32651877</v>
      </c>
      <c r="AF58" s="960">
        <v>-59403204.000435784</v>
      </c>
      <c r="AH58" s="960">
        <f t="shared" si="44"/>
        <v>-770614060.94830394</v>
      </c>
      <c r="AI58" s="960"/>
      <c r="AK58" s="875">
        <f t="shared" si="45"/>
        <v>501291.34293591976</v>
      </c>
      <c r="AL58" s="875">
        <f t="shared" si="46"/>
        <v>501291.31005000073</v>
      </c>
      <c r="AN58" s="875"/>
      <c r="CI58" s="867"/>
      <c r="CJ58" s="866"/>
      <c r="CK58" s="866"/>
      <c r="CL58" s="960"/>
      <c r="CM58" s="960"/>
      <c r="CN58" s="960"/>
    </row>
    <row r="59" spans="24:113">
      <c r="X59" s="182">
        <f t="shared" si="42"/>
        <v>202212</v>
      </c>
      <c r="Y59" s="960">
        <v>-75610533.745480716</v>
      </c>
      <c r="Z59" s="960">
        <v>0</v>
      </c>
      <c r="AA59" s="960">
        <f t="shared" si="43"/>
        <v>-75610533.745480716</v>
      </c>
      <c r="AB59" s="960"/>
      <c r="AC59" s="960">
        <v>0</v>
      </c>
      <c r="AD59" s="960">
        <v>-533312313.78994578</v>
      </c>
      <c r="AE59" s="960">
        <v>-101718619.2197023</v>
      </c>
      <c r="AF59" s="960">
        <v>-59471302.850239031</v>
      </c>
      <c r="AH59" s="960">
        <f t="shared" si="44"/>
        <v>-770112769.6053679</v>
      </c>
      <c r="AI59" s="960"/>
      <c r="AK59" s="875">
        <f t="shared" si="45"/>
        <v>501291.34293603897</v>
      </c>
      <c r="AL59" s="875">
        <f t="shared" si="46"/>
        <v>501291.31005000073</v>
      </c>
      <c r="AM59" s="875">
        <f>AL4</f>
        <v>-770112770</v>
      </c>
      <c r="AN59" s="875"/>
      <c r="CI59" s="867"/>
      <c r="CJ59" s="866"/>
      <c r="CK59" s="866"/>
      <c r="CL59" s="866"/>
      <c r="CM59" s="866"/>
      <c r="CN59" s="866"/>
    </row>
    <row r="60" spans="24:113">
      <c r="X60" s="182">
        <f t="shared" si="42"/>
        <v>202301</v>
      </c>
      <c r="Y60" s="960">
        <v>-75189891.812551767</v>
      </c>
      <c r="Z60" s="960">
        <v>0</v>
      </c>
      <c r="AA60" s="960">
        <f t="shared" si="43"/>
        <v>-75189891.812551767</v>
      </c>
      <c r="AB60" s="960"/>
      <c r="AC60" s="960">
        <v>0</v>
      </c>
      <c r="AD60" s="960">
        <v>-533843600.51277024</v>
      </c>
      <c r="AE60" s="960">
        <v>-101753300.39266862</v>
      </c>
      <c r="AF60" s="960">
        <v>-59544550.211108953</v>
      </c>
      <c r="AH60" s="960">
        <f t="shared" si="44"/>
        <v>-770331342.92909956</v>
      </c>
      <c r="AI60" s="960"/>
      <c r="AK60" s="875">
        <f t="shared" si="45"/>
        <v>-218573.32373166084</v>
      </c>
      <c r="AL60" s="875">
        <f t="shared" ref="AL60:AL65" si="47">AK60</f>
        <v>-218573.32373166084</v>
      </c>
      <c r="CI60" s="867"/>
      <c r="CJ60" s="866"/>
      <c r="CK60" s="866"/>
      <c r="CL60" s="866"/>
      <c r="CM60" s="866"/>
      <c r="CN60" s="866"/>
    </row>
    <row r="61" spans="24:113">
      <c r="X61" s="182">
        <f t="shared" si="42"/>
        <v>202302</v>
      </c>
      <c r="Y61" s="960">
        <v>-74769249.879622802</v>
      </c>
      <c r="Z61" s="960">
        <v>0</v>
      </c>
      <c r="AA61" s="960">
        <f t="shared" si="43"/>
        <v>-74769249.879622802</v>
      </c>
      <c r="AB61" s="960"/>
      <c r="AC61" s="960">
        <v>0</v>
      </c>
      <c r="AD61" s="960">
        <v>-534374887.23559469</v>
      </c>
      <c r="AE61" s="960">
        <v>-101787981.56563494</v>
      </c>
      <c r="AF61" s="960">
        <v>-59617797.571978867</v>
      </c>
      <c r="AH61" s="960">
        <f t="shared" si="44"/>
        <v>-770549916.25283122</v>
      </c>
      <c r="AI61" s="960"/>
      <c r="AK61" s="875">
        <f t="shared" si="45"/>
        <v>-218573.32373166084</v>
      </c>
      <c r="AL61" s="875">
        <f t="shared" si="47"/>
        <v>-218573.32373166084</v>
      </c>
      <c r="CI61" s="867"/>
      <c r="CJ61" s="866"/>
      <c r="CK61" s="866"/>
      <c r="CL61" s="866"/>
      <c r="CM61" s="866"/>
      <c r="CN61" s="866"/>
    </row>
    <row r="62" spans="24:113">
      <c r="X62" s="182">
        <f t="shared" si="42"/>
        <v>202303</v>
      </c>
      <c r="Y62" s="960">
        <v>-74348607.946693853</v>
      </c>
      <c r="Z62" s="960">
        <v>0</v>
      </c>
      <c r="AA62" s="960">
        <f t="shared" si="43"/>
        <v>-74348607.946693853</v>
      </c>
      <c r="AB62" s="960"/>
      <c r="AC62" s="960">
        <v>0</v>
      </c>
      <c r="AD62" s="960">
        <v>-534906173.9584192</v>
      </c>
      <c r="AE62" s="960">
        <v>-101822662.73860125</v>
      </c>
      <c r="AF62" s="960">
        <v>-59691044.932848789</v>
      </c>
      <c r="AH62" s="960">
        <f t="shared" si="44"/>
        <v>-770768489.57656312</v>
      </c>
      <c r="AI62" s="960"/>
      <c r="AK62" s="875">
        <f t="shared" si="45"/>
        <v>-218573.32373189926</v>
      </c>
      <c r="AL62" s="875">
        <f t="shared" si="47"/>
        <v>-218573.32373189926</v>
      </c>
      <c r="CI62" s="867"/>
      <c r="CJ62" s="866"/>
      <c r="CK62" s="866"/>
      <c r="CL62" s="866"/>
      <c r="CM62" s="866"/>
      <c r="CN62" s="866"/>
    </row>
    <row r="63" spans="24:113">
      <c r="X63" s="182">
        <f t="shared" si="42"/>
        <v>202304</v>
      </c>
      <c r="Y63" s="960">
        <v>-73927966.013764903</v>
      </c>
      <c r="Z63" s="960">
        <v>0</v>
      </c>
      <c r="AA63" s="960">
        <f t="shared" si="43"/>
        <v>-73927966.013764903</v>
      </c>
      <c r="AB63" s="960"/>
      <c r="AC63" s="960">
        <v>0</v>
      </c>
      <c r="AD63" s="960">
        <v>-535437460.68124366</v>
      </c>
      <c r="AE63" s="960">
        <v>-101857343.91156757</v>
      </c>
      <c r="AF63" s="960">
        <v>-59764292.293718711</v>
      </c>
      <c r="AH63" s="960">
        <f t="shared" si="44"/>
        <v>-770987062.90029478</v>
      </c>
      <c r="AI63" s="960"/>
      <c r="AK63" s="875">
        <f t="shared" si="45"/>
        <v>-218573.32373166084</v>
      </c>
      <c r="AL63" s="875">
        <f t="shared" si="47"/>
        <v>-218573.32373166084</v>
      </c>
      <c r="CI63" s="867"/>
      <c r="CJ63" s="866"/>
      <c r="CK63" s="866"/>
      <c r="CL63" s="866"/>
      <c r="CM63" s="866"/>
      <c r="CN63" s="866"/>
    </row>
    <row r="64" spans="24:113">
      <c r="X64" s="182">
        <f t="shared" si="42"/>
        <v>202305</v>
      </c>
      <c r="Y64" s="960">
        <v>-73507324.080835938</v>
      </c>
      <c r="Z64" s="960">
        <v>0</v>
      </c>
      <c r="AA64" s="960">
        <f t="shared" si="43"/>
        <v>-73507324.080835938</v>
      </c>
      <c r="AB64" s="960"/>
      <c r="AC64" s="960">
        <v>0</v>
      </c>
      <c r="AD64" s="960">
        <v>-535968747.40406811</v>
      </c>
      <c r="AE64" s="960">
        <v>-101892025.08453389</v>
      </c>
      <c r="AF64" s="960">
        <v>-59837539.654588625</v>
      </c>
      <c r="AH64" s="960">
        <f t="shared" si="44"/>
        <v>-771205636.22402656</v>
      </c>
      <c r="AI64" s="960"/>
      <c r="AK64" s="875">
        <f t="shared" si="45"/>
        <v>-218573.32373178005</v>
      </c>
      <c r="AL64" s="875">
        <f t="shared" si="47"/>
        <v>-218573.32373178005</v>
      </c>
      <c r="CI64" s="867"/>
      <c r="CJ64" s="866"/>
      <c r="CK64" s="866"/>
      <c r="CL64" s="866"/>
      <c r="CM64" s="866"/>
      <c r="CN64" s="866"/>
    </row>
    <row r="65" spans="24:92">
      <c r="X65" s="182">
        <f t="shared" si="42"/>
        <v>202306</v>
      </c>
      <c r="Y65" s="964">
        <v>-73086682.147906989</v>
      </c>
      <c r="Z65" s="964">
        <v>0</v>
      </c>
      <c r="AA65" s="964">
        <f t="shared" si="43"/>
        <v>-73086682.147906989</v>
      </c>
      <c r="AB65" s="965"/>
      <c r="AC65" s="964">
        <v>0</v>
      </c>
      <c r="AD65" s="964">
        <v>-536500034.12689257</v>
      </c>
      <c r="AE65" s="964">
        <v>-101926706.2575002</v>
      </c>
      <c r="AF65" s="964">
        <v>-59910787.015458547</v>
      </c>
      <c r="AG65" s="965"/>
      <c r="AH65" s="964">
        <f t="shared" si="44"/>
        <v>-771424209.54775834</v>
      </c>
      <c r="AI65" s="960"/>
      <c r="AK65" s="875">
        <f t="shared" si="45"/>
        <v>-218573.32373178005</v>
      </c>
      <c r="AL65" s="875">
        <f t="shared" si="47"/>
        <v>-218573.32373178005</v>
      </c>
      <c r="CI65" s="867"/>
      <c r="CJ65" s="866"/>
      <c r="CK65" s="866"/>
      <c r="CL65" s="866"/>
      <c r="CM65" s="866"/>
      <c r="CN65" s="866"/>
    </row>
    <row r="66" spans="24:92">
      <c r="Y66" s="960"/>
      <c r="Z66" s="960"/>
      <c r="AA66" s="960"/>
      <c r="AB66" s="960"/>
      <c r="AC66" s="960"/>
      <c r="AD66" s="960"/>
      <c r="AE66" s="960"/>
      <c r="AF66" s="960"/>
      <c r="AH66" s="960"/>
      <c r="AI66" s="960"/>
      <c r="CI66" s="867"/>
      <c r="CJ66" s="866"/>
      <c r="CK66" s="866"/>
      <c r="CL66" s="866"/>
      <c r="CM66" s="866"/>
      <c r="CN66" s="866"/>
    </row>
    <row r="67" spans="24:92" ht="13.5" thickBot="1">
      <c r="X67" s="477" t="s">
        <v>663</v>
      </c>
      <c r="Y67" s="961">
        <f>(((Y53+Y65)/2)+(Y54+Y55+Y56+Y57+Y58+Y59+Y60+Y61+Y62+Y63+Y64))/12</f>
        <v>-75827362.393177196</v>
      </c>
      <c r="Z67" s="961">
        <f>(((Z53+Z65)/2)+(Z54+Z55+Z56+Z57+Z58+Z59+Z60+Z61+Z62+Z63+Z64))/12</f>
        <v>0</v>
      </c>
      <c r="AA67" s="963">
        <f>SUM(Y67:Z67)</f>
        <v>-75827362.393177196</v>
      </c>
      <c r="AB67" s="960"/>
      <c r="AC67" s="963">
        <f>(((AC53+AC65)/2)+(AC54+AC55+AC56+AC57+AC58+AC59+AC60+AC61+AC62+AC63+AC64))/12</f>
        <v>0</v>
      </c>
      <c r="AD67" s="963">
        <f>(((AD53+AD65)/2)+(AD54+AD55+AD56+AD57+AD58+AD59+AD60+AD61+AD62+AD63+AD64))/12</f>
        <v>-534076856.95597672</v>
      </c>
      <c r="AE67" s="963">
        <f>(((AE53+AE65)/2)+(AE54+AE55+AE56+AE57+AE58+AE59+AE60+AE61+AE62+AE63+AE64))/12</f>
        <v>-101809321.63937648</v>
      </c>
      <c r="AF67" s="963">
        <f>(((AF53+AF65)/2)+(AF54+AF55+AF56+AF57+AF58+AF59+AF60+AF61+AF62+AF63+AF64))/12</f>
        <v>-59479025.616839044</v>
      </c>
      <c r="AG67" s="960"/>
      <c r="AH67" s="963">
        <f>SUM(AA67:AF67)</f>
        <v>-771192566.60536945</v>
      </c>
      <c r="AI67" s="960"/>
      <c r="CI67" s="867"/>
      <c r="CJ67" s="866"/>
      <c r="CK67" s="866"/>
      <c r="CL67" s="866"/>
      <c r="CM67" s="866"/>
      <c r="CN67" s="866"/>
    </row>
    <row r="68" spans="24:92">
      <c r="Y68" s="960"/>
      <c r="Z68" s="960"/>
      <c r="AA68" s="960"/>
      <c r="AB68" s="960"/>
      <c r="AC68" s="960"/>
      <c r="AD68" s="960"/>
      <c r="AE68" s="960"/>
      <c r="AF68" s="960"/>
      <c r="AG68" s="960"/>
      <c r="AH68" s="962" t="s">
        <v>662</v>
      </c>
      <c r="AI68" s="960"/>
      <c r="CJ68" s="866"/>
      <c r="CK68" s="866"/>
    </row>
    <row r="69" spans="24:92" ht="13.5" thickBot="1">
      <c r="X69" s="477" t="s">
        <v>660</v>
      </c>
      <c r="Y69" s="961">
        <f>Y65</f>
        <v>-73086682.147906989</v>
      </c>
      <c r="Z69" s="961">
        <f>Z65</f>
        <v>0</v>
      </c>
      <c r="AA69" s="961">
        <f>AA65</f>
        <v>-73086682.147906989</v>
      </c>
      <c r="AB69" s="960"/>
      <c r="AC69" s="961">
        <f>AC65</f>
        <v>0</v>
      </c>
      <c r="AD69" s="961">
        <f>AD65</f>
        <v>-536500034.12689257</v>
      </c>
      <c r="AE69" s="961">
        <f>AE65</f>
        <v>-101926706.2575002</v>
      </c>
      <c r="AF69" s="961">
        <f>AF65</f>
        <v>-59910787.015458547</v>
      </c>
      <c r="AG69" s="960"/>
      <c r="AH69" s="961">
        <f>SUM(AA69:AF69)</f>
        <v>-771424209.54775834</v>
      </c>
      <c r="AI69" s="960"/>
      <c r="CG69" s="531"/>
      <c r="CJ69" s="865"/>
      <c r="CK69" s="865"/>
      <c r="CL69" s="865"/>
      <c r="CM69" s="865"/>
      <c r="CN69" s="865"/>
    </row>
    <row r="70" spans="24:92">
      <c r="Y70" s="960"/>
      <c r="Z70" s="960"/>
      <c r="AA70" s="960"/>
      <c r="AB70" s="960"/>
      <c r="AC70" s="960"/>
      <c r="AD70" s="960"/>
      <c r="AE70" s="960"/>
      <c r="AF70" s="960"/>
      <c r="AG70" s="960"/>
      <c r="AH70" s="960"/>
      <c r="AI70" s="960"/>
    </row>
    <row r="71" spans="24:92">
      <c r="Y71" s="960"/>
      <c r="Z71" s="960"/>
      <c r="AA71" s="960"/>
      <c r="AB71" s="960"/>
      <c r="AC71" s="960"/>
      <c r="AD71" s="960"/>
      <c r="AE71" s="960"/>
      <c r="AF71" s="960"/>
      <c r="AG71" s="960"/>
      <c r="AH71" s="960"/>
      <c r="AI71" s="960"/>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3"/>
  <cols>
    <col min="1" max="1" width="35.54296875" style="477" customWidth="1"/>
    <col min="2" max="2" width="11.1796875" style="477" customWidth="1"/>
    <col min="3" max="3" width="12.26953125" style="477" bestFit="1" customWidth="1"/>
    <col min="4" max="5" width="11.453125" style="477" customWidth="1"/>
    <col min="6" max="6" width="4.1796875" style="867" customWidth="1"/>
    <col min="7" max="7" width="11.54296875" style="477" customWidth="1"/>
    <col min="8" max="8" width="11.453125" style="477" customWidth="1"/>
    <col min="9" max="9" width="11.54296875" style="477" customWidth="1"/>
    <col min="10" max="10" width="10.54296875" style="477" customWidth="1"/>
    <col min="11" max="11" width="11.453125" style="867" customWidth="1"/>
    <col min="12" max="12" width="11.453125" style="477" bestFit="1" customWidth="1"/>
    <col min="13" max="13" width="1.7265625" style="995" customWidth="1"/>
    <col min="14" max="14" width="8.1796875" style="477" customWidth="1"/>
    <col min="15" max="15" width="15.54296875" style="478" customWidth="1"/>
    <col min="16" max="16" width="12" style="580" customWidth="1"/>
    <col min="17" max="17" width="12.54296875" style="478" bestFit="1" customWidth="1"/>
    <col min="18" max="18" width="12" style="999" customWidth="1"/>
    <col min="19" max="19" width="11.1796875" style="999" customWidth="1"/>
    <col min="20" max="20" width="12.453125" style="478" customWidth="1"/>
    <col min="21" max="21" width="11.81640625" style="478" customWidth="1"/>
    <col min="22" max="22" width="12.7265625" style="478" customWidth="1"/>
    <col min="23" max="23" width="12.54296875" style="478" customWidth="1"/>
    <col min="24" max="24" width="11.54296875" style="478" customWidth="1"/>
    <col min="25" max="25" width="1.7265625" style="995" customWidth="1"/>
    <col min="26" max="26" width="8.81640625" style="477"/>
    <col min="27" max="27" width="14.453125" style="996" customWidth="1"/>
    <col min="28" max="28" width="12.26953125" style="996" bestFit="1" customWidth="1"/>
    <col min="29" max="29" width="11.81640625" style="996" customWidth="1"/>
    <col min="30" max="30" width="12.453125" style="996" customWidth="1"/>
    <col min="31" max="31" width="6.54296875" style="998" customWidth="1"/>
    <col min="32" max="32" width="15.54296875" style="997" customWidth="1"/>
    <col min="33" max="33" width="12" style="997" customWidth="1"/>
    <col min="34" max="34" width="13.1796875" style="996" customWidth="1"/>
    <col min="35" max="35" width="12.453125" style="996" customWidth="1"/>
    <col min="36" max="36" width="8.81640625" style="477"/>
    <col min="37" max="37" width="1.7265625" style="995" customWidth="1"/>
    <col min="38" max="38" width="8.81640625" style="477"/>
    <col min="39" max="39" width="12.54296875" style="477" customWidth="1"/>
    <col min="40" max="40" width="15.7265625" style="994" bestFit="1" customWidth="1"/>
    <col min="41" max="41" width="17.26953125" style="994" customWidth="1"/>
    <col min="42" max="42" width="9.7265625" style="477" customWidth="1"/>
    <col min="43" max="43" width="16.54296875" style="477" customWidth="1"/>
    <col min="44" max="44" width="9.26953125" style="477" bestFit="1" customWidth="1"/>
    <col min="45" max="45" width="19.54296875" style="477" customWidth="1"/>
    <col min="46" max="46" width="3.453125" style="477" customWidth="1"/>
  </cols>
  <sheetData>
    <row r="1" spans="1:46">
      <c r="A1" s="3883" t="s">
        <v>111</v>
      </c>
      <c r="B1" s="3883"/>
      <c r="C1" s="3883"/>
      <c r="D1" s="3883"/>
      <c r="E1" s="3883"/>
      <c r="F1" s="3883"/>
      <c r="G1" s="3883"/>
      <c r="H1" s="3883"/>
      <c r="I1" s="3883"/>
      <c r="J1" s="3883"/>
      <c r="O1" s="3873" t="s">
        <v>111</v>
      </c>
      <c r="P1" s="3873"/>
      <c r="Q1" s="3873"/>
      <c r="R1" s="3873"/>
      <c r="S1" s="3873"/>
      <c r="T1" s="3873"/>
      <c r="U1" s="3873"/>
      <c r="V1" s="3873"/>
      <c r="W1" s="3873"/>
      <c r="X1" s="1031"/>
      <c r="AA1" s="477"/>
      <c r="AB1" s="477"/>
      <c r="AC1" s="477"/>
      <c r="AD1" s="477"/>
      <c r="AF1" s="477"/>
      <c r="AG1" s="477"/>
      <c r="AH1" s="477"/>
      <c r="AI1" s="477"/>
      <c r="AM1" s="531" t="s">
        <v>111</v>
      </c>
    </row>
    <row r="2" spans="1:46">
      <c r="A2" s="3883" t="s">
        <v>895</v>
      </c>
      <c r="B2" s="3883"/>
      <c r="C2" s="3883"/>
      <c r="D2" s="3883"/>
      <c r="E2" s="3883"/>
      <c r="F2" s="3883"/>
      <c r="G2" s="3883"/>
      <c r="H2" s="3883"/>
      <c r="I2" s="3883"/>
      <c r="J2" s="3883"/>
      <c r="O2" s="3873" t="s">
        <v>894</v>
      </c>
      <c r="P2" s="3873"/>
      <c r="Q2" s="3873"/>
      <c r="R2" s="3873"/>
      <c r="S2" s="3873"/>
      <c r="T2" s="3873"/>
      <c r="U2" s="3873"/>
      <c r="V2" s="3873"/>
      <c r="W2" s="3873"/>
      <c r="X2" s="1031"/>
      <c r="AA2" s="477"/>
      <c r="AB2" s="477"/>
      <c r="AC2" s="477"/>
      <c r="AD2" s="477"/>
      <c r="AF2" s="477"/>
      <c r="AG2" s="477"/>
      <c r="AH2" s="477"/>
      <c r="AI2" s="477"/>
      <c r="AM2" s="531" t="s">
        <v>893</v>
      </c>
    </row>
    <row r="3" spans="1:46">
      <c r="A3" s="3883" t="s">
        <v>580</v>
      </c>
      <c r="B3" s="3883"/>
      <c r="C3" s="3883"/>
      <c r="D3" s="3883"/>
      <c r="E3" s="3883"/>
      <c r="F3" s="3883"/>
      <c r="G3" s="3883"/>
      <c r="H3" s="3883"/>
      <c r="I3" s="3883"/>
      <c r="J3" s="3883"/>
      <c r="O3" s="3891" t="s">
        <v>580</v>
      </c>
      <c r="P3" s="3891"/>
      <c r="Q3" s="3891"/>
      <c r="R3" s="3891"/>
      <c r="S3" s="3891"/>
      <c r="T3" s="3891"/>
      <c r="U3" s="3891"/>
      <c r="V3" s="3891"/>
      <c r="W3" s="3891"/>
      <c r="X3" s="1159"/>
      <c r="AA3" s="1071" t="s">
        <v>838</v>
      </c>
      <c r="AB3" s="1068" t="s">
        <v>892</v>
      </c>
      <c r="AC3" s="1068" t="s">
        <v>866</v>
      </c>
      <c r="AD3" s="1076"/>
      <c r="AE3" s="1075"/>
      <c r="AF3" s="1071" t="s">
        <v>838</v>
      </c>
      <c r="AG3" s="1068" t="s">
        <v>892</v>
      </c>
      <c r="AH3" s="1068" t="s">
        <v>864</v>
      </c>
      <c r="AI3" s="1076"/>
      <c r="AM3" s="531"/>
    </row>
    <row r="4" spans="1:46">
      <c r="O4" s="1160"/>
      <c r="P4" s="1160"/>
      <c r="Q4" s="1160"/>
      <c r="R4" s="1160"/>
      <c r="S4" s="1160"/>
      <c r="T4" s="1160"/>
      <c r="U4" s="1160"/>
      <c r="V4" s="1160"/>
      <c r="W4" s="1160"/>
      <c r="X4" s="1159"/>
      <c r="AA4" s="1074" t="s">
        <v>835</v>
      </c>
      <c r="AB4" s="477"/>
      <c r="AC4" s="477"/>
      <c r="AD4" s="477"/>
      <c r="AF4" s="1074" t="s">
        <v>835</v>
      </c>
      <c r="AG4" s="477"/>
      <c r="AH4" s="477"/>
      <c r="AI4" s="477"/>
      <c r="AN4" s="1158"/>
    </row>
    <row r="5" spans="1:46" ht="26">
      <c r="B5" s="3892" t="s">
        <v>18</v>
      </c>
      <c r="C5" s="3893"/>
      <c r="D5" s="3894"/>
      <c r="G5" s="3892" t="s">
        <v>11</v>
      </c>
      <c r="H5" s="3893"/>
      <c r="I5" s="3894"/>
      <c r="AA5" s="1071" t="s">
        <v>679</v>
      </c>
      <c r="AB5" s="1071" t="s">
        <v>744</v>
      </c>
      <c r="AC5" s="1072" t="s">
        <v>743</v>
      </c>
      <c r="AD5" s="1071" t="s">
        <v>745</v>
      </c>
      <c r="AF5" s="1071" t="s">
        <v>679</v>
      </c>
      <c r="AG5" s="1071" t="s">
        <v>744</v>
      </c>
      <c r="AH5" s="1072" t="s">
        <v>743</v>
      </c>
      <c r="AI5" s="1071" t="s">
        <v>745</v>
      </c>
      <c r="AM5" s="1157" t="s">
        <v>890</v>
      </c>
      <c r="AN5" s="1156" t="s">
        <v>889</v>
      </c>
      <c r="AO5" s="1155" t="s">
        <v>888</v>
      </c>
      <c r="AP5" s="1104"/>
      <c r="AQ5" s="1104"/>
      <c r="AR5" s="1104"/>
      <c r="AS5" s="1104"/>
      <c r="AT5" s="1104"/>
    </row>
    <row r="6" spans="1:46" ht="25.5">
      <c r="A6" s="477" t="s">
        <v>70</v>
      </c>
      <c r="B6" s="1153" t="s">
        <v>887</v>
      </c>
      <c r="C6" s="931" t="s">
        <v>886</v>
      </c>
      <c r="D6" s="1154" t="s">
        <v>19</v>
      </c>
      <c r="E6" s="931" t="s">
        <v>904</v>
      </c>
      <c r="F6" s="931"/>
      <c r="G6" s="1153" t="s">
        <v>885</v>
      </c>
      <c r="H6" s="931" t="s">
        <v>884</v>
      </c>
      <c r="I6" s="1152" t="s">
        <v>19</v>
      </c>
      <c r="J6" s="931" t="s">
        <v>883</v>
      </c>
      <c r="L6" s="931" t="s">
        <v>882</v>
      </c>
      <c r="O6" s="1031" t="s">
        <v>881</v>
      </c>
      <c r="AA6" s="1068">
        <v>202207</v>
      </c>
      <c r="AB6" s="1067">
        <v>-2557060.39</v>
      </c>
      <c r="AC6" s="1135">
        <v>13660</v>
      </c>
      <c r="AD6" s="1067">
        <f t="shared" ref="AD6:AD17" si="0">SUM(AB6:AC6)</f>
        <v>-2543400.39</v>
      </c>
      <c r="AE6" s="996"/>
      <c r="AF6" s="1068">
        <v>202207</v>
      </c>
      <c r="AG6" s="1067">
        <v>-1313815</v>
      </c>
      <c r="AH6" s="1135">
        <v>-1460</v>
      </c>
      <c r="AI6" s="1067">
        <f t="shared" ref="AI6:AI17" si="1">SUM(AG6:AH6)</f>
        <v>-1315275</v>
      </c>
      <c r="AM6" s="1134">
        <v>44742</v>
      </c>
      <c r="AN6" s="1133">
        <v>13</v>
      </c>
      <c r="AO6" s="1132">
        <v>4021.92</v>
      </c>
    </row>
    <row r="7" spans="1:46" ht="13.5" thickBot="1">
      <c r="B7" s="935"/>
      <c r="D7" s="933"/>
      <c r="G7" s="935"/>
      <c r="I7" s="933"/>
      <c r="L7" s="867"/>
      <c r="AA7" s="1068">
        <v>202208</v>
      </c>
      <c r="AB7" s="1067">
        <f t="shared" ref="AB7:AB17" si="2">AD6</f>
        <v>-2543400.39</v>
      </c>
      <c r="AC7" s="1135">
        <v>-174484</v>
      </c>
      <c r="AD7" s="1067">
        <f t="shared" si="0"/>
        <v>-2717884.39</v>
      </c>
      <c r="AF7" s="1068">
        <v>202208</v>
      </c>
      <c r="AG7" s="1067">
        <f t="shared" ref="AG7:AG17" si="3">AI6</f>
        <v>-1315275</v>
      </c>
      <c r="AH7" s="1135">
        <v>91578</v>
      </c>
      <c r="AI7" s="1067">
        <f t="shared" si="1"/>
        <v>-1223697</v>
      </c>
      <c r="AM7" s="1134">
        <v>44773</v>
      </c>
      <c r="AN7" s="1133">
        <v>14</v>
      </c>
      <c r="AO7" s="1132">
        <v>4233.5200000000004</v>
      </c>
    </row>
    <row r="8" spans="1:46">
      <c r="B8" s="935"/>
      <c r="D8" s="933"/>
      <c r="G8" s="935"/>
      <c r="I8" s="933"/>
      <c r="L8" s="867"/>
      <c r="P8" s="1050"/>
      <c r="Q8" s="1151" t="s">
        <v>198</v>
      </c>
      <c r="R8" s="3889" t="s">
        <v>819</v>
      </c>
      <c r="S8" s="3890"/>
      <c r="T8" s="1046"/>
      <c r="U8" s="1151" t="s">
        <v>198</v>
      </c>
      <c r="V8" s="3889" t="s">
        <v>78</v>
      </c>
      <c r="W8" s="3890"/>
      <c r="AA8" s="1068">
        <v>202209</v>
      </c>
      <c r="AB8" s="1067">
        <f t="shared" si="2"/>
        <v>-2717884.39</v>
      </c>
      <c r="AC8" s="1135">
        <v>-92861.46</v>
      </c>
      <c r="AD8" s="1067">
        <f t="shared" si="0"/>
        <v>-2810745.85</v>
      </c>
      <c r="AF8" s="1068">
        <v>202209</v>
      </c>
      <c r="AG8" s="1067">
        <f t="shared" si="3"/>
        <v>-1223697</v>
      </c>
      <c r="AH8" s="1135">
        <v>-37180</v>
      </c>
      <c r="AI8" s="1067">
        <f t="shared" si="1"/>
        <v>-1260877</v>
      </c>
      <c r="AM8" s="1134">
        <v>44804</v>
      </c>
      <c r="AN8" s="1133">
        <v>15</v>
      </c>
      <c r="AO8" s="1132">
        <v>3874.43</v>
      </c>
    </row>
    <row r="9" spans="1:46">
      <c r="A9" s="477" t="s">
        <v>363</v>
      </c>
      <c r="B9" s="1173">
        <v>0</v>
      </c>
      <c r="C9" s="1168">
        <v>0</v>
      </c>
      <c r="D9" s="1172">
        <f>B9-C9</f>
        <v>0</v>
      </c>
      <c r="E9" s="515" t="s">
        <v>876</v>
      </c>
      <c r="F9" s="1167"/>
      <c r="G9" s="1173">
        <v>0</v>
      </c>
      <c r="H9" s="1168">
        <v>0</v>
      </c>
      <c r="I9" s="1172">
        <f>G9-H9</f>
        <v>0</v>
      </c>
      <c r="L9" s="867" t="s">
        <v>903</v>
      </c>
      <c r="O9" s="579"/>
      <c r="P9" s="1050"/>
      <c r="Q9" s="1150" t="s">
        <v>843</v>
      </c>
      <c r="R9" s="1149" t="s">
        <v>880</v>
      </c>
      <c r="S9" s="1148" t="s">
        <v>879</v>
      </c>
      <c r="T9" s="1043"/>
      <c r="U9" s="1150" t="s">
        <v>843</v>
      </c>
      <c r="V9" s="1149" t="s">
        <v>878</v>
      </c>
      <c r="W9" s="1148" t="s">
        <v>877</v>
      </c>
      <c r="AA9" s="1068">
        <v>202210</v>
      </c>
      <c r="AB9" s="1067">
        <f t="shared" si="2"/>
        <v>-2810745.85</v>
      </c>
      <c r="AC9" s="1135">
        <v>-81464</v>
      </c>
      <c r="AD9" s="1067">
        <f t="shared" si="0"/>
        <v>-2892209.85</v>
      </c>
      <c r="AF9" s="1068">
        <v>202210</v>
      </c>
      <c r="AG9" s="1067">
        <f t="shared" si="3"/>
        <v>-1260877</v>
      </c>
      <c r="AH9" s="1135">
        <v>-69616</v>
      </c>
      <c r="AI9" s="1067">
        <f t="shared" si="1"/>
        <v>-1330493</v>
      </c>
      <c r="AM9" s="1134">
        <v>44834</v>
      </c>
      <c r="AN9" s="1133">
        <v>19</v>
      </c>
      <c r="AO9" s="1132">
        <v>5483.42</v>
      </c>
    </row>
    <row r="10" spans="1:46">
      <c r="B10" s="1173"/>
      <c r="C10" s="1168"/>
      <c r="D10" s="1172"/>
      <c r="E10" s="515"/>
      <c r="F10" s="1167"/>
      <c r="G10" s="1173"/>
      <c r="H10" s="1168"/>
      <c r="I10" s="1172"/>
      <c r="L10" s="867"/>
      <c r="O10" s="579"/>
      <c r="P10" s="1050"/>
      <c r="Q10" s="1147" t="s">
        <v>842</v>
      </c>
      <c r="R10" s="1146" t="s">
        <v>841</v>
      </c>
      <c r="S10" s="1145" t="s">
        <v>81</v>
      </c>
      <c r="T10" s="1038"/>
      <c r="U10" s="1147" t="s">
        <v>842</v>
      </c>
      <c r="V10" s="1146" t="s">
        <v>841</v>
      </c>
      <c r="W10" s="1145" t="s">
        <v>81</v>
      </c>
      <c r="AA10" s="1068">
        <v>202211</v>
      </c>
      <c r="AB10" s="1067">
        <f t="shared" si="2"/>
        <v>-2892209.85</v>
      </c>
      <c r="AC10" s="1135">
        <v>28780.52</v>
      </c>
      <c r="AD10" s="1067">
        <f t="shared" si="0"/>
        <v>-2863429.33</v>
      </c>
      <c r="AF10" s="1068">
        <v>202211</v>
      </c>
      <c r="AG10" s="1067">
        <f t="shared" si="3"/>
        <v>-1330493</v>
      </c>
      <c r="AH10" s="1135">
        <v>2708</v>
      </c>
      <c r="AI10" s="1067">
        <f t="shared" si="1"/>
        <v>-1327785</v>
      </c>
      <c r="AM10" s="1134">
        <v>44865</v>
      </c>
      <c r="AN10" s="1133">
        <v>22</v>
      </c>
      <c r="AO10" s="1132">
        <v>9149.2099999999991</v>
      </c>
    </row>
    <row r="11" spans="1:46">
      <c r="A11" s="477" t="s">
        <v>364</v>
      </c>
      <c r="B11" s="1171">
        <f>-AO28</f>
        <v>-1377.3195115333333</v>
      </c>
      <c r="C11" s="1170">
        <v>-1377</v>
      </c>
      <c r="D11" s="1169">
        <f>B11-C11</f>
        <v>-0.31951153333329785</v>
      </c>
      <c r="E11" s="515" t="s">
        <v>876</v>
      </c>
      <c r="F11" s="1167"/>
      <c r="G11" s="1171">
        <v>64.319999999999993</v>
      </c>
      <c r="H11" s="1170">
        <v>0</v>
      </c>
      <c r="I11" s="1169">
        <f>G11-H11</f>
        <v>64.319999999999993</v>
      </c>
      <c r="J11" s="477">
        <v>905000</v>
      </c>
      <c r="K11" s="867" t="s">
        <v>875</v>
      </c>
      <c r="L11" s="867" t="s">
        <v>902</v>
      </c>
      <c r="O11" s="1087" t="s">
        <v>840</v>
      </c>
      <c r="P11" s="1050"/>
      <c r="Q11" s="1143">
        <v>252000</v>
      </c>
      <c r="R11" s="1142">
        <v>252000</v>
      </c>
      <c r="S11" s="1144">
        <v>252000</v>
      </c>
      <c r="T11" s="1042"/>
      <c r="U11" s="1143">
        <v>252000</v>
      </c>
      <c r="V11" s="1142">
        <v>252000</v>
      </c>
      <c r="W11" s="1142">
        <v>252000</v>
      </c>
      <c r="AA11" s="1068">
        <v>202212</v>
      </c>
      <c r="AB11" s="1067">
        <f t="shared" si="2"/>
        <v>-2863429.33</v>
      </c>
      <c r="AC11" s="1135">
        <v>-20292.009999999998</v>
      </c>
      <c r="AD11" s="1067">
        <f t="shared" si="0"/>
        <v>-2883721.34</v>
      </c>
      <c r="AF11" s="1068">
        <v>202212</v>
      </c>
      <c r="AG11" s="1067">
        <f t="shared" si="3"/>
        <v>-1327785</v>
      </c>
      <c r="AH11" s="1135">
        <v>0</v>
      </c>
      <c r="AI11" s="1067">
        <f t="shared" si="1"/>
        <v>-1327785</v>
      </c>
      <c r="AM11" s="1134">
        <v>44895</v>
      </c>
      <c r="AN11" s="1133">
        <v>21</v>
      </c>
      <c r="AO11" s="1132">
        <v>9325.32</v>
      </c>
    </row>
    <row r="12" spans="1:46" ht="13.5" thickBot="1">
      <c r="B12" s="1166"/>
      <c r="C12" s="1168"/>
      <c r="D12" s="1164"/>
      <c r="E12" s="515"/>
      <c r="F12" s="1167"/>
      <c r="G12" s="1166"/>
      <c r="H12" s="1165"/>
      <c r="I12" s="1164"/>
      <c r="O12" s="1082"/>
      <c r="P12" s="1050"/>
      <c r="Q12" s="1139"/>
      <c r="R12" s="1141" t="s">
        <v>874</v>
      </c>
      <c r="S12" s="1140" t="s">
        <v>873</v>
      </c>
      <c r="U12" s="1139"/>
      <c r="V12" s="1109"/>
      <c r="W12" s="1108"/>
      <c r="AA12" s="1068">
        <v>202301</v>
      </c>
      <c r="AB12" s="1067">
        <f t="shared" si="2"/>
        <v>-2883721.34</v>
      </c>
      <c r="AC12" s="1135">
        <v>-125586</v>
      </c>
      <c r="AD12" s="1067">
        <f t="shared" si="0"/>
        <v>-3009307.34</v>
      </c>
      <c r="AF12" s="1068">
        <v>202301</v>
      </c>
      <c r="AG12" s="1067">
        <f t="shared" si="3"/>
        <v>-1327785</v>
      </c>
      <c r="AH12" s="1135">
        <v>22820</v>
      </c>
      <c r="AI12" s="1067">
        <f t="shared" si="1"/>
        <v>-1304965</v>
      </c>
      <c r="AM12" s="1134">
        <v>44926</v>
      </c>
      <c r="AN12" s="1133">
        <v>22</v>
      </c>
      <c r="AO12" s="1132">
        <v>9046.56</v>
      </c>
      <c r="AQ12" s="3887" t="s">
        <v>872</v>
      </c>
      <c r="AR12" s="3888"/>
      <c r="AS12" s="3888"/>
    </row>
    <row r="13" spans="1:46" ht="14" thickTop="1" thickBot="1">
      <c r="A13" s="477" t="s">
        <v>871</v>
      </c>
      <c r="B13" s="1137">
        <f>SUM(B9:B11)</f>
        <v>-1377.3195115333333</v>
      </c>
      <c r="C13" s="1136">
        <f>SUM(C8:C11)</f>
        <v>-1377</v>
      </c>
      <c r="D13" s="1163">
        <f>SUM(D8:D11)</f>
        <v>-0.31951153333329785</v>
      </c>
      <c r="G13" s="1137">
        <f>SUM(G9:G11)</f>
        <v>64.319999999999993</v>
      </c>
      <c r="H13" s="1136">
        <f>SUM(H9:H11)</f>
        <v>0</v>
      </c>
      <c r="I13" s="1163">
        <f>SUM(I9:I11)</f>
        <v>64.319999999999993</v>
      </c>
      <c r="O13" s="580" t="s">
        <v>844</v>
      </c>
      <c r="P13" s="1077">
        <v>2022</v>
      </c>
      <c r="Q13" s="1061">
        <f>R13+S13</f>
        <v>-3870875.39</v>
      </c>
      <c r="R13" s="1120">
        <f>'G-1.02 Def DR-CR'!AG6</f>
        <v>-1313815</v>
      </c>
      <c r="S13" s="1119">
        <f>'G-1.02 Def DR-CR'!AB6</f>
        <v>-2557060.39</v>
      </c>
      <c r="T13" s="999"/>
      <c r="U13" s="1061">
        <f>V13+W13</f>
        <v>0</v>
      </c>
      <c r="V13" s="1120">
        <f>'G-1.02 Def DR-CR'!AG26</f>
        <v>0</v>
      </c>
      <c r="W13" s="1119">
        <f>'G-1.02 Def DR-CR'!AB26</f>
        <v>0</v>
      </c>
      <c r="AA13" s="1068">
        <v>202302</v>
      </c>
      <c r="AB13" s="1067">
        <f t="shared" si="2"/>
        <v>-3009307.34</v>
      </c>
      <c r="AC13" s="1135">
        <v>55014</v>
      </c>
      <c r="AD13" s="1067">
        <f t="shared" si="0"/>
        <v>-2954293.34</v>
      </c>
      <c r="AF13" s="1068">
        <v>202302</v>
      </c>
      <c r="AG13" s="1067">
        <f t="shared" si="3"/>
        <v>-1304965</v>
      </c>
      <c r="AH13" s="1135">
        <v>16627</v>
      </c>
      <c r="AI13" s="1067">
        <f t="shared" si="1"/>
        <v>-1288338</v>
      </c>
      <c r="AM13" s="1134">
        <v>44957</v>
      </c>
      <c r="AN13" s="1133">
        <v>1</v>
      </c>
      <c r="AO13" s="1132">
        <v>0</v>
      </c>
      <c r="AQ13" s="3888"/>
      <c r="AR13" s="3888"/>
      <c r="AS13" s="3888"/>
    </row>
    <row r="14" spans="1:46" ht="13.5" thickTop="1">
      <c r="O14" s="580" t="s">
        <v>844</v>
      </c>
      <c r="P14" s="1077">
        <v>2023</v>
      </c>
      <c r="Q14" s="1107">
        <f>R14+S14</f>
        <v>-4357234.58</v>
      </c>
      <c r="R14" s="1115">
        <f>'G-1.02 Def DR-CR'!AI17</f>
        <v>-1256574</v>
      </c>
      <c r="S14" s="1114">
        <f>'G-1.02 Def DR-CR'!AD17</f>
        <v>-3100660.58</v>
      </c>
      <c r="T14" s="999"/>
      <c r="U14" s="1107">
        <f>V14+W14</f>
        <v>0</v>
      </c>
      <c r="V14" s="1115">
        <f>'G-1.02 Def DR-CR'!AI37</f>
        <v>0</v>
      </c>
      <c r="W14" s="1114">
        <f>'G-1.02 Def DR-CR'!AD37</f>
        <v>0</v>
      </c>
      <c r="AA14" s="1068">
        <v>202303</v>
      </c>
      <c r="AB14" s="1067">
        <f t="shared" si="2"/>
        <v>-2954293.34</v>
      </c>
      <c r="AC14" s="1135">
        <v>45636</v>
      </c>
      <c r="AD14" s="1067">
        <f t="shared" si="0"/>
        <v>-2908657.34</v>
      </c>
      <c r="AF14" s="1068">
        <v>202303</v>
      </c>
      <c r="AG14" s="1067">
        <f t="shared" si="3"/>
        <v>-1288338</v>
      </c>
      <c r="AH14" s="1135">
        <v>14480</v>
      </c>
      <c r="AI14" s="1067">
        <f t="shared" si="1"/>
        <v>-1273858</v>
      </c>
      <c r="AM14" s="1134">
        <v>44985</v>
      </c>
      <c r="AN14" s="1133">
        <v>4</v>
      </c>
      <c r="AO14" s="1132">
        <v>2838.76</v>
      </c>
      <c r="AQ14" s="3888"/>
      <c r="AR14" s="3888"/>
      <c r="AS14" s="3888"/>
    </row>
    <row r="15" spans="1:46">
      <c r="A15" s="477" t="s">
        <v>901</v>
      </c>
      <c r="C15" s="516">
        <v>3425834</v>
      </c>
      <c r="G15" s="477" t="s">
        <v>905</v>
      </c>
      <c r="I15" s="867"/>
      <c r="P15" s="1050"/>
      <c r="Q15" s="1080"/>
      <c r="R15" s="1109"/>
      <c r="S15" s="1108"/>
      <c r="T15" s="999"/>
      <c r="U15" s="1080"/>
      <c r="V15" s="1109"/>
      <c r="W15" s="1108"/>
      <c r="AA15" s="1068">
        <v>202304</v>
      </c>
      <c r="AB15" s="1067">
        <f t="shared" si="2"/>
        <v>-2908657.34</v>
      </c>
      <c r="AC15" s="1135">
        <v>45044</v>
      </c>
      <c r="AD15" s="1067">
        <f t="shared" si="0"/>
        <v>-2863613.34</v>
      </c>
      <c r="AF15" s="1068">
        <v>202304</v>
      </c>
      <c r="AG15" s="1067">
        <f t="shared" si="3"/>
        <v>-1273858</v>
      </c>
      <c r="AH15" s="1135">
        <v>23485</v>
      </c>
      <c r="AI15" s="1067">
        <f t="shared" si="1"/>
        <v>-1250373</v>
      </c>
      <c r="AM15" s="1134">
        <v>45016</v>
      </c>
      <c r="AN15" s="1133">
        <v>6</v>
      </c>
      <c r="AO15" s="1132">
        <v>4766.93</v>
      </c>
      <c r="AQ15" s="3888"/>
      <c r="AR15" s="3888"/>
      <c r="AS15" s="3888"/>
    </row>
    <row r="16" spans="1:46" ht="14.5">
      <c r="A16" s="477" t="s">
        <v>900</v>
      </c>
      <c r="B16" s="515"/>
      <c r="C16" s="1162">
        <v>3922913</v>
      </c>
      <c r="I16" s="875"/>
      <c r="O16" s="478" t="s">
        <v>198</v>
      </c>
      <c r="P16" s="1050"/>
      <c r="Q16" s="1061">
        <f>Q13+Q14</f>
        <v>-8228109.9700000007</v>
      </c>
      <c r="R16" s="1120">
        <f>R13+R14</f>
        <v>-2570389</v>
      </c>
      <c r="S16" s="1119">
        <f>S13+S14</f>
        <v>-5657720.9700000007</v>
      </c>
      <c r="T16" s="999"/>
      <c r="U16" s="1061">
        <f>U13+U14</f>
        <v>0</v>
      </c>
      <c r="V16" s="1120">
        <f>V13+V14</f>
        <v>0</v>
      </c>
      <c r="W16" s="1119">
        <f>W13+W14</f>
        <v>0</v>
      </c>
      <c r="AA16" s="1068">
        <v>202305</v>
      </c>
      <c r="AB16" s="1067">
        <f t="shared" si="2"/>
        <v>-2863613.34</v>
      </c>
      <c r="AC16" s="1135">
        <v>-153573.24</v>
      </c>
      <c r="AD16" s="1067">
        <f t="shared" si="0"/>
        <v>-3017186.58</v>
      </c>
      <c r="AF16" s="1068">
        <v>202305</v>
      </c>
      <c r="AG16" s="1067">
        <f t="shared" si="3"/>
        <v>-1250373</v>
      </c>
      <c r="AH16" s="1135">
        <v>13156</v>
      </c>
      <c r="AI16" s="1067">
        <f t="shared" si="1"/>
        <v>-1237217</v>
      </c>
      <c r="AM16" s="1134">
        <v>45046</v>
      </c>
      <c r="AN16" s="1133">
        <v>10</v>
      </c>
      <c r="AO16" s="1132">
        <v>7430.39</v>
      </c>
      <c r="AQ16" s="3888"/>
      <c r="AR16" s="3888"/>
      <c r="AS16" s="3888"/>
    </row>
    <row r="17" spans="1:45">
      <c r="A17" s="477" t="s">
        <v>899</v>
      </c>
      <c r="B17" s="515"/>
      <c r="C17" s="516">
        <v>15628895</v>
      </c>
      <c r="I17" s="875"/>
      <c r="O17" s="478" t="s">
        <v>834</v>
      </c>
      <c r="P17" s="1050"/>
      <c r="Q17" s="1112" t="s">
        <v>833</v>
      </c>
      <c r="R17" s="1111" t="s">
        <v>833</v>
      </c>
      <c r="S17" s="1110" t="s">
        <v>833</v>
      </c>
      <c r="T17" s="1038"/>
      <c r="U17" s="1112" t="s">
        <v>833</v>
      </c>
      <c r="V17" s="1111" t="s">
        <v>833</v>
      </c>
      <c r="W17" s="1110" t="s">
        <v>833</v>
      </c>
      <c r="AA17" s="1068">
        <v>202306</v>
      </c>
      <c r="AB17" s="1067">
        <f t="shared" si="2"/>
        <v>-3017186.58</v>
      </c>
      <c r="AC17" s="1135">
        <v>-83474</v>
      </c>
      <c r="AD17" s="1067">
        <f t="shared" si="0"/>
        <v>-3100660.58</v>
      </c>
      <c r="AE17" s="996"/>
      <c r="AF17" s="1068">
        <v>202306</v>
      </c>
      <c r="AG17" s="1067">
        <f t="shared" si="3"/>
        <v>-1237217</v>
      </c>
      <c r="AH17" s="1135">
        <v>-19357</v>
      </c>
      <c r="AI17" s="1067">
        <f t="shared" si="1"/>
        <v>-1256574</v>
      </c>
      <c r="AM17" s="1134">
        <v>45077</v>
      </c>
      <c r="AN17" s="1133">
        <v>10</v>
      </c>
      <c r="AO17" s="1132">
        <v>9262.7900000000009</v>
      </c>
      <c r="AQ17" s="3888"/>
      <c r="AR17" s="3888"/>
      <c r="AS17" s="3888"/>
    </row>
    <row r="18" spans="1:45">
      <c r="A18" s="477" t="s">
        <v>869</v>
      </c>
      <c r="B18" s="515"/>
      <c r="C18" s="516">
        <v>-13533894</v>
      </c>
      <c r="I18" s="875"/>
      <c r="O18" s="478" t="s">
        <v>832</v>
      </c>
      <c r="P18" s="1050"/>
      <c r="Q18" s="1080">
        <f>Q16/2</f>
        <v>-4114054.9850000003</v>
      </c>
      <c r="R18" s="1120">
        <f>R16/2</f>
        <v>-1285194.5</v>
      </c>
      <c r="S18" s="1119">
        <f>S16/2</f>
        <v>-2828860.4850000003</v>
      </c>
      <c r="T18" s="999"/>
      <c r="U18" s="1080">
        <f>U16/2</f>
        <v>0</v>
      </c>
      <c r="V18" s="1120">
        <f>V16/2</f>
        <v>0</v>
      </c>
      <c r="W18" s="1119">
        <f>W16/2</f>
        <v>0</v>
      </c>
      <c r="AA18" s="1065"/>
      <c r="AB18" s="1063"/>
      <c r="AC18" s="1064">
        <f>SUM(AC6:AC17)</f>
        <v>-543600.18999999994</v>
      </c>
      <c r="AD18" s="1063"/>
      <c r="AF18" s="1065"/>
      <c r="AG18" s="1063"/>
      <c r="AH18" s="1064">
        <f>SUM(AH6:AH17)</f>
        <v>57241</v>
      </c>
      <c r="AI18" s="1063"/>
      <c r="AM18" s="1134">
        <v>45107</v>
      </c>
      <c r="AN18" s="1133">
        <v>10</v>
      </c>
      <c r="AO18" s="1132">
        <v>9781.2000000000007</v>
      </c>
      <c r="AQ18" s="3888"/>
      <c r="AR18" s="3888"/>
      <c r="AS18" s="3888"/>
    </row>
    <row r="19" spans="1:45">
      <c r="A19" s="477" t="s">
        <v>365</v>
      </c>
      <c r="B19" s="515"/>
      <c r="C19" s="516">
        <v>15046912</v>
      </c>
      <c r="I19" s="875"/>
      <c r="O19" s="580" t="s">
        <v>863</v>
      </c>
      <c r="P19" s="1050">
        <f>P13</f>
        <v>2022</v>
      </c>
      <c r="Q19" s="1061">
        <f t="shared" ref="Q19:Q29" si="4">R19+S19</f>
        <v>-3858675.39</v>
      </c>
      <c r="R19" s="1120">
        <f>'G-1.02 Def DR-CR'!AI6</f>
        <v>-1315275</v>
      </c>
      <c r="S19" s="1119">
        <f>'G-1.02 Def DR-CR'!AD6</f>
        <v>-2543400.39</v>
      </c>
      <c r="T19" s="999"/>
      <c r="U19" s="1061">
        <f t="shared" ref="U19:U29" si="5">V19+W19</f>
        <v>0</v>
      </c>
      <c r="V19" s="1120">
        <f>'G-1.02 Def DR-CR'!AI26</f>
        <v>0</v>
      </c>
      <c r="W19" s="1119">
        <f>'G-1.02 Def DR-CR'!AD26</f>
        <v>0</v>
      </c>
      <c r="AC19" s="477"/>
      <c r="AD19" s="477"/>
      <c r="AE19" s="477"/>
      <c r="AF19" s="477"/>
      <c r="AG19" s="1088"/>
      <c r="AH19" s="1088"/>
      <c r="AI19" s="1088"/>
      <c r="AQ19" s="3888"/>
      <c r="AR19" s="3888"/>
      <c r="AS19" s="3888"/>
    </row>
    <row r="20" spans="1:45" ht="13.5" thickBot="1">
      <c r="A20" s="477" t="s">
        <v>870</v>
      </c>
      <c r="C20" s="516">
        <v>1594372</v>
      </c>
      <c r="I20" s="875"/>
      <c r="O20" s="580" t="s">
        <v>861</v>
      </c>
      <c r="P20" s="1050">
        <f>P19</f>
        <v>2022</v>
      </c>
      <c r="Q20" s="1061">
        <f t="shared" si="4"/>
        <v>-3941581.39</v>
      </c>
      <c r="R20" s="1120">
        <f>'G-1.02 Def DR-CR'!AI7</f>
        <v>-1223697</v>
      </c>
      <c r="S20" s="1119">
        <f>'G-1.02 Def DR-CR'!AD7</f>
        <v>-2717884.39</v>
      </c>
      <c r="T20" s="999"/>
      <c r="U20" s="1061">
        <f t="shared" si="5"/>
        <v>0</v>
      </c>
      <c r="V20" s="1120">
        <f>'G-1.02 Def DR-CR'!AI27</f>
        <v>0</v>
      </c>
      <c r="W20" s="1119">
        <f>'G-1.02 Def DR-CR'!AD27</f>
        <v>0</v>
      </c>
      <c r="AC20" s="477"/>
      <c r="AD20" s="477"/>
      <c r="AE20" s="477"/>
      <c r="AF20" s="477"/>
      <c r="AG20" s="477"/>
      <c r="AH20" s="477"/>
      <c r="AI20" s="477"/>
      <c r="AM20" s="633" t="s">
        <v>868</v>
      </c>
      <c r="AO20" s="1130">
        <f>SUM(AO6,AO18)/2</f>
        <v>6901.56</v>
      </c>
      <c r="AQ20" s="3888"/>
      <c r="AR20" s="3888"/>
      <c r="AS20" s="3888"/>
    </row>
    <row r="21" spans="1:45">
      <c r="A21" s="182" t="s">
        <v>898</v>
      </c>
      <c r="B21" s="867"/>
      <c r="C21" s="516">
        <v>9458359</v>
      </c>
      <c r="I21" s="875"/>
      <c r="O21" s="580" t="s">
        <v>857</v>
      </c>
      <c r="P21" s="1050">
        <f>P20</f>
        <v>2022</v>
      </c>
      <c r="Q21" s="1061">
        <f t="shared" si="4"/>
        <v>-4071622.85</v>
      </c>
      <c r="R21" s="1120">
        <f>'G-1.02 Def DR-CR'!AI8</f>
        <v>-1260877</v>
      </c>
      <c r="S21" s="1119">
        <f>'G-1.02 Def DR-CR'!AD8</f>
        <v>-2810745.85</v>
      </c>
      <c r="T21" s="999"/>
      <c r="U21" s="1061">
        <f t="shared" si="5"/>
        <v>0</v>
      </c>
      <c r="V21" s="1120">
        <f>'G-1.02 Def DR-CR'!AI28</f>
        <v>0</v>
      </c>
      <c r="W21" s="1119">
        <f>'G-1.02 Def DR-CR'!AD28</f>
        <v>0</v>
      </c>
      <c r="AA21" s="477"/>
      <c r="AB21" s="477"/>
      <c r="AC21" s="477"/>
      <c r="AD21" s="477"/>
      <c r="AE21" s="477"/>
      <c r="AF21" s="477"/>
      <c r="AG21" s="477"/>
      <c r="AH21" s="477"/>
      <c r="AI21" s="477"/>
      <c r="AO21" s="1126"/>
      <c r="AQ21" s="3888"/>
      <c r="AR21" s="3888"/>
      <c r="AS21" s="3888"/>
    </row>
    <row r="22" spans="1:45" ht="15" thickBot="1">
      <c r="A22" s="477" t="s">
        <v>897</v>
      </c>
      <c r="C22" s="1161">
        <f>SUM(C13:C21)</f>
        <v>35542014</v>
      </c>
      <c r="O22" s="580" t="s">
        <v>855</v>
      </c>
      <c r="P22" s="1050">
        <f>P21</f>
        <v>2022</v>
      </c>
      <c r="Q22" s="1061">
        <f t="shared" si="4"/>
        <v>-4222702.8499999996</v>
      </c>
      <c r="R22" s="1120">
        <f>'G-1.02 Def DR-CR'!AI9</f>
        <v>-1330493</v>
      </c>
      <c r="S22" s="1119">
        <f>'G-1.02 Def DR-CR'!AD9</f>
        <v>-2892209.85</v>
      </c>
      <c r="T22" s="999"/>
      <c r="U22" s="1061">
        <f t="shared" si="5"/>
        <v>0</v>
      </c>
      <c r="V22" s="1120">
        <f>'G-1.02 Def DR-CR'!AI29</f>
        <v>0</v>
      </c>
      <c r="W22" s="1119">
        <f>'G-1.02 Def DR-CR'!AD29</f>
        <v>0</v>
      </c>
      <c r="AA22" s="477"/>
      <c r="AB22" s="477"/>
      <c r="AC22" s="477"/>
      <c r="AD22" s="477"/>
      <c r="AE22" s="477"/>
      <c r="AF22" s="477"/>
      <c r="AG22" s="477"/>
      <c r="AH22" s="477"/>
      <c r="AI22" s="477"/>
      <c r="AM22" s="531" t="s">
        <v>867</v>
      </c>
      <c r="AO22" s="1130">
        <f>(AO7+AO8+AO9+AO10+AO11+AO12+AO13+AO14+AO15+AO16+AO17+AO20)/12</f>
        <v>6026.0741666666663</v>
      </c>
      <c r="AQ22" s="3888"/>
      <c r="AR22" s="3888"/>
      <c r="AS22" s="3888"/>
    </row>
    <row r="23" spans="1:45">
      <c r="C23" s="875"/>
      <c r="O23" s="580" t="s">
        <v>854</v>
      </c>
      <c r="P23" s="1050">
        <f>P22</f>
        <v>2022</v>
      </c>
      <c r="Q23" s="1061">
        <f t="shared" si="4"/>
        <v>-4191214.33</v>
      </c>
      <c r="R23" s="1120">
        <f>'G-1.02 Def DR-CR'!AI10</f>
        <v>-1327785</v>
      </c>
      <c r="S23" s="1119">
        <f>'G-1.02 Def DR-CR'!AD10</f>
        <v>-2863429.33</v>
      </c>
      <c r="T23" s="999"/>
      <c r="U23" s="1061">
        <f t="shared" si="5"/>
        <v>0</v>
      </c>
      <c r="V23" s="1120">
        <f>'G-1.02 Def DR-CR'!AI30</f>
        <v>0</v>
      </c>
      <c r="W23" s="1119">
        <f>'G-1.02 Def DR-CR'!AD30</f>
        <v>0</v>
      </c>
      <c r="AA23" s="1071" t="s">
        <v>838</v>
      </c>
      <c r="AB23" s="1068" t="s">
        <v>865</v>
      </c>
      <c r="AC23" s="1068" t="s">
        <v>866</v>
      </c>
      <c r="AD23" s="1076"/>
      <c r="AE23" s="1128"/>
      <c r="AF23" s="1071" t="s">
        <v>838</v>
      </c>
      <c r="AG23" s="1068" t="s">
        <v>865</v>
      </c>
      <c r="AH23" s="1068" t="s">
        <v>864</v>
      </c>
      <c r="AI23" s="1076"/>
      <c r="AO23" s="1126"/>
      <c r="AQ23" s="3888"/>
      <c r="AR23" s="3888"/>
      <c r="AS23" s="3888"/>
    </row>
    <row r="24" spans="1:45">
      <c r="A24" s="477" t="s">
        <v>896</v>
      </c>
      <c r="O24" s="580" t="s">
        <v>853</v>
      </c>
      <c r="P24" s="1050">
        <f>P23</f>
        <v>2022</v>
      </c>
      <c r="Q24" s="1061">
        <f t="shared" si="4"/>
        <v>-4211506.34</v>
      </c>
      <c r="R24" s="1120">
        <f>'G-1.02 Def DR-CR'!AI11</f>
        <v>-1327785</v>
      </c>
      <c r="S24" s="1119">
        <f>'G-1.02 Def DR-CR'!AD11</f>
        <v>-2883721.34</v>
      </c>
      <c r="T24" s="999"/>
      <c r="U24" s="1061">
        <f t="shared" si="5"/>
        <v>0</v>
      </c>
      <c r="V24" s="1120">
        <f>'G-1.02 Def DR-CR'!AI31</f>
        <v>0</v>
      </c>
      <c r="W24" s="1119">
        <f>'G-1.02 Def DR-CR'!AD31</f>
        <v>0</v>
      </c>
      <c r="AA24" s="1074" t="s">
        <v>835</v>
      </c>
      <c r="AB24" s="477"/>
      <c r="AC24" s="477"/>
      <c r="AD24" s="477"/>
      <c r="AE24" s="477"/>
      <c r="AF24" s="1074" t="s">
        <v>835</v>
      </c>
      <c r="AG24" s="477"/>
      <c r="AH24" s="477"/>
      <c r="AI24" s="477"/>
      <c r="AO24" s="1126"/>
      <c r="AQ24" s="3888"/>
      <c r="AR24" s="3888"/>
      <c r="AS24" s="3888"/>
    </row>
    <row r="25" spans="1:45" ht="26">
      <c r="I25" s="875"/>
      <c r="O25" s="580" t="s">
        <v>852</v>
      </c>
      <c r="P25" s="1050">
        <f>P14</f>
        <v>2023</v>
      </c>
      <c r="Q25" s="1061">
        <f t="shared" si="4"/>
        <v>-4314272.34</v>
      </c>
      <c r="R25" s="1120">
        <f>'G-1.02 Def DR-CR'!AI12</f>
        <v>-1304965</v>
      </c>
      <c r="S25" s="1119">
        <f>'G-1.02 Def DR-CR'!AD12</f>
        <v>-3009307.34</v>
      </c>
      <c r="T25" s="999"/>
      <c r="U25" s="1061">
        <f t="shared" si="5"/>
        <v>0</v>
      </c>
      <c r="V25" s="1120">
        <f>'G-1.02 Def DR-CR'!AI32</f>
        <v>0</v>
      </c>
      <c r="W25" s="1119">
        <f>'G-1.02 Def DR-CR'!AD32</f>
        <v>0</v>
      </c>
      <c r="AA25" s="1071" t="s">
        <v>679</v>
      </c>
      <c r="AB25" s="1071" t="s">
        <v>744</v>
      </c>
      <c r="AC25" s="1071" t="s">
        <v>743</v>
      </c>
      <c r="AD25" s="1071" t="s">
        <v>745</v>
      </c>
      <c r="AE25" s="477"/>
      <c r="AF25" s="1071" t="s">
        <v>679</v>
      </c>
      <c r="AG25" s="1071" t="s">
        <v>744</v>
      </c>
      <c r="AH25" s="1071" t="s">
        <v>743</v>
      </c>
      <c r="AI25" s="1071" t="s">
        <v>745</v>
      </c>
      <c r="AO25" s="1126"/>
      <c r="AQ25" s="3888"/>
      <c r="AR25" s="3888"/>
      <c r="AS25" s="3888"/>
    </row>
    <row r="26" spans="1:45" ht="13.5" thickBot="1">
      <c r="H26" s="1131"/>
      <c r="I26" s="875"/>
      <c r="O26" s="580" t="s">
        <v>851</v>
      </c>
      <c r="P26" s="1050">
        <f>P25</f>
        <v>2023</v>
      </c>
      <c r="Q26" s="1061">
        <f t="shared" si="4"/>
        <v>-4242631.34</v>
      </c>
      <c r="R26" s="1120">
        <f>'G-1.02 Def DR-CR'!AI13</f>
        <v>-1288338</v>
      </c>
      <c r="S26" s="1119">
        <f>'G-1.02 Def DR-CR'!AD13</f>
        <v>-2954293.34</v>
      </c>
      <c r="T26" s="999"/>
      <c r="U26" s="1061">
        <f t="shared" si="5"/>
        <v>0</v>
      </c>
      <c r="V26" s="1120">
        <f>'G-1.02 Def DR-CR'!AI33</f>
        <v>0</v>
      </c>
      <c r="W26" s="1119">
        <f>'G-1.02 Def DR-CR'!AD33</f>
        <v>0</v>
      </c>
      <c r="AA26" s="1068">
        <v>202207</v>
      </c>
      <c r="AB26" s="1067">
        <v>0</v>
      </c>
      <c r="AC26" s="1067"/>
      <c r="AD26" s="1067">
        <f t="shared" ref="AD26:AD37" si="6">SUM(AB26:AC26)</f>
        <v>0</v>
      </c>
      <c r="AE26" s="996"/>
      <c r="AF26" s="1068">
        <v>202207</v>
      </c>
      <c r="AG26" s="1067">
        <v>0</v>
      </c>
      <c r="AH26" s="1067">
        <v>0</v>
      </c>
      <c r="AI26" s="1067">
        <f t="shared" ref="AI26:AI37" si="7">SUM(AG26:AH26)</f>
        <v>0</v>
      </c>
      <c r="AM26" s="531" t="s">
        <v>862</v>
      </c>
      <c r="AO26" s="1126"/>
      <c r="AP26" s="1125"/>
      <c r="AQ26" s="3886"/>
      <c r="AR26" s="3886"/>
      <c r="AS26" s="3886"/>
    </row>
    <row r="27" spans="1:45" ht="14" thickTop="1" thickBot="1">
      <c r="O27" s="580" t="s">
        <v>850</v>
      </c>
      <c r="P27" s="1050">
        <f>P26</f>
        <v>2023</v>
      </c>
      <c r="Q27" s="1061">
        <f t="shared" si="4"/>
        <v>-4182515.34</v>
      </c>
      <c r="R27" s="1120">
        <f>'G-1.02 Def DR-CR'!AI14</f>
        <v>-1273858</v>
      </c>
      <c r="S27" s="1119">
        <f>'G-1.02 Def DR-CR'!AD14</f>
        <v>-2908657.34</v>
      </c>
      <c r="T27" s="999"/>
      <c r="U27" s="1061">
        <f t="shared" si="5"/>
        <v>0</v>
      </c>
      <c r="V27" s="1120">
        <f>'G-1.02 Def DR-CR'!AI34</f>
        <v>0</v>
      </c>
      <c r="W27" s="1119">
        <f>'G-1.02 Def DR-CR'!AD34</f>
        <v>0</v>
      </c>
      <c r="AA27" s="1068">
        <v>202208</v>
      </c>
      <c r="AB27" s="1067">
        <f t="shared" ref="AB27:AB37" si="8">AD26</f>
        <v>0</v>
      </c>
      <c r="AC27" s="1067"/>
      <c r="AD27" s="1067">
        <f t="shared" si="6"/>
        <v>0</v>
      </c>
      <c r="AE27" s="477"/>
      <c r="AF27" s="1068">
        <v>202208</v>
      </c>
      <c r="AG27" s="1067">
        <v>0</v>
      </c>
      <c r="AH27" s="1067">
        <v>0</v>
      </c>
      <c r="AI27" s="1067">
        <f t="shared" si="7"/>
        <v>0</v>
      </c>
      <c r="AM27" s="477" t="s">
        <v>860</v>
      </c>
      <c r="AN27" s="1122">
        <v>0.77144000000000001</v>
      </c>
      <c r="AO27" s="1124">
        <f>AO22*AN27</f>
        <v>4648.7546551333335</v>
      </c>
      <c r="AQ27" s="3885" t="s">
        <v>859</v>
      </c>
      <c r="AR27" s="3885"/>
      <c r="AS27" s="1123" t="s">
        <v>858</v>
      </c>
    </row>
    <row r="28" spans="1:45" ht="13.5" thickTop="1">
      <c r="I28" s="875"/>
      <c r="O28" s="580" t="s">
        <v>848</v>
      </c>
      <c r="P28" s="1050">
        <f>P27</f>
        <v>2023</v>
      </c>
      <c r="Q28" s="1061">
        <f t="shared" si="4"/>
        <v>-4113986.34</v>
      </c>
      <c r="R28" s="1120">
        <f>'G-1.02 Def DR-CR'!AI15</f>
        <v>-1250373</v>
      </c>
      <c r="S28" s="1119">
        <f>'G-1.02 Def DR-CR'!AD15</f>
        <v>-2863613.34</v>
      </c>
      <c r="T28" s="999"/>
      <c r="U28" s="1061">
        <f t="shared" si="5"/>
        <v>0</v>
      </c>
      <c r="V28" s="1120">
        <f>'G-1.02 Def DR-CR'!AI35</f>
        <v>0</v>
      </c>
      <c r="W28" s="1119">
        <f>'G-1.02 Def DR-CR'!AD35</f>
        <v>0</v>
      </c>
      <c r="AA28" s="1068">
        <v>202209</v>
      </c>
      <c r="AB28" s="1067">
        <f t="shared" si="8"/>
        <v>0</v>
      </c>
      <c r="AC28" s="1067"/>
      <c r="AD28" s="1067">
        <f t="shared" si="6"/>
        <v>0</v>
      </c>
      <c r="AF28" s="1068">
        <v>202209</v>
      </c>
      <c r="AG28" s="1067">
        <v>0</v>
      </c>
      <c r="AH28" s="1067">
        <v>0</v>
      </c>
      <c r="AI28" s="1067">
        <f t="shared" si="7"/>
        <v>0</v>
      </c>
      <c r="AM28" s="477" t="s">
        <v>856</v>
      </c>
      <c r="AN28" s="1122">
        <v>0.22856000000000001</v>
      </c>
      <c r="AO28" s="1121">
        <f>AO22*AN28</f>
        <v>1377.3195115333333</v>
      </c>
      <c r="AR28" s="1117">
        <v>4.6699999999999998E-2</v>
      </c>
      <c r="AS28" s="1116">
        <f>AO27*AR28</f>
        <v>217.09684239472668</v>
      </c>
    </row>
    <row r="29" spans="1:45" ht="13.5" thickBot="1">
      <c r="O29" s="580" t="s">
        <v>846</v>
      </c>
      <c r="P29" s="1050">
        <f>P28</f>
        <v>2023</v>
      </c>
      <c r="Q29" s="1061">
        <f t="shared" si="4"/>
        <v>-4254403.58</v>
      </c>
      <c r="R29" s="1120">
        <f>'G-1.02 Def DR-CR'!AI16</f>
        <v>-1237217</v>
      </c>
      <c r="S29" s="1119">
        <f>'G-1.02 Def DR-CR'!AD16</f>
        <v>-3017186.58</v>
      </c>
      <c r="T29" s="999"/>
      <c r="U29" s="1061">
        <f t="shared" si="5"/>
        <v>0</v>
      </c>
      <c r="V29" s="1120">
        <f>'G-1.02 Def DR-CR'!AI36</f>
        <v>0</v>
      </c>
      <c r="W29" s="1119">
        <f>'G-1.02 Def DR-CR'!AD36</f>
        <v>0</v>
      </c>
      <c r="AA29" s="1068">
        <v>202210</v>
      </c>
      <c r="AB29" s="1067">
        <f t="shared" si="8"/>
        <v>0</v>
      </c>
      <c r="AC29" s="1067"/>
      <c r="AD29" s="1067">
        <f t="shared" si="6"/>
        <v>0</v>
      </c>
      <c r="AE29" s="477"/>
      <c r="AF29" s="1068">
        <v>202210</v>
      </c>
      <c r="AG29" s="1067">
        <v>0</v>
      </c>
      <c r="AH29" s="1067">
        <v>0</v>
      </c>
      <c r="AI29" s="1067">
        <f t="shared" si="7"/>
        <v>0</v>
      </c>
      <c r="AM29" s="477" t="s">
        <v>198</v>
      </c>
      <c r="AO29" s="1118">
        <f>SUM(AO27:AO28)</f>
        <v>6026.0741666666672</v>
      </c>
      <c r="AR29" s="1117">
        <f>AR28</f>
        <v>4.6699999999999998E-2</v>
      </c>
      <c r="AS29" s="1116">
        <f>AO28*AR29</f>
        <v>64.320821188606658</v>
      </c>
    </row>
    <row r="30" spans="1:45">
      <c r="P30" s="1050"/>
      <c r="Q30" s="1107"/>
      <c r="R30" s="1115"/>
      <c r="S30" s="1114"/>
      <c r="T30" s="999"/>
      <c r="U30" s="1107"/>
      <c r="V30" s="1115"/>
      <c r="W30" s="1114"/>
      <c r="AA30" s="1068">
        <v>202211</v>
      </c>
      <c r="AB30" s="1067">
        <f t="shared" si="8"/>
        <v>0</v>
      </c>
      <c r="AC30" s="1067"/>
      <c r="AD30" s="1067">
        <f t="shared" si="6"/>
        <v>0</v>
      </c>
      <c r="AE30" s="477"/>
      <c r="AF30" s="1068">
        <v>202211</v>
      </c>
      <c r="AG30" s="1067">
        <v>0</v>
      </c>
      <c r="AH30" s="1067">
        <v>0</v>
      </c>
      <c r="AI30" s="1067">
        <f t="shared" si="7"/>
        <v>0</v>
      </c>
      <c r="AS30" s="1113">
        <f>SUM(AS28:AS29)</f>
        <v>281.41766358333336</v>
      </c>
    </row>
    <row r="31" spans="1:45">
      <c r="O31" s="478" t="s">
        <v>198</v>
      </c>
      <c r="P31" s="1050"/>
      <c r="Q31" s="1080">
        <f>SUM(Q18:Q30)</f>
        <v>-49719167.075000003</v>
      </c>
      <c r="R31" s="1109">
        <f>SUM(R18:R30)</f>
        <v>-15425857.5</v>
      </c>
      <c r="S31" s="1108">
        <f>SUM(S18:S30)</f>
        <v>-34293309.574999996</v>
      </c>
      <c r="T31" s="999"/>
      <c r="U31" s="1080">
        <f>SUM(U18:U30)</f>
        <v>0</v>
      </c>
      <c r="V31" s="1109">
        <f>SUM(V18:V30)</f>
        <v>0</v>
      </c>
      <c r="W31" s="1108">
        <f>SUM(W18:W30)</f>
        <v>0</v>
      </c>
      <c r="AA31" s="1068">
        <v>202212</v>
      </c>
      <c r="AB31" s="1067">
        <f t="shared" si="8"/>
        <v>0</v>
      </c>
      <c r="AC31" s="1067"/>
      <c r="AD31" s="1067">
        <f t="shared" si="6"/>
        <v>0</v>
      </c>
      <c r="AE31" s="477"/>
      <c r="AF31" s="1068">
        <v>202212</v>
      </c>
      <c r="AG31" s="1067">
        <v>0</v>
      </c>
      <c r="AH31" s="1067">
        <v>0</v>
      </c>
      <c r="AI31" s="1067">
        <f t="shared" si="7"/>
        <v>0</v>
      </c>
    </row>
    <row r="32" spans="1:45">
      <c r="O32" s="478" t="s">
        <v>831</v>
      </c>
      <c r="P32" s="1050"/>
      <c r="Q32" s="1112" t="s">
        <v>830</v>
      </c>
      <c r="R32" s="1111" t="s">
        <v>830</v>
      </c>
      <c r="S32" s="1110" t="s">
        <v>830</v>
      </c>
      <c r="T32" s="1038"/>
      <c r="U32" s="1112" t="s">
        <v>830</v>
      </c>
      <c r="V32" s="1111" t="s">
        <v>830</v>
      </c>
      <c r="W32" s="1110" t="s">
        <v>830</v>
      </c>
      <c r="AA32" s="1068">
        <v>202301</v>
      </c>
      <c r="AB32" s="1067">
        <f t="shared" si="8"/>
        <v>0</v>
      </c>
      <c r="AC32" s="1067"/>
      <c r="AD32" s="1067">
        <f t="shared" si="6"/>
        <v>0</v>
      </c>
      <c r="AE32" s="477"/>
      <c r="AF32" s="1068">
        <v>202301</v>
      </c>
      <c r="AG32" s="1067">
        <v>0</v>
      </c>
      <c r="AH32" s="1067">
        <v>0</v>
      </c>
      <c r="AI32" s="1067">
        <f t="shared" si="7"/>
        <v>0</v>
      </c>
    </row>
    <row r="33" spans="15:39">
      <c r="P33" s="1050"/>
      <c r="Q33" s="1080"/>
      <c r="R33" s="1109"/>
      <c r="S33" s="1108"/>
      <c r="T33" s="999"/>
      <c r="U33" s="1080"/>
      <c r="V33" s="1109"/>
      <c r="W33" s="1108"/>
      <c r="AA33" s="1068">
        <v>202302</v>
      </c>
      <c r="AB33" s="1067">
        <f t="shared" si="8"/>
        <v>0</v>
      </c>
      <c r="AC33" s="1067"/>
      <c r="AD33" s="1067">
        <f t="shared" si="6"/>
        <v>0</v>
      </c>
      <c r="AE33" s="477"/>
      <c r="AF33" s="1068">
        <v>202302</v>
      </c>
      <c r="AG33" s="1067">
        <v>0</v>
      </c>
      <c r="AH33" s="1067">
        <v>0</v>
      </c>
      <c r="AI33" s="1067">
        <f t="shared" si="7"/>
        <v>0</v>
      </c>
    </row>
    <row r="34" spans="15:39" ht="13.5" thickBot="1">
      <c r="O34" s="478" t="s">
        <v>828</v>
      </c>
      <c r="P34" s="1050"/>
      <c r="Q34" s="1107">
        <f>Q31/12</f>
        <v>-4143263.9229166671</v>
      </c>
      <c r="R34" s="1106">
        <f>R31/12</f>
        <v>-1285488.125</v>
      </c>
      <c r="S34" s="1105">
        <f>S31/12</f>
        <v>-2857775.7979166661</v>
      </c>
      <c r="T34" s="999"/>
      <c r="U34" s="1107">
        <f>U31/12</f>
        <v>0</v>
      </c>
      <c r="V34" s="1106">
        <f>V31/12</f>
        <v>0</v>
      </c>
      <c r="W34" s="1105">
        <f>W31/12</f>
        <v>0</v>
      </c>
      <c r="AA34" s="1068">
        <v>202303</v>
      </c>
      <c r="AB34" s="1067">
        <f t="shared" si="8"/>
        <v>0</v>
      </c>
      <c r="AC34" s="1067"/>
      <c r="AD34" s="1067">
        <f t="shared" si="6"/>
        <v>0</v>
      </c>
      <c r="AE34" s="477"/>
      <c r="AF34" s="1068">
        <v>202303</v>
      </c>
      <c r="AG34" s="1067">
        <v>0</v>
      </c>
      <c r="AH34" s="1067">
        <v>0</v>
      </c>
      <c r="AI34" s="1067">
        <f t="shared" si="7"/>
        <v>0</v>
      </c>
      <c r="AM34" s="633" t="s">
        <v>849</v>
      </c>
    </row>
    <row r="35" spans="15:39">
      <c r="Q35" s="999"/>
      <c r="T35" s="999"/>
      <c r="U35" s="999"/>
      <c r="V35" s="999"/>
      <c r="W35" s="999"/>
      <c r="AA35" s="1068">
        <v>202304</v>
      </c>
      <c r="AB35" s="1067">
        <f t="shared" si="8"/>
        <v>0</v>
      </c>
      <c r="AC35" s="1067"/>
      <c r="AD35" s="1067">
        <f t="shared" si="6"/>
        <v>0</v>
      </c>
      <c r="AE35" s="477"/>
      <c r="AF35" s="1068">
        <v>202304</v>
      </c>
      <c r="AG35" s="1067">
        <v>0</v>
      </c>
      <c r="AH35" s="1067">
        <v>0</v>
      </c>
      <c r="AI35" s="1067">
        <f t="shared" si="7"/>
        <v>0</v>
      </c>
      <c r="AM35" s="633" t="s">
        <v>847</v>
      </c>
    </row>
    <row r="36" spans="15:39">
      <c r="V36" s="999"/>
      <c r="AA36" s="1068">
        <v>202305</v>
      </c>
      <c r="AB36" s="1067">
        <f t="shared" si="8"/>
        <v>0</v>
      </c>
      <c r="AC36" s="1067"/>
      <c r="AD36" s="1067">
        <f t="shared" si="6"/>
        <v>0</v>
      </c>
      <c r="AE36" s="477"/>
      <c r="AF36" s="1068">
        <v>202305</v>
      </c>
      <c r="AG36" s="1067">
        <v>0</v>
      </c>
      <c r="AH36" s="1067">
        <v>0</v>
      </c>
      <c r="AI36" s="1067">
        <f t="shared" si="7"/>
        <v>0</v>
      </c>
      <c r="AM36" s="633" t="s">
        <v>845</v>
      </c>
    </row>
    <row r="37" spans="15:39">
      <c r="P37" s="1050"/>
      <c r="Q37" s="1102" t="s">
        <v>198</v>
      </c>
      <c r="R37" s="1101" t="s">
        <v>819</v>
      </c>
      <c r="S37" s="1100"/>
      <c r="T37" s="1099" t="s">
        <v>78</v>
      </c>
      <c r="U37" s="1098"/>
      <c r="AA37" s="1068">
        <v>202306</v>
      </c>
      <c r="AB37" s="1067">
        <f t="shared" si="8"/>
        <v>0</v>
      </c>
      <c r="AC37" s="1067"/>
      <c r="AD37" s="1067">
        <f t="shared" si="6"/>
        <v>0</v>
      </c>
      <c r="AE37" s="996"/>
      <c r="AF37" s="1068">
        <v>202306</v>
      </c>
      <c r="AG37" s="1067">
        <v>0</v>
      </c>
      <c r="AH37" s="1067">
        <v>0</v>
      </c>
      <c r="AI37" s="1067">
        <f t="shared" si="7"/>
        <v>0</v>
      </c>
    </row>
    <row r="38" spans="15:39">
      <c r="P38" s="1050"/>
      <c r="Q38" s="1097" t="s">
        <v>843</v>
      </c>
      <c r="R38" s="1096"/>
      <c r="S38" s="1095"/>
      <c r="T38" s="1094"/>
      <c r="U38" s="1093"/>
      <c r="W38" s="579"/>
      <c r="AA38" s="1065"/>
      <c r="AB38" s="1063"/>
      <c r="AC38" s="1063">
        <f>SUM(AC26:AC37)</f>
        <v>0</v>
      </c>
      <c r="AD38" s="1063"/>
      <c r="AE38" s="477"/>
      <c r="AF38" s="1065"/>
      <c r="AG38" s="1063"/>
      <c r="AH38" s="1063">
        <f>SUM(AH26:AH37)</f>
        <v>0</v>
      </c>
      <c r="AI38" s="1063"/>
    </row>
    <row r="39" spans="15:39">
      <c r="P39" s="1050"/>
      <c r="Q39" s="1091" t="s">
        <v>842</v>
      </c>
      <c r="R39" s="1090" t="s">
        <v>841</v>
      </c>
      <c r="S39" s="1091" t="s">
        <v>81</v>
      </c>
      <c r="T39" s="1090" t="s">
        <v>841</v>
      </c>
      <c r="U39" s="1089" t="s">
        <v>81</v>
      </c>
      <c r="W39" s="579"/>
      <c r="AB39" s="1088"/>
      <c r="AC39" s="1088"/>
      <c r="AD39" s="1088"/>
      <c r="AE39" s="477"/>
      <c r="AF39" s="477"/>
      <c r="AG39" s="1088"/>
      <c r="AH39" s="1088"/>
      <c r="AI39" s="1059"/>
    </row>
    <row r="40" spans="15:39">
      <c r="O40" s="1087" t="s">
        <v>840</v>
      </c>
      <c r="P40" s="1050"/>
      <c r="Q40" s="1086">
        <v>252000</v>
      </c>
      <c r="R40" s="1084">
        <v>252000</v>
      </c>
      <c r="S40" s="1085">
        <v>252000</v>
      </c>
      <c r="T40" s="1084">
        <v>252000</v>
      </c>
      <c r="U40" s="1083">
        <v>252000</v>
      </c>
      <c r="AB40" s="477"/>
      <c r="AC40" s="477"/>
      <c r="AD40" s="477"/>
      <c r="AE40" s="477"/>
      <c r="AF40" s="477"/>
      <c r="AG40" s="477"/>
      <c r="AH40" s="477"/>
    </row>
    <row r="41" spans="15:39">
      <c r="O41" s="1082"/>
      <c r="P41" s="1050"/>
      <c r="Q41" s="1081" t="s">
        <v>839</v>
      </c>
      <c r="R41" s="1080"/>
      <c r="T41" s="999"/>
      <c r="U41" s="1079"/>
      <c r="AA41" s="477"/>
      <c r="AB41" s="477"/>
      <c r="AC41" s="477"/>
      <c r="AD41" s="477"/>
      <c r="AF41" s="477"/>
      <c r="AG41" s="477"/>
      <c r="AH41" s="477"/>
      <c r="AI41" s="477"/>
    </row>
    <row r="42" spans="15:39">
      <c r="O42" s="580" t="str">
        <f>O13</f>
        <v>June</v>
      </c>
      <c r="P42" s="1077">
        <f>P13</f>
        <v>2022</v>
      </c>
      <c r="Q42" s="1066">
        <f>'G-1.02 Def DR-CR'!AB46</f>
        <v>0</v>
      </c>
      <c r="R42" s="1061"/>
      <c r="T42" s="999"/>
      <c r="U42" s="1060"/>
      <c r="AA42" s="477"/>
      <c r="AB42" s="477"/>
      <c r="AC42" s="477"/>
      <c r="AD42" s="477"/>
      <c r="AF42" s="477"/>
      <c r="AG42" s="477"/>
      <c r="AH42" s="477"/>
      <c r="AI42" s="477"/>
    </row>
    <row r="43" spans="15:39">
      <c r="O43" s="580" t="str">
        <f>O14</f>
        <v>June</v>
      </c>
      <c r="P43" s="1077">
        <f>P14</f>
        <v>2023</v>
      </c>
      <c r="Q43" s="1062">
        <f>'G-1.02 Def DR-CR'!AD57</f>
        <v>0</v>
      </c>
      <c r="R43" s="1061"/>
      <c r="T43" s="999"/>
      <c r="U43" s="1060"/>
      <c r="AA43" s="1071" t="s">
        <v>838</v>
      </c>
      <c r="AB43" s="1068" t="s">
        <v>837</v>
      </c>
      <c r="AC43" s="1068" t="s">
        <v>836</v>
      </c>
      <c r="AD43" s="1076"/>
      <c r="AE43" s="1075"/>
      <c r="AF43" s="477"/>
      <c r="AG43" s="477"/>
      <c r="AH43" s="477"/>
      <c r="AI43" s="477"/>
    </row>
    <row r="44" spans="15:39">
      <c r="P44" s="1050"/>
      <c r="Q44" s="1054"/>
      <c r="R44" s="1053"/>
      <c r="S44" s="1052"/>
      <c r="T44" s="1052"/>
      <c r="U44" s="1051"/>
      <c r="AA44" s="1074" t="s">
        <v>835</v>
      </c>
      <c r="AB44" s="477"/>
      <c r="AC44" s="477"/>
      <c r="AD44" s="477"/>
      <c r="AF44" s="477"/>
      <c r="AG44" s="477"/>
      <c r="AH44" s="477"/>
      <c r="AI44" s="477"/>
    </row>
    <row r="45" spans="15:39" ht="26">
      <c r="O45" s="478" t="s">
        <v>198</v>
      </c>
      <c r="P45" s="1050"/>
      <c r="Q45" s="1073">
        <f>Q42+Q43</f>
        <v>0</v>
      </c>
      <c r="R45" s="1073"/>
      <c r="T45" s="999"/>
      <c r="U45" s="1060"/>
      <c r="AA45" s="1071" t="s">
        <v>679</v>
      </c>
      <c r="AB45" s="1071" t="s">
        <v>744</v>
      </c>
      <c r="AC45" s="1072" t="s">
        <v>743</v>
      </c>
      <c r="AD45" s="1071" t="s">
        <v>745</v>
      </c>
      <c r="AE45" s="477"/>
      <c r="AF45" s="477"/>
      <c r="AG45" s="477"/>
      <c r="AH45" s="477"/>
      <c r="AI45" s="477"/>
    </row>
    <row r="46" spans="15:39">
      <c r="O46" s="478" t="s">
        <v>834</v>
      </c>
      <c r="P46" s="1050"/>
      <c r="Q46" s="1058" t="s">
        <v>833</v>
      </c>
      <c r="R46" s="1057"/>
      <c r="S46" s="1056"/>
      <c r="T46" s="1056"/>
      <c r="U46" s="1055"/>
      <c r="AA46" s="1068">
        <v>202207</v>
      </c>
      <c r="AB46" s="1067">
        <v>0</v>
      </c>
      <c r="AC46" s="1067">
        <v>0</v>
      </c>
      <c r="AD46" s="1067">
        <f t="shared" ref="AD46:AD57" si="9">SUM(AB46:AC46)</f>
        <v>0</v>
      </c>
      <c r="AE46" s="477"/>
      <c r="AF46" s="477"/>
      <c r="AG46" s="477"/>
      <c r="AH46" s="477"/>
      <c r="AI46" s="477"/>
    </row>
    <row r="47" spans="15:39">
      <c r="O47" s="478" t="s">
        <v>832</v>
      </c>
      <c r="P47" s="1050"/>
      <c r="Q47" s="1070">
        <f>Q45/2</f>
        <v>0</v>
      </c>
      <c r="R47" s="1061"/>
      <c r="T47" s="999"/>
      <c r="U47" s="1060"/>
      <c r="AA47" s="1068">
        <v>202208</v>
      </c>
      <c r="AB47" s="1067">
        <f t="shared" ref="AB47:AB57" si="10">AD46</f>
        <v>0</v>
      </c>
      <c r="AC47" s="1067">
        <v>0</v>
      </c>
      <c r="AD47" s="1067">
        <f t="shared" si="9"/>
        <v>0</v>
      </c>
      <c r="AE47" s="477"/>
      <c r="AF47" s="477"/>
      <c r="AG47" s="477"/>
      <c r="AH47" s="477"/>
      <c r="AI47" s="477"/>
    </row>
    <row r="48" spans="15:39">
      <c r="O48" s="580" t="str">
        <f t="shared" ref="O48:P58" si="11">O19</f>
        <v>July</v>
      </c>
      <c r="P48" s="580">
        <f t="shared" si="11"/>
        <v>2022</v>
      </c>
      <c r="Q48" s="1066">
        <f>'G-1.02 Def DR-CR'!AD46</f>
        <v>0</v>
      </c>
      <c r="R48" s="1061"/>
      <c r="T48" s="999"/>
      <c r="U48" s="1060"/>
      <c r="AA48" s="1068">
        <v>202209</v>
      </c>
      <c r="AB48" s="1067">
        <f t="shared" si="10"/>
        <v>0</v>
      </c>
      <c r="AC48" s="1067">
        <v>0</v>
      </c>
      <c r="AD48" s="1067">
        <f t="shared" si="9"/>
        <v>0</v>
      </c>
      <c r="AE48" s="477"/>
      <c r="AF48" s="477"/>
      <c r="AG48" s="477"/>
      <c r="AH48" s="477"/>
      <c r="AI48" s="477"/>
    </row>
    <row r="49" spans="15:35">
      <c r="O49" s="580" t="str">
        <f t="shared" si="11"/>
        <v>August</v>
      </c>
      <c r="P49" s="580">
        <f t="shared" si="11"/>
        <v>2022</v>
      </c>
      <c r="Q49" s="1066">
        <f>'G-1.02 Def DR-CR'!AD47</f>
        <v>0</v>
      </c>
      <c r="R49" s="1061"/>
      <c r="T49" s="999"/>
      <c r="U49" s="1060"/>
      <c r="AA49" s="1068">
        <v>202210</v>
      </c>
      <c r="AB49" s="1067">
        <f t="shared" si="10"/>
        <v>0</v>
      </c>
      <c r="AC49" s="1067">
        <v>0</v>
      </c>
      <c r="AD49" s="1067">
        <f t="shared" si="9"/>
        <v>0</v>
      </c>
      <c r="AE49" s="477"/>
      <c r="AF49" s="477"/>
      <c r="AG49" s="477"/>
      <c r="AH49" s="477"/>
      <c r="AI49" s="477"/>
    </row>
    <row r="50" spans="15:35">
      <c r="O50" s="580" t="str">
        <f t="shared" si="11"/>
        <v>September</v>
      </c>
      <c r="P50" s="580">
        <f t="shared" si="11"/>
        <v>2022</v>
      </c>
      <c r="Q50" s="1066">
        <f>'G-1.02 Def DR-CR'!AD48</f>
        <v>0</v>
      </c>
      <c r="R50" s="1061"/>
      <c r="T50" s="999"/>
      <c r="U50" s="1060"/>
      <c r="AA50" s="1068">
        <v>202211</v>
      </c>
      <c r="AB50" s="1067">
        <f t="shared" si="10"/>
        <v>0</v>
      </c>
      <c r="AC50" s="1067">
        <v>0</v>
      </c>
      <c r="AD50" s="1067">
        <f t="shared" si="9"/>
        <v>0</v>
      </c>
      <c r="AE50" s="477"/>
      <c r="AF50" s="477"/>
      <c r="AG50" s="477"/>
      <c r="AH50" s="477"/>
      <c r="AI50" s="477"/>
    </row>
    <row r="51" spans="15:35">
      <c r="O51" s="580" t="str">
        <f t="shared" si="11"/>
        <v>October</v>
      </c>
      <c r="P51" s="580">
        <f t="shared" si="11"/>
        <v>2022</v>
      </c>
      <c r="Q51" s="1066">
        <f>'G-1.02 Def DR-CR'!AD49</f>
        <v>0</v>
      </c>
      <c r="R51" s="1061"/>
      <c r="T51" s="999"/>
      <c r="U51" s="1060"/>
      <c r="AA51" s="1068">
        <v>202212</v>
      </c>
      <c r="AB51" s="1067">
        <f t="shared" si="10"/>
        <v>0</v>
      </c>
      <c r="AC51" s="1067">
        <v>0</v>
      </c>
      <c r="AD51" s="1067">
        <f t="shared" si="9"/>
        <v>0</v>
      </c>
      <c r="AE51" s="477"/>
      <c r="AF51" s="477"/>
      <c r="AG51" s="477"/>
      <c r="AH51" s="477"/>
      <c r="AI51" s="477"/>
    </row>
    <row r="52" spans="15:35">
      <c r="O52" s="580" t="str">
        <f t="shared" si="11"/>
        <v>November</v>
      </c>
      <c r="P52" s="580">
        <f t="shared" si="11"/>
        <v>2022</v>
      </c>
      <c r="Q52" s="1066">
        <f>'G-1.02 Def DR-CR'!AD50</f>
        <v>0</v>
      </c>
      <c r="R52" s="1061"/>
      <c r="T52" s="999"/>
      <c r="U52" s="1060"/>
      <c r="AA52" s="1068">
        <v>202301</v>
      </c>
      <c r="AB52" s="1067">
        <f t="shared" si="10"/>
        <v>0</v>
      </c>
      <c r="AC52" s="1067">
        <v>0</v>
      </c>
      <c r="AD52" s="1067">
        <f t="shared" si="9"/>
        <v>0</v>
      </c>
      <c r="AE52" s="477"/>
      <c r="AF52" s="477"/>
      <c r="AG52" s="477"/>
      <c r="AH52" s="477"/>
      <c r="AI52" s="477"/>
    </row>
    <row r="53" spans="15:35">
      <c r="O53" s="580" t="str">
        <f t="shared" si="11"/>
        <v>December</v>
      </c>
      <c r="P53" s="580">
        <f t="shared" si="11"/>
        <v>2022</v>
      </c>
      <c r="Q53" s="1066">
        <f>'G-1.02 Def DR-CR'!AD51</f>
        <v>0</v>
      </c>
      <c r="R53" s="1061"/>
      <c r="T53" s="999"/>
      <c r="U53" s="1060"/>
      <c r="AA53" s="1068">
        <v>202302</v>
      </c>
      <c r="AB53" s="1067">
        <f t="shared" si="10"/>
        <v>0</v>
      </c>
      <c r="AC53" s="1067">
        <v>0</v>
      </c>
      <c r="AD53" s="1067">
        <f t="shared" si="9"/>
        <v>0</v>
      </c>
      <c r="AE53" s="477"/>
      <c r="AF53" s="477"/>
      <c r="AG53" s="477"/>
      <c r="AH53" s="477"/>
      <c r="AI53" s="477"/>
    </row>
    <row r="54" spans="15:35">
      <c r="O54" s="580" t="str">
        <f t="shared" si="11"/>
        <v>January</v>
      </c>
      <c r="P54" s="580">
        <f t="shared" si="11"/>
        <v>2023</v>
      </c>
      <c r="Q54" s="1066">
        <f>'G-1.02 Def DR-CR'!AD52</f>
        <v>0</v>
      </c>
      <c r="R54" s="1061"/>
      <c r="T54" s="999"/>
      <c r="U54" s="1060"/>
      <c r="AA54" s="1068">
        <v>202303</v>
      </c>
      <c r="AB54" s="1067">
        <f t="shared" si="10"/>
        <v>0</v>
      </c>
      <c r="AC54" s="1067">
        <v>0</v>
      </c>
      <c r="AD54" s="1067">
        <f t="shared" si="9"/>
        <v>0</v>
      </c>
      <c r="AE54" s="477"/>
      <c r="AF54" s="477"/>
      <c r="AG54" s="477"/>
      <c r="AH54" s="477"/>
      <c r="AI54" s="477"/>
    </row>
    <row r="55" spans="15:35">
      <c r="O55" s="580" t="str">
        <f t="shared" si="11"/>
        <v>February</v>
      </c>
      <c r="P55" s="580">
        <f t="shared" si="11"/>
        <v>2023</v>
      </c>
      <c r="Q55" s="1066">
        <f>'G-1.02 Def DR-CR'!AD53</f>
        <v>0</v>
      </c>
      <c r="R55" s="1061"/>
      <c r="T55" s="999"/>
      <c r="U55" s="1060"/>
      <c r="AA55" s="1068">
        <v>202304</v>
      </c>
      <c r="AB55" s="1067">
        <f t="shared" si="10"/>
        <v>0</v>
      </c>
      <c r="AC55" s="1067">
        <v>0</v>
      </c>
      <c r="AD55" s="1067">
        <f t="shared" si="9"/>
        <v>0</v>
      </c>
      <c r="AE55" s="477"/>
      <c r="AF55" s="477"/>
      <c r="AG55" s="477"/>
      <c r="AH55" s="477"/>
      <c r="AI55" s="477"/>
    </row>
    <row r="56" spans="15:35">
      <c r="O56" s="580" t="str">
        <f t="shared" si="11"/>
        <v>March</v>
      </c>
      <c r="P56" s="580">
        <f t="shared" si="11"/>
        <v>2023</v>
      </c>
      <c r="Q56" s="1066">
        <f>'G-1.02 Def DR-CR'!AD54</f>
        <v>0</v>
      </c>
      <c r="R56" s="1061"/>
      <c r="T56" s="999"/>
      <c r="U56" s="1060"/>
      <c r="AA56" s="1068">
        <v>202305</v>
      </c>
      <c r="AB56" s="1067">
        <f t="shared" si="10"/>
        <v>0</v>
      </c>
      <c r="AC56" s="1067">
        <v>0</v>
      </c>
      <c r="AD56" s="1067">
        <f t="shared" si="9"/>
        <v>0</v>
      </c>
      <c r="AE56" s="477"/>
      <c r="AF56" s="477"/>
      <c r="AG56" s="477"/>
      <c r="AH56" s="477"/>
      <c r="AI56" s="477"/>
    </row>
    <row r="57" spans="15:35">
      <c r="O57" s="580" t="str">
        <f t="shared" si="11"/>
        <v>April</v>
      </c>
      <c r="P57" s="580">
        <f t="shared" si="11"/>
        <v>2023</v>
      </c>
      <c r="Q57" s="1066">
        <f>'G-1.02 Def DR-CR'!AD55</f>
        <v>0</v>
      </c>
      <c r="R57" s="1061"/>
      <c r="T57" s="999"/>
      <c r="U57" s="1060"/>
      <c r="AA57" s="1068">
        <v>202306</v>
      </c>
      <c r="AB57" s="1067">
        <f t="shared" si="10"/>
        <v>0</v>
      </c>
      <c r="AC57" s="1067">
        <v>0</v>
      </c>
      <c r="AD57" s="1067">
        <f t="shared" si="9"/>
        <v>0</v>
      </c>
      <c r="AE57" s="477"/>
      <c r="AF57" s="477"/>
      <c r="AG57" s="477"/>
      <c r="AH57" s="477"/>
      <c r="AI57" s="477"/>
    </row>
    <row r="58" spans="15:35">
      <c r="O58" s="580" t="str">
        <f t="shared" si="11"/>
        <v>May</v>
      </c>
      <c r="P58" s="580">
        <f t="shared" si="11"/>
        <v>2023</v>
      </c>
      <c r="Q58" s="1066">
        <f>'G-1.02 Def DR-CR'!AD56</f>
        <v>0</v>
      </c>
      <c r="R58" s="1061"/>
      <c r="T58" s="999"/>
      <c r="U58" s="1060"/>
      <c r="AA58" s="1065"/>
      <c r="AB58" s="1063"/>
      <c r="AC58" s="1064">
        <f>SUM(AC46:AC57)</f>
        <v>0</v>
      </c>
      <c r="AD58" s="1063"/>
      <c r="AE58" s="477"/>
      <c r="AF58" s="477"/>
      <c r="AG58" s="477"/>
      <c r="AH58" s="477"/>
      <c r="AI58" s="477"/>
    </row>
    <row r="59" spans="15:35">
      <c r="P59" s="1050"/>
      <c r="Q59" s="1062"/>
      <c r="R59" s="1061"/>
      <c r="T59" s="999"/>
      <c r="U59" s="1060"/>
      <c r="AB59" s="1059"/>
      <c r="AC59" s="1059"/>
      <c r="AD59" s="1059"/>
    </row>
    <row r="60" spans="15:35">
      <c r="O60" s="478" t="s">
        <v>198</v>
      </c>
      <c r="P60" s="1050"/>
      <c r="Q60" s="1054">
        <f>SUM(Q47:Q59)</f>
        <v>0</v>
      </c>
      <c r="R60" s="1053"/>
      <c r="S60" s="1052"/>
      <c r="T60" s="1052"/>
      <c r="U60" s="1051"/>
    </row>
    <row r="61" spans="15:35">
      <c r="O61" s="478" t="s">
        <v>831</v>
      </c>
      <c r="P61" s="1050"/>
      <c r="Q61" s="1058" t="s">
        <v>830</v>
      </c>
      <c r="R61" s="1057"/>
      <c r="S61" s="1056"/>
      <c r="T61" s="1056"/>
      <c r="U61" s="1055"/>
    </row>
    <row r="62" spans="15:35">
      <c r="P62" s="1050"/>
      <c r="Q62" s="1054">
        <f>Q60/12</f>
        <v>0</v>
      </c>
      <c r="R62" s="1053" t="s">
        <v>829</v>
      </c>
      <c r="S62" s="1052"/>
      <c r="T62" s="1052"/>
      <c r="U62" s="1051"/>
    </row>
    <row r="63" spans="15:35">
      <c r="O63" s="478" t="s">
        <v>828</v>
      </c>
      <c r="P63" s="1050"/>
      <c r="Q63" s="1049">
        <f>SUM($R63:$U63)</f>
        <v>0</v>
      </c>
      <c r="R63" s="1049">
        <f>'G-1.02 Def DR-CR'!T70</f>
        <v>0</v>
      </c>
      <c r="S63" s="1048">
        <f>'G-1.02 Def DR-CR'!T71</f>
        <v>0</v>
      </c>
      <c r="T63" s="1048">
        <f>'G-1.02 Def DR-CR'!T73</f>
        <v>0</v>
      </c>
      <c r="U63" s="1047">
        <f>'G-1.02 Def DR-CR'!T74</f>
        <v>0</v>
      </c>
    </row>
    <row r="64" spans="15:35">
      <c r="Q64" s="999"/>
      <c r="T64" s="999"/>
      <c r="U64" s="999"/>
    </row>
    <row r="65" spans="15:22">
      <c r="T65" s="999"/>
      <c r="U65" s="999"/>
      <c r="V65" s="999"/>
    </row>
    <row r="66" spans="15:22">
      <c r="O66" s="1031" t="s">
        <v>827</v>
      </c>
    </row>
    <row r="68" spans="15:22">
      <c r="O68" s="1037"/>
      <c r="P68" s="1036"/>
      <c r="Q68" s="1045" t="s">
        <v>45</v>
      </c>
      <c r="R68" s="1036"/>
      <c r="S68" s="1036"/>
      <c r="T68" s="1044" t="s">
        <v>826</v>
      </c>
      <c r="U68" s="1046"/>
      <c r="V68" s="1031"/>
    </row>
    <row r="69" spans="15:22">
      <c r="O69" s="1037" t="s">
        <v>825</v>
      </c>
      <c r="P69" s="1036"/>
      <c r="Q69" s="1045" t="s">
        <v>648</v>
      </c>
      <c r="R69" s="1044" t="s">
        <v>824</v>
      </c>
      <c r="S69" s="1036"/>
      <c r="T69" s="1044" t="s">
        <v>823</v>
      </c>
      <c r="U69" s="1043"/>
      <c r="V69" s="1038"/>
    </row>
    <row r="70" spans="15:22">
      <c r="O70" s="1037"/>
      <c r="P70" s="1036" t="s">
        <v>763</v>
      </c>
      <c r="Q70" s="1041">
        <v>1486383654</v>
      </c>
      <c r="R70" s="1039">
        <f>ROUND(Q70/$Q$78,4)</f>
        <v>0.40329999999999999</v>
      </c>
      <c r="S70" s="1036"/>
      <c r="T70" s="1013">
        <f>ROUND($T$78*R70,0)</f>
        <v>0</v>
      </c>
      <c r="U70" s="1038"/>
      <c r="V70" s="1038"/>
    </row>
    <row r="71" spans="15:22">
      <c r="O71" s="1037"/>
      <c r="P71" s="1036" t="s">
        <v>683</v>
      </c>
      <c r="Q71" s="1041">
        <v>750668689</v>
      </c>
      <c r="R71" s="1039">
        <f>ROUND(Q71/$Q$78,4)</f>
        <v>0.20369999999999999</v>
      </c>
      <c r="S71" s="1036"/>
      <c r="T71" s="1013">
        <f>ROUND($T$78*R71,0)</f>
        <v>0</v>
      </c>
      <c r="U71" s="1042"/>
      <c r="V71" s="1042"/>
    </row>
    <row r="72" spans="15:22">
      <c r="O72" s="1037" t="s">
        <v>822</v>
      </c>
      <c r="P72" s="1036"/>
      <c r="Q72" s="1041"/>
      <c r="R72" s="1036"/>
      <c r="S72" s="1036"/>
      <c r="T72" s="1013"/>
    </row>
    <row r="73" spans="15:22">
      <c r="O73" s="1037"/>
      <c r="P73" s="1036" t="s">
        <v>763</v>
      </c>
      <c r="Q73" s="1041">
        <v>650522559</v>
      </c>
      <c r="R73" s="1039">
        <f>ROUND(Q73/$Q$78,4)</f>
        <v>0.17649999999999999</v>
      </c>
      <c r="S73" s="1036"/>
      <c r="T73" s="1013">
        <f>ROUND($T$78*R73,0)</f>
        <v>0</v>
      </c>
      <c r="U73" s="999"/>
      <c r="V73" s="999"/>
    </row>
    <row r="74" spans="15:22">
      <c r="O74" s="1037"/>
      <c r="P74" s="1036" t="s">
        <v>683</v>
      </c>
      <c r="Q74" s="1041">
        <v>300337431</v>
      </c>
      <c r="R74" s="1039">
        <f>ROUND(Q74/$Q$78,4)</f>
        <v>8.1500000000000003E-2</v>
      </c>
      <c r="S74" s="1036"/>
      <c r="T74" s="1013">
        <f>ROUND($T$78*R74,0)</f>
        <v>0</v>
      </c>
      <c r="U74" s="999"/>
      <c r="V74" s="999"/>
    </row>
    <row r="75" spans="15:22">
      <c r="O75" s="1037" t="s">
        <v>821</v>
      </c>
      <c r="P75" s="1036"/>
      <c r="Q75" s="1041"/>
      <c r="R75" s="1036"/>
      <c r="S75" s="1036"/>
      <c r="T75" s="1013"/>
      <c r="U75" s="999"/>
      <c r="V75" s="999"/>
    </row>
    <row r="76" spans="15:22">
      <c r="O76" s="1037"/>
      <c r="P76" s="1036" t="s">
        <v>676</v>
      </c>
      <c r="Q76" s="1041">
        <v>497378635</v>
      </c>
      <c r="R76" s="1039">
        <f>ROUND(Q76/$Q$78,4)</f>
        <v>0.13500000000000001</v>
      </c>
      <c r="S76" s="1036"/>
      <c r="T76" s="1013">
        <f>ROUND($T$78*R76,0)</f>
        <v>0</v>
      </c>
      <c r="U76" s="999"/>
      <c r="V76" s="999"/>
    </row>
    <row r="77" spans="15:22">
      <c r="O77" s="1037"/>
      <c r="P77" s="1036"/>
      <c r="Q77" s="1040"/>
      <c r="R77" s="1039"/>
      <c r="S77" s="1036"/>
      <c r="T77" s="1013"/>
      <c r="U77" s="1038"/>
      <c r="V77" s="1038"/>
    </row>
    <row r="78" spans="15:22">
      <c r="O78" s="1037" t="s">
        <v>198</v>
      </c>
      <c r="P78" s="1036"/>
      <c r="Q78" s="1035">
        <f>SUM(Q70:Q77)</f>
        <v>3685290968</v>
      </c>
      <c r="R78" s="1034">
        <f>SUM(R70:R77)</f>
        <v>1</v>
      </c>
      <c r="S78" s="1033"/>
      <c r="T78" s="1032">
        <f>Q62</f>
        <v>0</v>
      </c>
      <c r="U78" s="999"/>
      <c r="V78" s="999"/>
    </row>
    <row r="79" spans="15:22">
      <c r="T79" s="999"/>
      <c r="U79" s="999"/>
      <c r="V79" s="999"/>
    </row>
    <row r="80" spans="15:22">
      <c r="O80" s="1031" t="s">
        <v>820</v>
      </c>
      <c r="T80" s="999"/>
      <c r="U80" s="999"/>
      <c r="V80" s="999"/>
    </row>
    <row r="81" spans="15:23" ht="13.5" thickBot="1">
      <c r="T81" s="999"/>
      <c r="U81" s="999"/>
      <c r="V81" s="999"/>
    </row>
    <row r="82" spans="15:23" ht="14">
      <c r="O82" s="1030"/>
      <c r="P82" s="1029"/>
      <c r="Q82" s="1027" t="s">
        <v>819</v>
      </c>
      <c r="R82" s="1028"/>
      <c r="S82" s="1027" t="s">
        <v>78</v>
      </c>
      <c r="T82" s="1026"/>
    </row>
    <row r="83" spans="15:23" ht="14">
      <c r="O83" s="1025" t="s">
        <v>818</v>
      </c>
      <c r="P83" s="1024"/>
      <c r="Q83" s="1022"/>
      <c r="R83" s="1023"/>
      <c r="S83" s="1022"/>
      <c r="T83" s="1021"/>
    </row>
    <row r="84" spans="15:23" ht="14">
      <c r="O84" s="1020" t="s">
        <v>817</v>
      </c>
      <c r="P84" s="1019" t="s">
        <v>198</v>
      </c>
      <c r="Q84" s="1017" t="s">
        <v>80</v>
      </c>
      <c r="R84" s="1018" t="s">
        <v>81</v>
      </c>
      <c r="S84" s="1017" t="s">
        <v>80</v>
      </c>
      <c r="T84" s="1016" t="s">
        <v>81</v>
      </c>
    </row>
    <row r="85" spans="15:23" ht="14">
      <c r="O85" s="1008"/>
      <c r="P85" s="477"/>
      <c r="Q85" s="477"/>
      <c r="R85" s="477"/>
      <c r="S85" s="477"/>
      <c r="T85" s="1015"/>
    </row>
    <row r="86" spans="15:23" ht="14">
      <c r="O86" s="1014" t="s">
        <v>816</v>
      </c>
      <c r="P86" s="1013">
        <f>SUM(Q86:T86)</f>
        <v>0</v>
      </c>
      <c r="Q86" s="1013">
        <f>'G-1.02 Def DR-CR'!R63</f>
        <v>0</v>
      </c>
      <c r="R86" s="1013">
        <f>'G-1.02 Def DR-CR'!S63</f>
        <v>0</v>
      </c>
      <c r="S86" s="1013">
        <f>'G-1.02 Def DR-CR'!T63</f>
        <v>0</v>
      </c>
      <c r="T86" s="1012">
        <f>'G-1.02 Def DR-CR'!U63</f>
        <v>0</v>
      </c>
    </row>
    <row r="87" spans="15:23" ht="14">
      <c r="O87" s="1014" t="s">
        <v>815</v>
      </c>
      <c r="P87" s="1013">
        <f>SUM(Q87:T87)</f>
        <v>-4143263.9229166661</v>
      </c>
      <c r="Q87" s="1013">
        <f>'G-1.02 Def DR-CR'!R34</f>
        <v>-1285488.125</v>
      </c>
      <c r="R87" s="1013">
        <f>'G-1.02 Def DR-CR'!S34</f>
        <v>-2857775.7979166661</v>
      </c>
      <c r="S87" s="1013"/>
      <c r="T87" s="1012"/>
    </row>
    <row r="88" spans="15:23" ht="14">
      <c r="O88" s="1014" t="s">
        <v>814</v>
      </c>
      <c r="P88" s="1013">
        <f>SUM(Q88:T88)</f>
        <v>0</v>
      </c>
      <c r="Q88" s="1013"/>
      <c r="R88" s="1013"/>
      <c r="S88" s="1013">
        <f>'G-1.02 Def DR-CR'!V34</f>
        <v>0</v>
      </c>
      <c r="T88" s="1012">
        <f>'G-1.02 Def DR-CR'!W34</f>
        <v>0</v>
      </c>
    </row>
    <row r="89" spans="15:23" ht="14">
      <c r="O89" s="1011"/>
      <c r="P89" s="1010"/>
      <c r="Q89" s="1010"/>
      <c r="R89" s="1010"/>
      <c r="S89" s="1010"/>
      <c r="T89" s="1009"/>
    </row>
    <row r="90" spans="15:23" ht="14.5" thickBot="1">
      <c r="O90" s="1008"/>
      <c r="P90" s="1007"/>
      <c r="Q90" s="1007"/>
      <c r="R90" s="1007"/>
      <c r="S90" s="1007"/>
      <c r="T90" s="1006"/>
    </row>
    <row r="91" spans="15:23" ht="14.5" thickBot="1">
      <c r="O91" s="1005" t="s">
        <v>813</v>
      </c>
      <c r="P91" s="1004">
        <f>SUM(P86:P88)</f>
        <v>-4143263.9229166661</v>
      </c>
      <c r="Q91" s="1002">
        <f>SUM(Q86:Q88)</f>
        <v>-1285488.125</v>
      </c>
      <c r="R91" s="1003">
        <f>SUM(R86:R88)</f>
        <v>-2857775.7979166661</v>
      </c>
      <c r="S91" s="1002">
        <f>SUM(S86:S88)</f>
        <v>0</v>
      </c>
      <c r="T91" s="1001">
        <f>SUM(T86:T88)</f>
        <v>0</v>
      </c>
    </row>
    <row r="92" spans="15:23" ht="15.5">
      <c r="R92" s="273"/>
      <c r="S92" s="288"/>
      <c r="T92" s="1000"/>
      <c r="U92" s="1000"/>
      <c r="V92" s="1000"/>
      <c r="W92" s="273"/>
    </row>
  </sheetData>
  <mergeCells count="13">
    <mergeCell ref="O1:W1"/>
    <mergeCell ref="O2:W2"/>
    <mergeCell ref="O3:W3"/>
    <mergeCell ref="B5:D5"/>
    <mergeCell ref="G5:I5"/>
    <mergeCell ref="A1:J1"/>
    <mergeCell ref="A2:J2"/>
    <mergeCell ref="A3:J3"/>
    <mergeCell ref="AQ27:AR27"/>
    <mergeCell ref="AQ26:AS26"/>
    <mergeCell ref="AQ12:AS25"/>
    <mergeCell ref="R8:S8"/>
    <mergeCell ref="V8:W8"/>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1640625" defaultRowHeight="13"/>
  <cols>
    <col min="1" max="1" width="7.7265625" style="1174" customWidth="1"/>
    <col min="2" max="2" width="8.1796875" style="1174" customWidth="1"/>
    <col min="3" max="3" width="7.7265625" style="1174" customWidth="1"/>
    <col min="4" max="4" width="6.453125" style="1174" customWidth="1"/>
    <col min="5" max="5" width="7" style="1174" customWidth="1"/>
    <col min="6" max="6" width="7.1796875" style="1174" customWidth="1"/>
    <col min="7" max="7" width="7" style="1174" customWidth="1"/>
    <col min="8" max="8" width="7.453125" style="1174" customWidth="1"/>
    <col min="9" max="9" width="17.26953125" style="877" customWidth="1"/>
    <col min="10" max="10" width="19.453125" style="867" customWidth="1"/>
    <col min="11" max="11" width="15" style="531" customWidth="1"/>
    <col min="12" max="12" width="14.54296875" style="477" customWidth="1"/>
    <col min="13" max="13" width="14.7265625" style="1186" customWidth="1"/>
    <col min="14" max="14" width="1.453125" style="477" customWidth="1"/>
    <col min="15" max="15" width="8.81640625" style="477"/>
    <col min="16" max="16" width="10.7265625" style="477" customWidth="1"/>
    <col min="17" max="17" width="9.7265625" style="477" customWidth="1"/>
    <col min="18" max="18" width="1.1796875" style="477" customWidth="1"/>
    <col min="19" max="23" width="8.7265625" style="477" customWidth="1"/>
    <col min="24" max="24" width="0.81640625" style="477" customWidth="1"/>
    <col min="25" max="29" width="8.54296875" style="477" customWidth="1"/>
    <col min="30" max="30" width="1.54296875" style="477" customWidth="1"/>
    <col min="31" max="34" width="14.1796875" style="1186" customWidth="1"/>
    <col min="35" max="35" width="14.1796875" style="1222" customWidth="1"/>
    <col min="36" max="36" width="8.81640625" style="477"/>
    <col min="37" max="37" width="1.7265625" style="995" customWidth="1"/>
    <col min="38" max="38" width="8.81640625" style="477"/>
    <col min="39" max="39" width="7" style="477" bestFit="1" customWidth="1"/>
    <col min="40" max="40" width="16.54296875" style="477" bestFit="1" customWidth="1"/>
    <col min="41" max="41" width="14.26953125" style="477" bestFit="1" customWidth="1"/>
    <col min="42" max="42" width="19.453125" style="477" customWidth="1"/>
    <col min="43" max="43" width="12.453125" style="477" customWidth="1"/>
    <col min="44" max="45" width="12.453125" style="515" customWidth="1"/>
    <col min="46" max="46" width="2" style="477" customWidth="1"/>
    <col min="47" max="47" width="13.7265625" style="477" bestFit="1" customWidth="1"/>
    <col min="48" max="48" width="14.26953125" style="477" bestFit="1" customWidth="1"/>
    <col min="49" max="49" width="19.453125" style="477" customWidth="1"/>
    <col min="50" max="50" width="8.81640625" style="477"/>
    <col min="51" max="51" width="14" style="515" customWidth="1"/>
    <col min="52" max="52" width="11.26953125" style="515" bestFit="1" customWidth="1"/>
    <col min="53" max="53" width="9.26953125" style="477" customWidth="1"/>
    <col min="54" max="54" width="1.7265625" style="995" customWidth="1"/>
    <col min="55" max="56" width="8.81640625" style="477"/>
    <col min="57" max="57" width="17.54296875" style="477" customWidth="1"/>
    <col min="58" max="58" width="4" style="477" customWidth="1"/>
    <col min="59" max="59" width="15.7265625" style="477" customWidth="1"/>
    <col min="60" max="60" width="11.81640625" style="477" bestFit="1" customWidth="1"/>
    <col min="61" max="61" width="10.26953125" style="477" bestFit="1" customWidth="1"/>
    <col min="62" max="62" width="13.1796875" style="477" bestFit="1" customWidth="1"/>
    <col min="63" max="16384" width="8.81640625" style="477"/>
  </cols>
  <sheetData>
    <row r="1" spans="1:62" ht="13.5" thickBot="1">
      <c r="I1" s="1175" t="s">
        <v>906</v>
      </c>
      <c r="L1" s="531"/>
      <c r="M1" s="531"/>
      <c r="N1" s="1176"/>
      <c r="O1" s="1176"/>
      <c r="P1" s="1176"/>
      <c r="Q1" s="1176"/>
      <c r="R1" s="1176"/>
      <c r="S1" s="1176"/>
      <c r="T1" s="1176"/>
      <c r="U1" s="1176"/>
      <c r="V1" s="1176"/>
      <c r="W1" s="1176"/>
      <c r="X1" s="1176"/>
      <c r="Y1" s="1176"/>
      <c r="Z1" s="1176"/>
      <c r="AA1" s="1176"/>
      <c r="AB1" s="1176"/>
      <c r="AC1" s="1176"/>
      <c r="AD1" s="1176"/>
      <c r="AE1" s="1177"/>
      <c r="AF1" s="1177"/>
      <c r="AG1" s="1177"/>
      <c r="AH1" s="1177"/>
      <c r="AI1" s="1178"/>
      <c r="AN1" s="3896" t="s">
        <v>907</v>
      </c>
      <c r="AO1" s="3897"/>
      <c r="AP1" s="3897"/>
      <c r="AQ1" s="3897"/>
      <c r="AR1" s="3897"/>
      <c r="AS1" s="3898"/>
      <c r="AU1" s="3896" t="s">
        <v>908</v>
      </c>
      <c r="AV1" s="3897"/>
      <c r="AW1" s="3897"/>
      <c r="AX1" s="3897"/>
      <c r="AY1" s="3897"/>
      <c r="AZ1" s="3898"/>
    </row>
    <row r="2" spans="1:62" ht="58">
      <c r="I2" s="1175" t="s">
        <v>909</v>
      </c>
      <c r="L2" s="531"/>
      <c r="M2" s="531"/>
      <c r="N2" s="1176"/>
      <c r="O2" s="1176"/>
      <c r="P2" s="1176"/>
      <c r="Q2" s="1176"/>
      <c r="R2" s="1176"/>
      <c r="S2" s="1176"/>
      <c r="T2" s="1176"/>
      <c r="U2" s="1176"/>
      <c r="V2" s="1176"/>
      <c r="W2" s="1176"/>
      <c r="X2" s="1176"/>
      <c r="Y2" s="1176"/>
      <c r="Z2" s="1176"/>
      <c r="AA2" s="1176"/>
      <c r="AB2" s="1176"/>
      <c r="AC2" s="1176"/>
      <c r="AD2" s="1176"/>
      <c r="AE2" s="1177"/>
      <c r="AF2" s="1177"/>
      <c r="AG2" s="1177"/>
      <c r="AH2" s="1177"/>
      <c r="AI2" s="1178"/>
      <c r="AM2" s="1179"/>
      <c r="AN2" s="1179" t="s">
        <v>745</v>
      </c>
      <c r="AO2" s="1179" t="s">
        <v>910</v>
      </c>
      <c r="AP2" s="1179" t="s">
        <v>911</v>
      </c>
      <c r="AQ2" s="1179" t="s">
        <v>912</v>
      </c>
      <c r="AR2" s="1180" t="s">
        <v>913</v>
      </c>
      <c r="AS2" s="1179" t="s">
        <v>914</v>
      </c>
      <c r="AT2" s="1179"/>
      <c r="AU2" s="1179" t="s">
        <v>745</v>
      </c>
      <c r="AV2" s="1179" t="s">
        <v>910</v>
      </c>
      <c r="AW2" s="1179" t="s">
        <v>911</v>
      </c>
      <c r="AX2" s="1179" t="s">
        <v>912</v>
      </c>
      <c r="AY2" s="1180" t="s">
        <v>913</v>
      </c>
      <c r="AZ2" s="1179" t="s">
        <v>914</v>
      </c>
    </row>
    <row r="3" spans="1:62">
      <c r="I3" s="1175" t="s">
        <v>915</v>
      </c>
      <c r="L3" s="531"/>
      <c r="M3" s="531"/>
      <c r="N3" s="1176"/>
      <c r="O3" s="1176"/>
      <c r="P3" s="1176"/>
      <c r="Q3" s="1176"/>
      <c r="R3" s="1176"/>
      <c r="S3" s="1176"/>
      <c r="T3" s="1176"/>
      <c r="U3" s="1176"/>
      <c r="V3" s="1176"/>
      <c r="W3" s="1176"/>
      <c r="X3" s="1176"/>
      <c r="Y3" s="1176"/>
      <c r="Z3" s="1176"/>
      <c r="AA3" s="1176"/>
      <c r="AB3" s="1176"/>
      <c r="AC3" s="1176"/>
      <c r="AD3" s="1176"/>
      <c r="AE3" s="1177"/>
      <c r="AF3" s="1177"/>
      <c r="AG3" s="1177"/>
      <c r="AH3" s="1177"/>
      <c r="AI3" s="1178"/>
      <c r="AM3" s="477">
        <v>202206</v>
      </c>
      <c r="AN3" s="515">
        <v>-4266633.03</v>
      </c>
      <c r="AO3" s="515"/>
      <c r="AP3" s="515">
        <f>'G-1.03 WC'!BJ15</f>
        <v>181.11000000000058</v>
      </c>
      <c r="AQ3" s="1181">
        <f>0.0086/12</f>
        <v>7.1666666666666667E-4</v>
      </c>
      <c r="AR3" s="515">
        <f t="shared" ref="AR3:AR15" si="0">IF(AP3&lt;0,-AP3/AQ3,AP3/AQ3)</f>
        <v>252711.62790697755</v>
      </c>
      <c r="AT3" s="1182"/>
      <c r="AU3" s="515">
        <v>16702485.27</v>
      </c>
      <c r="AV3" s="515"/>
      <c r="AW3" s="515">
        <f>'G-1.03 WC'!BE15</f>
        <v>-3647.64</v>
      </c>
      <c r="AX3" s="1181">
        <f>0.01669/12</f>
        <v>1.3908333333333333E-3</v>
      </c>
      <c r="AY3" s="515">
        <f t="shared" ref="AY3:AY15" si="1">IF(AW3&lt;0,-AW3/AX3,AW3/AX3)</f>
        <v>2622629.1192330737</v>
      </c>
    </row>
    <row r="4" spans="1:62" ht="14.5">
      <c r="I4" s="1183" t="s">
        <v>916</v>
      </c>
      <c r="L4" s="531"/>
      <c r="M4" s="531"/>
      <c r="N4" s="1176"/>
      <c r="O4" s="1176"/>
      <c r="P4" s="1176"/>
      <c r="Q4" s="1176"/>
      <c r="R4" s="1176"/>
      <c r="S4" s="1176"/>
      <c r="T4" s="1176"/>
      <c r="U4" s="1176"/>
      <c r="V4" s="1176"/>
      <c r="W4" s="1176"/>
      <c r="X4" s="1176"/>
      <c r="Y4" s="1176"/>
      <c r="Z4" s="1176"/>
      <c r="AA4" s="1176"/>
      <c r="AB4" s="1176"/>
      <c r="AC4" s="1176"/>
      <c r="AD4" s="1176"/>
      <c r="AE4" s="1177"/>
      <c r="AF4" s="1177"/>
      <c r="AG4" s="1177"/>
      <c r="AH4" s="1177"/>
      <c r="AI4" s="1178"/>
      <c r="AM4" s="477">
        <f t="shared" ref="AM4:AM9" si="2">AM3+1</f>
        <v>202207</v>
      </c>
      <c r="AN4" s="515">
        <v>7797554.4699999997</v>
      </c>
      <c r="AO4" s="515">
        <f t="shared" ref="AO4:AO15" si="3">(AN3+AN4)/2</f>
        <v>1765460.7199999997</v>
      </c>
      <c r="AP4" s="515">
        <f>'G-1.03 WC'!BJ16</f>
        <v>3195.16</v>
      </c>
      <c r="AQ4" s="1181">
        <f>0.0135/12</f>
        <v>1.1249999999999999E-3</v>
      </c>
      <c r="AR4" s="515">
        <f t="shared" si="0"/>
        <v>2840142.2222222225</v>
      </c>
      <c r="AS4" s="515">
        <f t="shared" ref="AS4:AS15" si="4">(AR3+AR4)/2</f>
        <v>1546426.9250646001</v>
      </c>
      <c r="AT4" s="1182"/>
      <c r="AU4" s="515">
        <v>28425538.760000002</v>
      </c>
      <c r="AV4" s="515">
        <f t="shared" ref="AV4:AV15" si="5">(AU3+AU4)/2</f>
        <v>22564012.015000001</v>
      </c>
      <c r="AW4" s="515">
        <f>'G-1.03 WC'!BE16</f>
        <v>-326.27</v>
      </c>
      <c r="AX4" s="1181">
        <f>0.01769/12</f>
        <v>1.4741666666666668E-3</v>
      </c>
      <c r="AY4" s="515">
        <f t="shared" si="1"/>
        <v>221325.04239683432</v>
      </c>
      <c r="AZ4" s="515">
        <f t="shared" ref="AZ4:AZ15" si="6">(AY3+AY4)/2</f>
        <v>1421977.0808149539</v>
      </c>
      <c r="BD4" s="3899" t="s">
        <v>917</v>
      </c>
      <c r="BE4" s="3899"/>
      <c r="BF4" s="3899"/>
      <c r="BG4" s="3899"/>
      <c r="BH4" s="3899"/>
      <c r="BI4" s="3899"/>
      <c r="BJ4" s="3899"/>
    </row>
    <row r="5" spans="1:62" ht="18.5">
      <c r="L5" s="531"/>
      <c r="M5" s="531"/>
      <c r="N5" s="1176"/>
      <c r="O5" s="1176"/>
      <c r="P5" s="1176"/>
      <c r="Q5" s="1176"/>
      <c r="R5" s="1176"/>
      <c r="S5" s="1176"/>
      <c r="T5" s="1176"/>
      <c r="U5" s="1176"/>
      <c r="V5" s="1176"/>
      <c r="W5" s="1176"/>
      <c r="X5" s="1176"/>
      <c r="Y5" s="1176"/>
      <c r="Z5" s="1176"/>
      <c r="AA5" s="1176"/>
      <c r="AB5" s="1176"/>
      <c r="AC5" s="1176"/>
      <c r="AD5" s="1176"/>
      <c r="AE5" s="1177"/>
      <c r="AF5" s="1177"/>
      <c r="AG5" s="1177"/>
      <c r="AH5" s="1177"/>
      <c r="AI5" s="1178"/>
      <c r="AM5" s="477">
        <f t="shared" si="2"/>
        <v>202208</v>
      </c>
      <c r="AN5" s="515">
        <v>7306800.7000000002</v>
      </c>
      <c r="AO5" s="515">
        <f t="shared" si="3"/>
        <v>7552177.585</v>
      </c>
      <c r="AP5" s="515">
        <f>'G-1.03 WC'!BJ17</f>
        <v>5056.6399999999976</v>
      </c>
      <c r="AQ5" s="1181">
        <f>0.0202/12</f>
        <v>1.6833333333333333E-3</v>
      </c>
      <c r="AR5" s="515">
        <f t="shared" si="0"/>
        <v>3003944.5544554442</v>
      </c>
      <c r="AS5" s="515">
        <f t="shared" si="4"/>
        <v>2922043.3883388331</v>
      </c>
      <c r="AT5" s="1182"/>
      <c r="AU5" s="515">
        <v>22214690.09</v>
      </c>
      <c r="AV5" s="515">
        <f t="shared" si="5"/>
        <v>25320114.425000001</v>
      </c>
      <c r="AW5" s="515">
        <f>'G-1.03 WC'!BE17</f>
        <v>-2024.89</v>
      </c>
      <c r="AX5" s="1181">
        <f>0.02711/12</f>
        <v>2.2591666666666667E-3</v>
      </c>
      <c r="AY5" s="515">
        <f t="shared" si="1"/>
        <v>896299.52047215053</v>
      </c>
      <c r="AZ5" s="515">
        <f t="shared" si="6"/>
        <v>558812.28143449244</v>
      </c>
      <c r="BD5" s="3900" t="s">
        <v>918</v>
      </c>
      <c r="BE5" s="3900"/>
      <c r="BF5" s="3900"/>
      <c r="BG5" s="3900"/>
      <c r="BH5" s="3900"/>
      <c r="BI5" s="3900"/>
      <c r="BJ5" s="3900"/>
    </row>
    <row r="6" spans="1:62" ht="13.5" thickBot="1">
      <c r="K6" s="182"/>
      <c r="M6" s="182"/>
      <c r="N6" s="1176"/>
      <c r="O6" s="1176"/>
      <c r="P6" s="1176"/>
      <c r="Q6" s="1176"/>
      <c r="R6" s="1176"/>
      <c r="S6" s="1176"/>
      <c r="T6" s="1176"/>
      <c r="U6" s="1176"/>
      <c r="V6" s="1176"/>
      <c r="W6" s="1176"/>
      <c r="X6" s="1176"/>
      <c r="Y6" s="1176"/>
      <c r="Z6" s="1176"/>
      <c r="AA6" s="1176"/>
      <c r="AB6" s="1176"/>
      <c r="AC6" s="1176"/>
      <c r="AD6" s="1176"/>
      <c r="AE6" s="1177"/>
      <c r="AF6" s="1177"/>
      <c r="AG6" s="1177"/>
      <c r="AH6" s="1177"/>
      <c r="AI6" s="1178"/>
      <c r="AM6" s="477">
        <f t="shared" si="2"/>
        <v>202209</v>
      </c>
      <c r="AN6" s="515">
        <v>23741691.539999999</v>
      </c>
      <c r="AO6" s="515">
        <f t="shared" si="3"/>
        <v>15524246.119999999</v>
      </c>
      <c r="AP6" s="515">
        <f>'G-1.03 WC'!BJ18</f>
        <v>3738.6200000000026</v>
      </c>
      <c r="AQ6" s="1181">
        <f>0.0223/12</f>
        <v>1.8583333333333334E-3</v>
      </c>
      <c r="AR6" s="515">
        <f t="shared" si="0"/>
        <v>2011813.4529147996</v>
      </c>
      <c r="AS6" s="515">
        <f t="shared" si="4"/>
        <v>2507879.0036851219</v>
      </c>
      <c r="AT6" s="1182"/>
      <c r="AU6" s="515">
        <v>36187104.869999997</v>
      </c>
      <c r="AV6" s="515">
        <f t="shared" si="5"/>
        <v>29200897.479999997</v>
      </c>
      <c r="AW6" s="515">
        <f>'G-1.03 WC'!BE18</f>
        <v>-3379.12</v>
      </c>
      <c r="AX6" s="1181">
        <f>0.03121/12</f>
        <v>2.6008333333333335E-3</v>
      </c>
      <c r="AY6" s="515">
        <f t="shared" si="1"/>
        <v>1299245.1137455942</v>
      </c>
      <c r="AZ6" s="515">
        <f t="shared" si="6"/>
        <v>1097772.3171088723</v>
      </c>
    </row>
    <row r="7" spans="1:62" ht="15" thickBot="1">
      <c r="I7" s="1184" t="s">
        <v>919</v>
      </c>
      <c r="L7" s="1185">
        <v>31845434.367671866</v>
      </c>
      <c r="N7" s="1176"/>
      <c r="O7" s="1176"/>
      <c r="P7" s="1176"/>
      <c r="Q7" s="1176"/>
      <c r="R7" s="1176"/>
      <c r="S7" s="1176"/>
      <c r="T7" s="1176"/>
      <c r="U7" s="1176"/>
      <c r="V7" s="1176"/>
      <c r="W7" s="1176"/>
      <c r="X7" s="1176"/>
      <c r="Y7" s="1176"/>
      <c r="Z7" s="1176"/>
      <c r="AA7" s="1176"/>
      <c r="AB7" s="1176"/>
      <c r="AC7" s="1176"/>
      <c r="AD7" s="1176"/>
      <c r="AE7" s="1177"/>
      <c r="AF7" s="1177"/>
      <c r="AG7" s="1177"/>
      <c r="AH7" s="1177"/>
      <c r="AI7" s="1178"/>
      <c r="AM7" s="477">
        <f t="shared" si="2"/>
        <v>202210</v>
      </c>
      <c r="AN7" s="515">
        <v>25704633.199999999</v>
      </c>
      <c r="AO7" s="515">
        <f t="shared" si="3"/>
        <v>24723162.369999997</v>
      </c>
      <c r="AP7" s="515">
        <f>'G-1.03 WC'!BJ19</f>
        <v>7364.7099999999991</v>
      </c>
      <c r="AQ7" s="1181">
        <f>0.027/12</f>
        <v>2.2499999999999998E-3</v>
      </c>
      <c r="AR7" s="515">
        <f t="shared" si="0"/>
        <v>3273204.4444444445</v>
      </c>
      <c r="AS7" s="515">
        <f t="shared" si="4"/>
        <v>2642508.9486796223</v>
      </c>
      <c r="AT7" s="1182"/>
      <c r="AU7" s="515">
        <v>33657608.039999999</v>
      </c>
      <c r="AV7" s="515">
        <f t="shared" si="5"/>
        <v>34922356.454999998</v>
      </c>
      <c r="AW7" s="515">
        <f>'G-1.03 WC'!BE19</f>
        <v>-1162.3</v>
      </c>
      <c r="AX7" s="1181">
        <f>0.03429/12</f>
        <v>2.8575000000000002E-3</v>
      </c>
      <c r="AY7" s="515">
        <f t="shared" si="1"/>
        <v>406754.15573053365</v>
      </c>
      <c r="AZ7" s="515">
        <f t="shared" si="6"/>
        <v>852999.63473806391</v>
      </c>
      <c r="BE7" s="1187" t="s">
        <v>920</v>
      </c>
      <c r="BF7" s="1188"/>
      <c r="BG7" s="3901" t="s">
        <v>921</v>
      </c>
      <c r="BH7" s="3902"/>
      <c r="BI7" s="3902"/>
      <c r="BJ7" s="3903"/>
    </row>
    <row r="8" spans="1:62">
      <c r="J8" s="1184"/>
      <c r="L8" s="531"/>
      <c r="M8" s="1178"/>
      <c r="N8" s="1176"/>
      <c r="O8" s="1176"/>
      <c r="P8" s="1176"/>
      <c r="Q8" s="1176"/>
      <c r="R8" s="1176"/>
      <c r="S8" s="1176"/>
      <c r="T8" s="1176"/>
      <c r="U8" s="1176"/>
      <c r="V8" s="1176"/>
      <c r="W8" s="1176"/>
      <c r="X8" s="1176"/>
      <c r="Y8" s="1176"/>
      <c r="Z8" s="1176"/>
      <c r="AA8" s="1176"/>
      <c r="AB8" s="1176"/>
      <c r="AC8" s="1176"/>
      <c r="AD8" s="1176"/>
      <c r="AE8" s="1177"/>
      <c r="AF8" s="1177"/>
      <c r="AG8" s="1177"/>
      <c r="AH8" s="1177"/>
      <c r="AI8" s="1178"/>
      <c r="AM8" s="477">
        <f t="shared" si="2"/>
        <v>202211</v>
      </c>
      <c r="AN8" s="515">
        <v>42584801.649999999</v>
      </c>
      <c r="AO8" s="515">
        <f t="shared" si="3"/>
        <v>34144717.424999997</v>
      </c>
      <c r="AP8" s="515">
        <f>'G-1.03 WC'!BJ20</f>
        <v>9351.9600000000064</v>
      </c>
      <c r="AQ8" s="1181">
        <f>0.0355/12</f>
        <v>2.9583333333333332E-3</v>
      </c>
      <c r="AR8" s="515">
        <f t="shared" si="0"/>
        <v>3161225.9154929603</v>
      </c>
      <c r="AS8" s="515">
        <f t="shared" si="4"/>
        <v>3217215.1799687026</v>
      </c>
      <c r="AT8" s="1182"/>
      <c r="AU8" s="515">
        <v>44015728.090000004</v>
      </c>
      <c r="AV8" s="515">
        <f t="shared" si="5"/>
        <v>38836668.064999998</v>
      </c>
      <c r="AW8" s="515">
        <f>'G-1.03 WC'!BE20</f>
        <v>-3337.85</v>
      </c>
      <c r="AX8" s="1181">
        <f>0.04218/12</f>
        <v>3.5150000000000003E-3</v>
      </c>
      <c r="AY8" s="515">
        <f t="shared" si="1"/>
        <v>949601.70697012788</v>
      </c>
      <c r="AZ8" s="515">
        <f t="shared" si="6"/>
        <v>678177.93135033082</v>
      </c>
      <c r="BE8" s="867"/>
      <c r="BF8" s="867"/>
      <c r="BG8" s="1189" t="s">
        <v>922</v>
      </c>
      <c r="BH8" s="867" t="s">
        <v>923</v>
      </c>
      <c r="BI8" s="867" t="s">
        <v>924</v>
      </c>
      <c r="BJ8" s="867" t="s">
        <v>925</v>
      </c>
    </row>
    <row r="9" spans="1:62" ht="43.5">
      <c r="A9" s="1174" t="s">
        <v>926</v>
      </c>
      <c r="B9" s="1174" t="s">
        <v>926</v>
      </c>
      <c r="C9" s="1174" t="s">
        <v>926</v>
      </c>
      <c r="D9" s="1174" t="s">
        <v>926</v>
      </c>
      <c r="E9" s="1174" t="s">
        <v>926</v>
      </c>
      <c r="F9" s="1174" t="s">
        <v>926</v>
      </c>
      <c r="G9" s="1174" t="s">
        <v>926</v>
      </c>
      <c r="H9" s="1174" t="s">
        <v>926</v>
      </c>
      <c r="I9" s="1190" t="s">
        <v>927</v>
      </c>
      <c r="J9" s="1104" t="s">
        <v>927</v>
      </c>
      <c r="N9" s="1176"/>
      <c r="O9" s="1176"/>
      <c r="P9" s="1176"/>
      <c r="Q9" s="1176"/>
      <c r="R9" s="1176"/>
      <c r="S9" s="1176"/>
      <c r="T9" s="1176"/>
      <c r="U9" s="1176"/>
      <c r="V9" s="1176"/>
      <c r="W9" s="1176"/>
      <c r="X9" s="1176"/>
      <c r="Y9" s="1176"/>
      <c r="Z9" s="1176"/>
      <c r="AA9" s="1176"/>
      <c r="AB9" s="1176"/>
      <c r="AC9" s="1176"/>
      <c r="AD9" s="1176"/>
      <c r="AE9" s="1177"/>
      <c r="AF9" s="1177"/>
      <c r="AG9" s="1177"/>
      <c r="AH9" s="1177"/>
      <c r="AI9" s="1178"/>
      <c r="AM9" s="477">
        <f t="shared" si="2"/>
        <v>202212</v>
      </c>
      <c r="AN9" s="515">
        <v>83306097.079999998</v>
      </c>
      <c r="AO9" s="515">
        <f t="shared" si="3"/>
        <v>62945449.364999995</v>
      </c>
      <c r="AP9" s="515">
        <f>'G-1.03 WC'!BJ21</f>
        <v>2717.6500000000015</v>
      </c>
      <c r="AQ9" s="1181">
        <f>0.0386/12</f>
        <v>3.2166666666666667E-3</v>
      </c>
      <c r="AR9" s="515">
        <f t="shared" si="0"/>
        <v>844865.28497409367</v>
      </c>
      <c r="AS9" s="515">
        <f t="shared" si="4"/>
        <v>2003045.6002335269</v>
      </c>
      <c r="AT9" s="1182"/>
      <c r="AU9" s="515">
        <v>88274508.079999998</v>
      </c>
      <c r="AV9" s="515">
        <f t="shared" si="5"/>
        <v>66145118.085000001</v>
      </c>
      <c r="AW9" s="515">
        <f>'G-1.03 WC'!BE21</f>
        <v>-26132.31</v>
      </c>
      <c r="AX9" s="1181">
        <f>0.04713/12</f>
        <v>3.9274999999999996E-3</v>
      </c>
      <c r="AY9" s="515">
        <f t="shared" si="1"/>
        <v>6653675.3660089122</v>
      </c>
      <c r="AZ9" s="515">
        <f t="shared" si="6"/>
        <v>3801638.5364895202</v>
      </c>
      <c r="BD9" s="1179"/>
      <c r="BE9" s="1179" t="s">
        <v>928</v>
      </c>
      <c r="BF9" s="1179"/>
      <c r="BG9" s="1191" t="s">
        <v>928</v>
      </c>
      <c r="BH9" s="1179" t="s">
        <v>929</v>
      </c>
      <c r="BI9" s="1179" t="s">
        <v>930</v>
      </c>
      <c r="BJ9" s="1179" t="s">
        <v>931</v>
      </c>
    </row>
    <row r="10" spans="1:62" ht="14.5">
      <c r="A10" s="1174" t="s">
        <v>24</v>
      </c>
      <c r="B10" s="1174" t="s">
        <v>932</v>
      </c>
      <c r="C10" s="1174" t="s">
        <v>933</v>
      </c>
      <c r="D10" s="1174" t="s">
        <v>934</v>
      </c>
      <c r="E10" s="1174" t="s">
        <v>935</v>
      </c>
      <c r="F10" s="1174" t="s">
        <v>935</v>
      </c>
      <c r="G10" s="1174" t="s">
        <v>935</v>
      </c>
      <c r="H10" s="1174" t="s">
        <v>935</v>
      </c>
      <c r="I10" s="1190" t="s">
        <v>936</v>
      </c>
      <c r="J10" s="1104" t="s">
        <v>937</v>
      </c>
      <c r="K10" s="1192" t="s">
        <v>24</v>
      </c>
      <c r="L10" s="1192" t="s">
        <v>938</v>
      </c>
      <c r="M10" s="1193" t="s">
        <v>933</v>
      </c>
      <c r="N10" s="1176"/>
      <c r="O10" s="1194" t="s">
        <v>729</v>
      </c>
      <c r="P10" s="1194" t="s">
        <v>939</v>
      </c>
      <c r="Q10" s="1194" t="s">
        <v>940</v>
      </c>
      <c r="R10" s="1194"/>
      <c r="S10" s="1194" t="s">
        <v>941</v>
      </c>
      <c r="T10" s="1194" t="s">
        <v>942</v>
      </c>
      <c r="U10" s="1194" t="s">
        <v>943</v>
      </c>
      <c r="V10" s="1194" t="s">
        <v>944</v>
      </c>
      <c r="W10" s="1194" t="s">
        <v>945</v>
      </c>
      <c r="X10" s="1194"/>
      <c r="Y10" s="1194" t="s">
        <v>941</v>
      </c>
      <c r="Z10" s="1194" t="s">
        <v>942</v>
      </c>
      <c r="AA10" s="1194" t="s">
        <v>943</v>
      </c>
      <c r="AB10" s="1194" t="s">
        <v>944</v>
      </c>
      <c r="AC10" s="1194" t="s">
        <v>945</v>
      </c>
      <c r="AD10" s="1176"/>
      <c r="AE10" s="1195" t="s">
        <v>941</v>
      </c>
      <c r="AF10" s="1195" t="s">
        <v>942</v>
      </c>
      <c r="AG10" s="1195" t="s">
        <v>943</v>
      </c>
      <c r="AH10" s="1195" t="s">
        <v>944</v>
      </c>
      <c r="AI10" s="1195" t="s">
        <v>945</v>
      </c>
      <c r="AM10" s="477">
        <v>202301</v>
      </c>
      <c r="AN10" s="515">
        <v>34872618.829999998</v>
      </c>
      <c r="AO10" s="515">
        <f t="shared" si="3"/>
        <v>59089357.954999998</v>
      </c>
      <c r="AP10" s="515">
        <f>'G-1.03 WC'!BJ22</f>
        <v>33499.970000000016</v>
      </c>
      <c r="AQ10" s="1181">
        <f>0.0398/12</f>
        <v>3.316666666666667E-3</v>
      </c>
      <c r="AR10" s="515">
        <f t="shared" si="0"/>
        <v>10100493.467336686</v>
      </c>
      <c r="AS10" s="515">
        <f t="shared" si="4"/>
        <v>5472679.3761553904</v>
      </c>
      <c r="AT10" s="1182"/>
      <c r="AU10" s="515">
        <v>43059022.170000002</v>
      </c>
      <c r="AV10" s="515">
        <f t="shared" si="5"/>
        <v>65666765.125</v>
      </c>
      <c r="AW10" s="515">
        <f>'G-1.03 WC'!BE22</f>
        <v>4414.0200000000004</v>
      </c>
      <c r="AX10" s="1181">
        <f>0.04373/12</f>
        <v>3.6441666666666666E-3</v>
      </c>
      <c r="AY10" s="515">
        <f t="shared" si="1"/>
        <v>1211256.3457580609</v>
      </c>
      <c r="AZ10" s="515">
        <f t="shared" si="6"/>
        <v>3932465.8558834866</v>
      </c>
      <c r="BD10" s="1196">
        <v>44562</v>
      </c>
      <c r="BE10" s="1197">
        <v>-396.93</v>
      </c>
      <c r="BF10" s="1197"/>
      <c r="BG10" s="1198">
        <f>1.61-1129.53</f>
        <v>-1127.92</v>
      </c>
      <c r="BH10" s="1199"/>
      <c r="BI10" s="1197"/>
      <c r="BJ10" s="1197">
        <f t="shared" ref="BJ10:BJ30" si="7">(BG10-BI10)</f>
        <v>-1127.92</v>
      </c>
    </row>
    <row r="11" spans="1:62" ht="12.5">
      <c r="A11" s="1174">
        <v>318921</v>
      </c>
      <c r="B11" s="1174">
        <v>318922</v>
      </c>
      <c r="C11" s="1174">
        <v>318923</v>
      </c>
      <c r="E11" s="1174">
        <v>11556</v>
      </c>
      <c r="I11" s="877">
        <v>1</v>
      </c>
      <c r="J11" s="867" t="s">
        <v>946</v>
      </c>
      <c r="K11" s="1200">
        <v>34250118.770000003</v>
      </c>
      <c r="L11" s="1201">
        <v>-4904616.9558691466</v>
      </c>
      <c r="M11" s="1202">
        <v>29345501.814130858</v>
      </c>
      <c r="N11" s="1176"/>
      <c r="O11" s="1203">
        <v>1</v>
      </c>
      <c r="P11" s="1203"/>
      <c r="Q11" s="1203"/>
      <c r="R11" s="1203"/>
      <c r="S11" s="1204">
        <v>0.64400000000000002</v>
      </c>
      <c r="T11" s="1204">
        <v>0.35599999999999998</v>
      </c>
      <c r="U11" s="1203"/>
      <c r="V11" s="1203"/>
      <c r="W11" s="1203"/>
      <c r="X11" s="1203"/>
      <c r="Y11" s="1203">
        <f t="shared" ref="Y11:Y17" si="8">O11*S11</f>
        <v>0.64400000000000002</v>
      </c>
      <c r="Z11" s="1203">
        <f t="shared" ref="Z11:AA17" si="9">O11*T11</f>
        <v>0.35599999999999998</v>
      </c>
      <c r="AA11" s="1203">
        <f t="shared" si="9"/>
        <v>0</v>
      </c>
      <c r="AB11" s="1203">
        <f t="shared" ref="AB11:AC17" si="10">P11*V11</f>
        <v>0</v>
      </c>
      <c r="AC11" s="1203">
        <f t="shared" si="10"/>
        <v>0</v>
      </c>
      <c r="AD11" s="1205"/>
      <c r="AE11" s="1206">
        <f t="shared" ref="AE11:AE17" si="11">M11*Y11</f>
        <v>18898503.168300271</v>
      </c>
      <c r="AF11" s="1206">
        <f t="shared" ref="AF11:AF17" si="12">M11*Z11</f>
        <v>10446998.645830585</v>
      </c>
      <c r="AG11" s="1206">
        <f t="shared" ref="AG11:AG17" si="13">M11*AA11</f>
        <v>0</v>
      </c>
      <c r="AH11" s="1206">
        <f t="shared" ref="AH11:AH17" si="14">M11*AB11</f>
        <v>0</v>
      </c>
      <c r="AI11" s="1206">
        <f t="shared" ref="AI11:AI17" si="15">M11*AC11</f>
        <v>0</v>
      </c>
      <c r="AM11" s="477">
        <f>AM10+1</f>
        <v>202302</v>
      </c>
      <c r="AN11" s="515">
        <v>49273559.939999998</v>
      </c>
      <c r="AO11" s="515">
        <f t="shared" si="3"/>
        <v>42073089.384999998</v>
      </c>
      <c r="AP11" s="515">
        <f>'G-1.03 WC'!BJ23</f>
        <v>27122.520000000004</v>
      </c>
      <c r="AQ11" s="1181">
        <f>0.0434/12</f>
        <v>3.6166666666666669E-3</v>
      </c>
      <c r="AR11" s="515">
        <f t="shared" si="0"/>
        <v>7499314.2857142864</v>
      </c>
      <c r="AS11" s="515">
        <f t="shared" si="4"/>
        <v>8799903.8765254859</v>
      </c>
      <c r="AT11" s="1182"/>
      <c r="AU11" s="515">
        <v>51273189.619999997</v>
      </c>
      <c r="AV11" s="515">
        <f t="shared" si="5"/>
        <v>47166105.894999996</v>
      </c>
      <c r="AW11" s="515">
        <f>'G-1.03 WC'!BE23</f>
        <v>-3268.07</v>
      </c>
      <c r="AX11" s="1181">
        <f>0.05087/12</f>
        <v>4.2391666666666663E-3</v>
      </c>
      <c r="AY11" s="515">
        <f t="shared" si="1"/>
        <v>770922.74425004923</v>
      </c>
      <c r="AZ11" s="515">
        <f t="shared" si="6"/>
        <v>991089.54500405514</v>
      </c>
      <c r="BD11" s="1196">
        <v>44593</v>
      </c>
      <c r="BE11" s="1197">
        <v>-131.59</v>
      </c>
      <c r="BF11" s="1197"/>
      <c r="BG11" s="1198">
        <v>-855.04</v>
      </c>
      <c r="BH11" s="1199"/>
      <c r="BI11" s="1197"/>
      <c r="BJ11" s="1197">
        <f t="shared" si="7"/>
        <v>-855.04</v>
      </c>
    </row>
    <row r="12" spans="1:62" ht="12.5">
      <c r="A12" s="1174">
        <v>391670</v>
      </c>
      <c r="B12" s="1174">
        <v>391671</v>
      </c>
      <c r="C12" s="1174">
        <v>391672</v>
      </c>
      <c r="J12" s="867" t="s">
        <v>947</v>
      </c>
      <c r="K12" s="1200">
        <v>0</v>
      </c>
      <c r="L12" s="1201">
        <v>0</v>
      </c>
      <c r="M12" s="1202">
        <v>0</v>
      </c>
      <c r="N12" s="1176"/>
      <c r="O12" s="1203">
        <v>1</v>
      </c>
      <c r="P12" s="1203"/>
      <c r="Q12" s="1203"/>
      <c r="R12" s="1203"/>
      <c r="S12" s="1203"/>
      <c r="T12" s="1203">
        <v>1</v>
      </c>
      <c r="U12" s="1203"/>
      <c r="V12" s="1203"/>
      <c r="W12" s="1203"/>
      <c r="X12" s="1203"/>
      <c r="Y12" s="1203">
        <f t="shared" si="8"/>
        <v>0</v>
      </c>
      <c r="Z12" s="1203">
        <f t="shared" si="9"/>
        <v>1</v>
      </c>
      <c r="AA12" s="1203">
        <f t="shared" si="9"/>
        <v>0</v>
      </c>
      <c r="AB12" s="1203">
        <f t="shared" si="10"/>
        <v>0</v>
      </c>
      <c r="AC12" s="1203">
        <f t="shared" si="10"/>
        <v>0</v>
      </c>
      <c r="AD12" s="1205"/>
      <c r="AE12" s="1206">
        <f t="shared" si="11"/>
        <v>0</v>
      </c>
      <c r="AF12" s="1206">
        <f t="shared" si="12"/>
        <v>0</v>
      </c>
      <c r="AG12" s="1206">
        <f t="shared" si="13"/>
        <v>0</v>
      </c>
      <c r="AH12" s="1206">
        <f t="shared" si="14"/>
        <v>0</v>
      </c>
      <c r="AI12" s="1206">
        <f t="shared" si="15"/>
        <v>0</v>
      </c>
      <c r="AM12" s="477">
        <f>AM11+1</f>
        <v>202303</v>
      </c>
      <c r="AN12" s="515">
        <v>53326320.289999999</v>
      </c>
      <c r="AO12" s="515">
        <f t="shared" si="3"/>
        <v>51299940.114999995</v>
      </c>
      <c r="AP12" s="515">
        <f>'G-1.03 WC'!BJ24</f>
        <v>26214.6</v>
      </c>
      <c r="AQ12" s="1181">
        <f>0.044/12</f>
        <v>3.6666666666666666E-3</v>
      </c>
      <c r="AR12" s="515">
        <f t="shared" si="0"/>
        <v>7149436.3636363633</v>
      </c>
      <c r="AS12" s="515">
        <f t="shared" si="4"/>
        <v>7324375.3246753253</v>
      </c>
      <c r="AT12" s="1182"/>
      <c r="AU12" s="515">
        <v>51883372.920000002</v>
      </c>
      <c r="AV12" s="515">
        <f t="shared" si="5"/>
        <v>51578281.269999996</v>
      </c>
      <c r="AW12" s="515">
        <f>'G-1.03 WC'!BE24</f>
        <v>-1174.1400000000001</v>
      </c>
      <c r="AX12" s="1181">
        <f>0.04893/12</f>
        <v>4.0775000000000004E-3</v>
      </c>
      <c r="AY12" s="515">
        <f t="shared" si="1"/>
        <v>287955.85530349478</v>
      </c>
      <c r="AZ12" s="515">
        <f t="shared" si="6"/>
        <v>529439.29977677204</v>
      </c>
      <c r="BD12" s="1196">
        <v>44621</v>
      </c>
      <c r="BE12" s="1197">
        <v>-120</v>
      </c>
      <c r="BF12" s="1197"/>
      <c r="BG12" s="1198">
        <f>29.02-222.28</f>
        <v>-193.26</v>
      </c>
      <c r="BH12" s="1199"/>
      <c r="BI12" s="1197">
        <v>152.15</v>
      </c>
      <c r="BJ12" s="1197">
        <f t="shared" si="7"/>
        <v>-345.40999999999997</v>
      </c>
    </row>
    <row r="13" spans="1:62" ht="12.5">
      <c r="A13" s="1174">
        <v>461466</v>
      </c>
      <c r="B13" s="1174">
        <v>461467</v>
      </c>
      <c r="C13" s="1174">
        <v>461468</v>
      </c>
      <c r="J13" s="867" t="s">
        <v>948</v>
      </c>
      <c r="K13" s="1200">
        <v>5206420.4800000004</v>
      </c>
      <c r="L13" s="1201">
        <v>-745559.40483217139</v>
      </c>
      <c r="M13" s="1202">
        <v>4460861.0751678292</v>
      </c>
      <c r="N13" s="1176"/>
      <c r="O13" s="1203">
        <v>1</v>
      </c>
      <c r="P13" s="1203"/>
      <c r="Q13" s="1203"/>
      <c r="R13" s="1203"/>
      <c r="S13" s="1203">
        <v>1</v>
      </c>
      <c r="T13" s="1203"/>
      <c r="U13" s="1203"/>
      <c r="V13" s="1203"/>
      <c r="W13" s="1203"/>
      <c r="X13" s="1203"/>
      <c r="Y13" s="1203">
        <f t="shared" si="8"/>
        <v>1</v>
      </c>
      <c r="Z13" s="1203">
        <f t="shared" si="9"/>
        <v>0</v>
      </c>
      <c r="AA13" s="1203">
        <f t="shared" si="9"/>
        <v>0</v>
      </c>
      <c r="AB13" s="1203">
        <f t="shared" si="10"/>
        <v>0</v>
      </c>
      <c r="AC13" s="1203">
        <f t="shared" si="10"/>
        <v>0</v>
      </c>
      <c r="AD13" s="1205"/>
      <c r="AE13" s="1206">
        <f t="shared" si="11"/>
        <v>4460861.0751678292</v>
      </c>
      <c r="AF13" s="1206">
        <f t="shared" si="12"/>
        <v>0</v>
      </c>
      <c r="AG13" s="1206">
        <f t="shared" si="13"/>
        <v>0</v>
      </c>
      <c r="AH13" s="1206">
        <f t="shared" si="14"/>
        <v>0</v>
      </c>
      <c r="AI13" s="1206">
        <f t="shared" si="15"/>
        <v>0</v>
      </c>
      <c r="AM13" s="477">
        <f>AM12+1</f>
        <v>202304</v>
      </c>
      <c r="AN13" s="515">
        <v>40549346.049999997</v>
      </c>
      <c r="AO13" s="515">
        <f t="shared" si="3"/>
        <v>46937833.170000002</v>
      </c>
      <c r="AP13" s="515">
        <f>'G-1.03 WC'!BJ25</f>
        <v>31270.420000000006</v>
      </c>
      <c r="AQ13" s="1181">
        <f>0.0456/12</f>
        <v>3.8E-3</v>
      </c>
      <c r="AR13" s="515">
        <f t="shared" si="0"/>
        <v>8229057.8947368432</v>
      </c>
      <c r="AS13" s="515">
        <f t="shared" si="4"/>
        <v>7689247.1291866032</v>
      </c>
      <c r="AT13" s="1182"/>
      <c r="AU13" s="515">
        <v>47469856.119999997</v>
      </c>
      <c r="AV13" s="515">
        <f t="shared" si="5"/>
        <v>49676614.519999996</v>
      </c>
      <c r="AW13" s="515">
        <f>'G-1.03 WC'!BE25</f>
        <v>2429.36</v>
      </c>
      <c r="AX13" s="1181">
        <f>0.0486/12</f>
        <v>4.0499999999999998E-3</v>
      </c>
      <c r="AY13" s="515">
        <f t="shared" si="1"/>
        <v>599841.97530864202</v>
      </c>
      <c r="AZ13" s="515">
        <f t="shared" si="6"/>
        <v>443898.91530606837</v>
      </c>
      <c r="BD13" s="1196">
        <v>44652</v>
      </c>
      <c r="BE13" s="1197">
        <v>-208.83</v>
      </c>
      <c r="BF13" s="1197"/>
      <c r="BG13" s="1198">
        <f>406.27-52.71+33.01</f>
        <v>386.57</v>
      </c>
      <c r="BH13" s="1199"/>
      <c r="BI13" s="1197">
        <v>360.97</v>
      </c>
      <c r="BJ13" s="1197">
        <f t="shared" si="7"/>
        <v>25.599999999999966</v>
      </c>
    </row>
    <row r="14" spans="1:62" ht="12.5">
      <c r="A14" s="1174">
        <v>324670</v>
      </c>
      <c r="B14" s="1174">
        <v>324671</v>
      </c>
      <c r="C14" s="1174">
        <v>324672</v>
      </c>
      <c r="E14" s="1174">
        <v>11556</v>
      </c>
      <c r="J14" s="867" t="s">
        <v>949</v>
      </c>
      <c r="K14" s="1200">
        <v>0</v>
      </c>
      <c r="L14" s="1201">
        <v>0</v>
      </c>
      <c r="M14" s="1202">
        <v>0</v>
      </c>
      <c r="N14" s="1176"/>
      <c r="O14" s="1203"/>
      <c r="P14" s="1203">
        <v>1</v>
      </c>
      <c r="Q14" s="1203"/>
      <c r="R14" s="1203"/>
      <c r="S14" s="1203"/>
      <c r="T14" s="1203"/>
      <c r="U14" s="1204">
        <v>0.6845</v>
      </c>
      <c r="V14" s="1204">
        <v>0.3155</v>
      </c>
      <c r="W14" s="1203"/>
      <c r="X14" s="1203"/>
      <c r="Y14" s="1203">
        <f t="shared" si="8"/>
        <v>0</v>
      </c>
      <c r="Z14" s="1203">
        <f t="shared" si="9"/>
        <v>0</v>
      </c>
      <c r="AA14" s="1203">
        <f t="shared" si="9"/>
        <v>0.6845</v>
      </c>
      <c r="AB14" s="1203">
        <f t="shared" si="10"/>
        <v>0.3155</v>
      </c>
      <c r="AC14" s="1203">
        <f t="shared" si="10"/>
        <v>0</v>
      </c>
      <c r="AD14" s="1205"/>
      <c r="AE14" s="1206">
        <f t="shared" si="11"/>
        <v>0</v>
      </c>
      <c r="AF14" s="1206">
        <f t="shared" si="12"/>
        <v>0</v>
      </c>
      <c r="AG14" s="1206">
        <f t="shared" si="13"/>
        <v>0</v>
      </c>
      <c r="AH14" s="1206">
        <f t="shared" si="14"/>
        <v>0</v>
      </c>
      <c r="AI14" s="1206">
        <f t="shared" si="15"/>
        <v>0</v>
      </c>
      <c r="AM14" s="477">
        <f>AM13+1</f>
        <v>202305</v>
      </c>
      <c r="AN14" s="515">
        <v>25884994.059999999</v>
      </c>
      <c r="AO14" s="515">
        <f t="shared" si="3"/>
        <v>33217170.055</v>
      </c>
      <c r="AP14" s="515">
        <f>'G-1.03 WC'!BJ26</f>
        <v>29713.979999999996</v>
      </c>
      <c r="AQ14" s="1181">
        <f>0.0481/12</f>
        <v>4.0083333333333334E-3</v>
      </c>
      <c r="AR14" s="515">
        <f t="shared" si="0"/>
        <v>7413051.1434511421</v>
      </c>
      <c r="AS14" s="515">
        <f t="shared" si="4"/>
        <v>7821054.5190939922</v>
      </c>
      <c r="AT14" s="1182"/>
      <c r="AU14" s="515">
        <v>31400310.93</v>
      </c>
      <c r="AV14" s="515">
        <f t="shared" si="5"/>
        <v>39435083.524999999</v>
      </c>
      <c r="AW14" s="515">
        <f>'G-1.03 WC'!BE26</f>
        <v>-34.369999999999997</v>
      </c>
      <c r="AX14" s="1181">
        <f>0.0525/12</f>
        <v>4.3749999999999995E-3</v>
      </c>
      <c r="AY14" s="515">
        <f t="shared" si="1"/>
        <v>7856</v>
      </c>
      <c r="AZ14" s="515">
        <f t="shared" si="6"/>
        <v>303848.98765432101</v>
      </c>
      <c r="BD14" s="1196">
        <v>44682</v>
      </c>
      <c r="BE14" s="1197">
        <v>-1991.75</v>
      </c>
      <c r="BF14" s="1197"/>
      <c r="BG14" s="1198">
        <f>23.35-366.4+4729.81</f>
        <v>4386.76</v>
      </c>
      <c r="BH14" s="1199"/>
      <c r="BI14" s="1197">
        <v>5022.63</v>
      </c>
      <c r="BJ14" s="1197">
        <f t="shared" si="7"/>
        <v>-635.86999999999989</v>
      </c>
    </row>
    <row r="15" spans="1:62" ht="12.5">
      <c r="A15" s="1174">
        <v>319070</v>
      </c>
      <c r="B15" s="1174">
        <v>319071</v>
      </c>
      <c r="C15" s="1174">
        <v>319072</v>
      </c>
      <c r="J15" s="867" t="s">
        <v>950</v>
      </c>
      <c r="K15" s="1200">
        <v>124348.86</v>
      </c>
      <c r="L15" s="1201">
        <v>-17806.756563226911</v>
      </c>
      <c r="M15" s="1202">
        <v>106542.10343677309</v>
      </c>
      <c r="N15" s="1176"/>
      <c r="O15" s="1203"/>
      <c r="P15" s="1203">
        <v>1</v>
      </c>
      <c r="Q15" s="1203"/>
      <c r="R15" s="1203"/>
      <c r="S15" s="1203"/>
      <c r="T15" s="1203"/>
      <c r="V15" s="1203">
        <v>1</v>
      </c>
      <c r="W15" s="1203"/>
      <c r="X15" s="1203"/>
      <c r="Y15" s="1203">
        <f t="shared" si="8"/>
        <v>0</v>
      </c>
      <c r="Z15" s="1203">
        <f t="shared" si="9"/>
        <v>0</v>
      </c>
      <c r="AA15" s="1203">
        <f t="shared" si="9"/>
        <v>0</v>
      </c>
      <c r="AB15" s="1203">
        <f t="shared" si="10"/>
        <v>1</v>
      </c>
      <c r="AC15" s="1203">
        <f t="shared" si="10"/>
        <v>0</v>
      </c>
      <c r="AD15" s="1205"/>
      <c r="AE15" s="1206">
        <f t="shared" si="11"/>
        <v>0</v>
      </c>
      <c r="AF15" s="1206">
        <f t="shared" si="12"/>
        <v>0</v>
      </c>
      <c r="AG15" s="1206">
        <f t="shared" si="13"/>
        <v>0</v>
      </c>
      <c r="AH15" s="1206">
        <f t="shared" si="14"/>
        <v>106542.10343677309</v>
      </c>
      <c r="AI15" s="1206">
        <f t="shared" si="15"/>
        <v>0</v>
      </c>
      <c r="AM15" s="477">
        <f>AM14+1</f>
        <v>202306</v>
      </c>
      <c r="AN15" s="515">
        <v>22875309.609999999</v>
      </c>
      <c r="AO15" s="515">
        <f t="shared" si="3"/>
        <v>24380151.835000001</v>
      </c>
      <c r="AP15" s="515">
        <f>'G-1.03 WC'!BJ27</f>
        <v>20088.599999999999</v>
      </c>
      <c r="AQ15" s="1181">
        <f>0.0486/12</f>
        <v>4.0499999999999998E-3</v>
      </c>
      <c r="AR15" s="515">
        <f t="shared" si="0"/>
        <v>4960148.1481481483</v>
      </c>
      <c r="AS15" s="515">
        <f t="shared" si="4"/>
        <v>6186599.6457996452</v>
      </c>
      <c r="AT15" s="1182"/>
      <c r="AU15" s="515">
        <v>32102935.030000001</v>
      </c>
      <c r="AV15" s="515">
        <f t="shared" si="5"/>
        <v>31751622.98</v>
      </c>
      <c r="AW15" s="515">
        <f>'G-1.03 WC'!BE27</f>
        <v>1214.67</v>
      </c>
      <c r="AX15" s="1181">
        <f>0.05169/12</f>
        <v>4.3074999999999997E-3</v>
      </c>
      <c r="AY15" s="515">
        <f t="shared" si="1"/>
        <v>281989.55310504936</v>
      </c>
      <c r="AZ15" s="515">
        <f t="shared" si="6"/>
        <v>144922.77655252468</v>
      </c>
      <c r="BD15" s="1196">
        <v>44713</v>
      </c>
      <c r="BE15" s="1207">
        <v>-3647.64</v>
      </c>
      <c r="BF15" s="1197"/>
      <c r="BG15" s="1198">
        <f>-628.66+8883+58.67</f>
        <v>8313.01</v>
      </c>
      <c r="BH15" s="1199"/>
      <c r="BI15" s="1197">
        <v>8131.9</v>
      </c>
      <c r="BJ15" s="1207">
        <f t="shared" si="7"/>
        <v>181.11000000000058</v>
      </c>
    </row>
    <row r="16" spans="1:62" thickBot="1">
      <c r="A16" s="1174">
        <v>319078</v>
      </c>
      <c r="B16" s="1174">
        <v>319079</v>
      </c>
      <c r="C16" s="1174">
        <v>319080</v>
      </c>
      <c r="J16" s="867" t="s">
        <v>951</v>
      </c>
      <c r="K16" s="1200">
        <v>3483935.41</v>
      </c>
      <c r="L16" s="1201">
        <v>-498899.54542306327</v>
      </c>
      <c r="M16" s="1202">
        <v>2985035.8645769367</v>
      </c>
      <c r="N16" s="1176"/>
      <c r="O16" s="1203"/>
      <c r="P16" s="1203"/>
      <c r="Q16" s="1203">
        <v>1</v>
      </c>
      <c r="R16" s="1203"/>
      <c r="S16" s="1203"/>
      <c r="T16" s="1203"/>
      <c r="U16" s="1203"/>
      <c r="V16" s="1203"/>
      <c r="W16" s="1203">
        <v>1</v>
      </c>
      <c r="X16" s="1203"/>
      <c r="Y16" s="1203">
        <f t="shared" si="8"/>
        <v>0</v>
      </c>
      <c r="Z16" s="1203">
        <f t="shared" si="9"/>
        <v>0</v>
      </c>
      <c r="AA16" s="1203">
        <f t="shared" si="9"/>
        <v>0</v>
      </c>
      <c r="AB16" s="1203">
        <f t="shared" si="10"/>
        <v>0</v>
      </c>
      <c r="AC16" s="1203">
        <f t="shared" si="10"/>
        <v>1</v>
      </c>
      <c r="AD16" s="1205"/>
      <c r="AE16" s="1206">
        <f t="shared" si="11"/>
        <v>0</v>
      </c>
      <c r="AF16" s="1206">
        <f t="shared" si="12"/>
        <v>0</v>
      </c>
      <c r="AG16" s="1206">
        <f t="shared" si="13"/>
        <v>0</v>
      </c>
      <c r="AH16" s="1206">
        <f t="shared" si="14"/>
        <v>0</v>
      </c>
      <c r="AI16" s="1206">
        <f t="shared" si="15"/>
        <v>2985035.8645769367</v>
      </c>
      <c r="AN16" s="515"/>
      <c r="AO16" s="1208">
        <f>SUM(AO4:AO15)/12</f>
        <v>33637729.674999997</v>
      </c>
      <c r="AP16" s="515"/>
      <c r="AQ16" s="1181"/>
      <c r="AS16" s="1208">
        <f>SUM(AS4:AS15)/12</f>
        <v>4844414.9097839044</v>
      </c>
      <c r="AT16" s="1182"/>
      <c r="AU16" s="515"/>
      <c r="AV16" s="1208">
        <f>SUM(AV4:AV15)/12</f>
        <v>41855303.319999993</v>
      </c>
      <c r="AW16" s="515"/>
      <c r="AZ16" s="1208">
        <f>SUM(AZ4:AZ15)/12</f>
        <v>1229753.5968427884</v>
      </c>
      <c r="BD16" s="1196">
        <v>44743</v>
      </c>
      <c r="BE16" s="1209">
        <v>-326.27</v>
      </c>
      <c r="BF16" s="1197"/>
      <c r="BG16" s="1198">
        <f>233.37+14597.21</f>
        <v>14830.58</v>
      </c>
      <c r="BH16" s="1199"/>
      <c r="BI16" s="1197">
        <v>11635.42</v>
      </c>
      <c r="BJ16" s="1209">
        <f t="shared" si="7"/>
        <v>3195.16</v>
      </c>
    </row>
    <row r="17" spans="1:62" ht="12.5">
      <c r="A17" s="1174">
        <v>319270</v>
      </c>
      <c r="B17" s="1174">
        <v>319271</v>
      </c>
      <c r="C17" s="1174">
        <v>319272</v>
      </c>
      <c r="J17" s="867" t="s">
        <v>952</v>
      </c>
      <c r="K17" s="1200">
        <v>1401207.86</v>
      </c>
      <c r="L17" s="1201">
        <v>-200652.96342483666</v>
      </c>
      <c r="M17" s="1202">
        <v>1200554.8965751634</v>
      </c>
      <c r="N17" s="1176"/>
      <c r="O17" s="1203"/>
      <c r="P17" s="1203">
        <v>1</v>
      </c>
      <c r="Q17" s="1203"/>
      <c r="R17" s="1203"/>
      <c r="S17" s="1203"/>
      <c r="T17" s="1203"/>
      <c r="U17" s="1203">
        <v>1</v>
      </c>
      <c r="W17" s="1203"/>
      <c r="X17" s="1203"/>
      <c r="Y17" s="1203">
        <f t="shared" si="8"/>
        <v>0</v>
      </c>
      <c r="Z17" s="1203">
        <f t="shared" si="9"/>
        <v>0</v>
      </c>
      <c r="AA17" s="1203">
        <f t="shared" si="9"/>
        <v>1</v>
      </c>
      <c r="AB17" s="1203">
        <f t="shared" si="10"/>
        <v>0</v>
      </c>
      <c r="AC17" s="1203">
        <f t="shared" si="10"/>
        <v>0</v>
      </c>
      <c r="AD17" s="1205"/>
      <c r="AE17" s="1206">
        <f t="shared" si="11"/>
        <v>0</v>
      </c>
      <c r="AF17" s="1206">
        <f t="shared" si="12"/>
        <v>0</v>
      </c>
      <c r="AG17" s="1206">
        <f t="shared" si="13"/>
        <v>1200554.8965751634</v>
      </c>
      <c r="AH17" s="1206">
        <f t="shared" si="14"/>
        <v>0</v>
      </c>
      <c r="AI17" s="1206">
        <f t="shared" si="15"/>
        <v>0</v>
      </c>
      <c r="AN17" s="515"/>
      <c r="AO17" s="515"/>
      <c r="AP17" s="515"/>
      <c r="AQ17" s="1181"/>
      <c r="AT17" s="1182"/>
      <c r="AU17" s="515"/>
      <c r="AV17" s="515"/>
      <c r="AW17" s="515"/>
      <c r="BD17" s="1196">
        <v>44774</v>
      </c>
      <c r="BE17" s="1209">
        <v>-2024.89</v>
      </c>
      <c r="BF17" s="1197"/>
      <c r="BG17" s="1198">
        <f>22065.05+78.93-786.06</f>
        <v>21357.919999999998</v>
      </c>
      <c r="BH17" s="1199"/>
      <c r="BI17" s="1197">
        <v>16301.28</v>
      </c>
      <c r="BJ17" s="1209">
        <f t="shared" si="7"/>
        <v>5056.6399999999976</v>
      </c>
    </row>
    <row r="18" spans="1:62">
      <c r="I18" s="1190" t="s">
        <v>953</v>
      </c>
      <c r="K18" s="1210">
        <f>SUM(K11:K17)</f>
        <v>44466031.379999995</v>
      </c>
      <c r="L18" s="1210">
        <f>SUM(L11:L17)</f>
        <v>-6367535.6261124443</v>
      </c>
      <c r="M18" s="1210">
        <f>SUM(M11:M17)</f>
        <v>38098495.753887556</v>
      </c>
      <c r="N18" s="1176"/>
      <c r="O18" s="1203"/>
      <c r="P18" s="1203"/>
      <c r="Q18" s="1203"/>
      <c r="R18" s="1203"/>
      <c r="S18" s="1203"/>
      <c r="T18" s="1203"/>
      <c r="U18" s="1203"/>
      <c r="V18" s="1203"/>
      <c r="W18" s="1203"/>
      <c r="X18" s="1203"/>
      <c r="Y18" s="1203"/>
      <c r="Z18" s="1203"/>
      <c r="AA18" s="1203"/>
      <c r="AB18" s="1203"/>
      <c r="AC18" s="1203"/>
      <c r="AD18" s="1205"/>
      <c r="AE18" s="1210">
        <f>SUM(AE11:AE17)</f>
        <v>23359364.243468098</v>
      </c>
      <c r="AF18" s="1210">
        <f>SUM(AF11:AF17)</f>
        <v>10446998.645830585</v>
      </c>
      <c r="AG18" s="1210">
        <f>SUM(AG11:AG17)</f>
        <v>1200554.8965751634</v>
      </c>
      <c r="AH18" s="1210">
        <f>SUM(AH11:AH17)</f>
        <v>106542.10343677309</v>
      </c>
      <c r="AI18" s="1210">
        <f>SUM(AI11:AI17)</f>
        <v>2985035.8645769367</v>
      </c>
      <c r="AN18" s="515"/>
      <c r="AO18" s="515"/>
      <c r="AP18" s="515"/>
      <c r="AQ18" s="1181"/>
      <c r="AT18" s="1182"/>
      <c r="AU18" s="515"/>
      <c r="AV18" s="515"/>
      <c r="AW18" s="515"/>
      <c r="BD18" s="1196">
        <v>44805</v>
      </c>
      <c r="BE18" s="1209">
        <v>-3379.12</v>
      </c>
      <c r="BF18" s="1197"/>
      <c r="BG18" s="1198">
        <f>25023.4-2872.52</f>
        <v>22150.880000000001</v>
      </c>
      <c r="BH18" s="1199"/>
      <c r="BI18" s="1197">
        <v>18412.259999999998</v>
      </c>
      <c r="BJ18" s="1209">
        <f t="shared" si="7"/>
        <v>3738.6200000000026</v>
      </c>
    </row>
    <row r="19" spans="1:62">
      <c r="K19" s="1211"/>
      <c r="L19" s="1212"/>
      <c r="M19" s="1213"/>
      <c r="N19" s="1176"/>
      <c r="O19" s="1203"/>
      <c r="P19" s="1203"/>
      <c r="Q19" s="1203"/>
      <c r="R19" s="1203"/>
      <c r="S19" s="1203"/>
      <c r="T19" s="1203"/>
      <c r="U19" s="1203"/>
      <c r="V19" s="1203"/>
      <c r="W19" s="1203"/>
      <c r="X19" s="1203"/>
      <c r="Y19" s="1203"/>
      <c r="Z19" s="1203"/>
      <c r="AA19" s="1203"/>
      <c r="AB19" s="1203"/>
      <c r="AC19" s="1203"/>
      <c r="AD19" s="1205"/>
      <c r="AE19" s="1206"/>
      <c r="AF19" s="1206"/>
      <c r="AG19" s="1206"/>
      <c r="AH19" s="1206"/>
      <c r="AI19" s="1206"/>
      <c r="AN19" s="515" t="s">
        <v>954</v>
      </c>
      <c r="AO19" s="515"/>
      <c r="AP19" s="515"/>
      <c r="AQ19" s="1181"/>
      <c r="AT19" s="1182"/>
      <c r="AU19" s="3895" t="s">
        <v>955</v>
      </c>
      <c r="AV19" s="3895"/>
      <c r="AW19" s="3895"/>
      <c r="AX19" s="3895"/>
      <c r="AY19" s="3895"/>
      <c r="AZ19" s="3895"/>
      <c r="BD19" s="1196">
        <v>44835</v>
      </c>
      <c r="BE19" s="1209">
        <v>-1162.3</v>
      </c>
      <c r="BF19" s="1197"/>
      <c r="BG19" s="1198">
        <f>29662.18-564.93</f>
        <v>29097.25</v>
      </c>
      <c r="BH19" s="1199"/>
      <c r="BI19" s="1197">
        <v>21732.54</v>
      </c>
      <c r="BJ19" s="1209">
        <f t="shared" si="7"/>
        <v>7364.7099999999991</v>
      </c>
    </row>
    <row r="20" spans="1:62" ht="12.5">
      <c r="A20" s="1174">
        <v>319502</v>
      </c>
      <c r="B20" s="1174">
        <v>319503</v>
      </c>
      <c r="C20" s="1174">
        <v>319504</v>
      </c>
      <c r="D20" s="1174">
        <v>11299</v>
      </c>
      <c r="E20" s="1174">
        <v>11579</v>
      </c>
      <c r="I20" s="877">
        <v>2</v>
      </c>
      <c r="J20" s="867" t="s">
        <v>731</v>
      </c>
      <c r="K20" s="1200">
        <v>-36344398.759999998</v>
      </c>
      <c r="L20" s="1201">
        <v>5204517.8472578349</v>
      </c>
      <c r="M20" s="1202">
        <v>-31139880.912742164</v>
      </c>
      <c r="N20" s="1176"/>
      <c r="O20" s="1204">
        <v>0.52107524000000005</v>
      </c>
      <c r="P20" s="1204">
        <v>0.34264541999999998</v>
      </c>
      <c r="Q20" s="1204">
        <v>0.13627934</v>
      </c>
      <c r="R20" s="1203"/>
      <c r="S20" s="1204">
        <v>0.65096714</v>
      </c>
      <c r="T20" s="1204">
        <v>0.34903286</v>
      </c>
      <c r="U20" s="1204">
        <v>0.65454411000000001</v>
      </c>
      <c r="V20" s="1204">
        <v>0.34545588999999999</v>
      </c>
      <c r="W20" s="1203">
        <v>1</v>
      </c>
      <c r="X20" s="1203"/>
      <c r="Y20" s="1203">
        <f t="shared" ref="Y20:Y29" si="16">O20*S20</f>
        <v>0.33920285870761363</v>
      </c>
      <c r="Z20" s="1203">
        <f t="shared" ref="Z20:AA29" si="17">O20*T20</f>
        <v>0.18187238129238642</v>
      </c>
      <c r="AA20" s="1203">
        <f t="shared" si="17"/>
        <v>0.22427654147947618</v>
      </c>
      <c r="AB20" s="1203">
        <f t="shared" ref="AB20:AC29" si="18">P20*V20</f>
        <v>0.11836887852052379</v>
      </c>
      <c r="AC20" s="1203">
        <f t="shared" si="18"/>
        <v>0.13627934</v>
      </c>
      <c r="AD20" s="1205"/>
      <c r="AE20" s="1206">
        <f t="shared" ref="AE20:AE29" si="19">M20*Y20</f>
        <v>-10562736.625416795</v>
      </c>
      <c r="AF20" s="1206">
        <f t="shared" ref="AF20:AF29" si="20">M20*Z20</f>
        <v>-5663484.294761749</v>
      </c>
      <c r="AG20" s="1206">
        <f t="shared" ref="AG20:AG29" si="21">M20*AA20</f>
        <v>-6983944.7931925664</v>
      </c>
      <c r="AH20" s="1206">
        <f t="shared" ref="AH20:AH29" si="22">M20*AB20</f>
        <v>-3685992.7809039545</v>
      </c>
      <c r="AI20" s="1206">
        <f t="shared" ref="AI20:AI29" si="23">M20*AC20</f>
        <v>-4243722.4184670998</v>
      </c>
      <c r="AN20" s="515" t="s">
        <v>956</v>
      </c>
      <c r="AO20" s="515">
        <f>AS16</f>
        <v>4844414.9097839044</v>
      </c>
      <c r="AP20" s="515"/>
      <c r="AQ20" s="1181"/>
      <c r="AT20" s="1182"/>
      <c r="AU20" s="3895"/>
      <c r="AV20" s="3895"/>
      <c r="AW20" s="3895"/>
      <c r="AX20" s="3895"/>
      <c r="AY20" s="3895"/>
      <c r="AZ20" s="3895"/>
      <c r="BD20" s="1196">
        <v>44866</v>
      </c>
      <c r="BE20" s="1209">
        <v>-3337.85</v>
      </c>
      <c r="BF20" s="1197"/>
      <c r="BG20" s="1198">
        <f>39521.55-2989.59</f>
        <v>36531.960000000006</v>
      </c>
      <c r="BH20" s="1199"/>
      <c r="BI20" s="1197">
        <v>27180</v>
      </c>
      <c r="BJ20" s="1209">
        <f t="shared" si="7"/>
        <v>9351.9600000000064</v>
      </c>
    </row>
    <row r="21" spans="1:62" ht="12.5">
      <c r="A21" s="1174">
        <v>319494</v>
      </c>
      <c r="B21" s="1174">
        <v>319495</v>
      </c>
      <c r="C21" s="1174">
        <v>319496</v>
      </c>
      <c r="D21" s="1174">
        <v>11540</v>
      </c>
      <c r="J21" s="867" t="s">
        <v>957</v>
      </c>
      <c r="K21" s="1200">
        <v>-103970.61</v>
      </c>
      <c r="L21" s="1201">
        <v>14888.59119416298</v>
      </c>
      <c r="M21" s="1202">
        <v>-89082.018805837026</v>
      </c>
      <c r="N21" s="1176"/>
      <c r="O21" s="1204">
        <v>0.60329138999999998</v>
      </c>
      <c r="P21" s="1204">
        <v>0.39670861000000002</v>
      </c>
      <c r="Q21" s="1203"/>
      <c r="R21" s="1203"/>
      <c r="S21" s="1203"/>
      <c r="T21" s="1203">
        <v>1</v>
      </c>
      <c r="U21" s="1203"/>
      <c r="V21" s="1203">
        <v>1</v>
      </c>
      <c r="W21" s="1203"/>
      <c r="X21" s="1203"/>
      <c r="Y21" s="1203">
        <f t="shared" si="16"/>
        <v>0</v>
      </c>
      <c r="Z21" s="1203">
        <f t="shared" si="17"/>
        <v>0.60329138999999998</v>
      </c>
      <c r="AA21" s="1203">
        <f t="shared" si="17"/>
        <v>0</v>
      </c>
      <c r="AB21" s="1203">
        <f t="shared" si="18"/>
        <v>0.39670861000000002</v>
      </c>
      <c r="AC21" s="1203">
        <f t="shared" si="18"/>
        <v>0</v>
      </c>
      <c r="AD21" s="1205"/>
      <c r="AE21" s="1206">
        <f t="shared" si="19"/>
        <v>0</v>
      </c>
      <c r="AF21" s="1206">
        <f t="shared" si="20"/>
        <v>-53742.414949379556</v>
      </c>
      <c r="AG21" s="1206">
        <f t="shared" si="21"/>
        <v>0</v>
      </c>
      <c r="AH21" s="1206">
        <f t="shared" si="22"/>
        <v>-35339.60385645747</v>
      </c>
      <c r="AI21" s="1206">
        <f t="shared" si="23"/>
        <v>0</v>
      </c>
      <c r="AN21" s="515" t="s">
        <v>314</v>
      </c>
      <c r="AO21" s="515">
        <f>AZ16</f>
        <v>1229753.5968427884</v>
      </c>
      <c r="AP21" s="515"/>
      <c r="AQ21" s="1181"/>
      <c r="AT21" s="1182"/>
      <c r="AU21" s="515"/>
      <c r="AV21" s="515"/>
      <c r="AW21" s="515"/>
      <c r="BD21" s="1196">
        <v>44896</v>
      </c>
      <c r="BE21" s="1209">
        <v>-26132.31</v>
      </c>
      <c r="BF21" s="1197"/>
      <c r="BG21" s="1198">
        <f>74240.63-19692.61</f>
        <v>54548.020000000004</v>
      </c>
      <c r="BH21" s="1199"/>
      <c r="BI21" s="1197">
        <v>51830.37</v>
      </c>
      <c r="BJ21" s="1209">
        <f t="shared" si="7"/>
        <v>2717.6500000000015</v>
      </c>
    </row>
    <row r="22" spans="1:62" thickBot="1">
      <c r="A22" s="1174">
        <v>319486</v>
      </c>
      <c r="B22" s="1174">
        <v>319487</v>
      </c>
      <c r="C22" s="1174">
        <v>319488</v>
      </c>
      <c r="D22" s="1174">
        <v>11540</v>
      </c>
      <c r="J22" s="867" t="s">
        <v>958</v>
      </c>
      <c r="K22" s="1200">
        <v>-282467.96999999997</v>
      </c>
      <c r="L22" s="1201">
        <v>40449.412875187445</v>
      </c>
      <c r="M22" s="1202">
        <v>-242018.55712481253</v>
      </c>
      <c r="N22" s="1176"/>
      <c r="O22" s="1204">
        <v>0.60329138999999998</v>
      </c>
      <c r="P22" s="1204">
        <v>0.39670861000000002</v>
      </c>
      <c r="Q22" s="1203"/>
      <c r="R22" s="1203"/>
      <c r="S22" s="1203">
        <v>1</v>
      </c>
      <c r="T22" s="1203"/>
      <c r="U22" s="1203">
        <v>1</v>
      </c>
      <c r="V22" s="1203"/>
      <c r="W22" s="1203"/>
      <c r="X22" s="1203"/>
      <c r="Y22" s="1203">
        <f t="shared" si="16"/>
        <v>0.60329138999999998</v>
      </c>
      <c r="Z22" s="1203">
        <f t="shared" si="17"/>
        <v>0</v>
      </c>
      <c r="AA22" s="1203">
        <f t="shared" si="17"/>
        <v>0.39670861000000002</v>
      </c>
      <c r="AB22" s="1203">
        <f t="shared" si="18"/>
        <v>0</v>
      </c>
      <c r="AC22" s="1203">
        <f t="shared" si="18"/>
        <v>0</v>
      </c>
      <c r="AD22" s="1205"/>
      <c r="AE22" s="1206">
        <f t="shared" si="19"/>
        <v>-146007.71173362256</v>
      </c>
      <c r="AF22" s="1206">
        <f t="shared" si="20"/>
        <v>0</v>
      </c>
      <c r="AG22" s="1206">
        <f t="shared" si="21"/>
        <v>-96010.845391189985</v>
      </c>
      <c r="AH22" s="1206">
        <f t="shared" si="22"/>
        <v>0</v>
      </c>
      <c r="AI22" s="1206">
        <f t="shared" si="23"/>
        <v>0</v>
      </c>
      <c r="AN22" s="515" t="s">
        <v>959</v>
      </c>
      <c r="AO22" s="1208">
        <f>SUM(AO20:AO21)</f>
        <v>6074168.5066266926</v>
      </c>
      <c r="AP22" s="515"/>
      <c r="AQ22" s="1182"/>
      <c r="AT22" s="1182"/>
      <c r="AU22" s="515"/>
      <c r="AV22" s="515"/>
      <c r="AW22" s="515"/>
      <c r="BD22" s="1196">
        <v>44927</v>
      </c>
      <c r="BE22" s="1209">
        <v>4414.0200000000004</v>
      </c>
      <c r="BF22" s="1197"/>
      <c r="BG22" s="1198">
        <f>96054.49-1156.26+5516.33</f>
        <v>100414.56000000001</v>
      </c>
      <c r="BH22" s="1199">
        <v>10002</v>
      </c>
      <c r="BI22" s="1197">
        <v>66914.59</v>
      </c>
      <c r="BJ22" s="1209">
        <f t="shared" si="7"/>
        <v>33499.970000000016</v>
      </c>
    </row>
    <row r="23" spans="1:62" thickBot="1">
      <c r="A23" s="1174">
        <v>319542</v>
      </c>
      <c r="B23" s="1174">
        <v>319543</v>
      </c>
      <c r="C23" s="1174">
        <v>319544</v>
      </c>
      <c r="E23" s="1174">
        <v>11579</v>
      </c>
      <c r="J23" s="867" t="s">
        <v>946</v>
      </c>
      <c r="K23" s="1200">
        <v>-299.54000000000002</v>
      </c>
      <c r="L23" s="1201">
        <v>42.894127545270528</v>
      </c>
      <c r="M23" s="1202">
        <v>-256.6458724547295</v>
      </c>
      <c r="N23" s="1176"/>
      <c r="O23" s="1203">
        <v>1</v>
      </c>
      <c r="P23" s="1203"/>
      <c r="Q23" s="1203"/>
      <c r="R23" s="1203"/>
      <c r="S23" s="1204">
        <v>0.65096714</v>
      </c>
      <c r="T23" s="1204">
        <v>0.34903286</v>
      </c>
      <c r="U23" s="1203"/>
      <c r="V23" s="1203"/>
      <c r="W23" s="1203"/>
      <c r="X23" s="1203"/>
      <c r="Y23" s="1203">
        <f t="shared" si="16"/>
        <v>0.65096714</v>
      </c>
      <c r="Z23" s="1203">
        <f t="shared" si="17"/>
        <v>0.34903286</v>
      </c>
      <c r="AA23" s="1203">
        <f t="shared" si="17"/>
        <v>0</v>
      </c>
      <c r="AB23" s="1203">
        <f t="shared" si="18"/>
        <v>0</v>
      </c>
      <c r="AC23" s="1203">
        <f t="shared" si="18"/>
        <v>0</v>
      </c>
      <c r="AD23" s="1205"/>
      <c r="AE23" s="1206">
        <f t="shared" si="19"/>
        <v>-167.06802958466005</v>
      </c>
      <c r="AF23" s="1206">
        <f t="shared" si="20"/>
        <v>-89.57784287006946</v>
      </c>
      <c r="AG23" s="1206">
        <f t="shared" si="21"/>
        <v>0</v>
      </c>
      <c r="AH23" s="1206">
        <f t="shared" si="22"/>
        <v>0</v>
      </c>
      <c r="AI23" s="1206">
        <f t="shared" si="23"/>
        <v>0</v>
      </c>
      <c r="AN23" s="515"/>
      <c r="AO23" s="515"/>
      <c r="AP23" s="515"/>
      <c r="AQ23" s="1182"/>
      <c r="AT23" s="1182"/>
      <c r="AU23" s="515"/>
      <c r="AV23" s="515"/>
      <c r="AW23" s="515"/>
      <c r="BD23" s="1196">
        <v>44958</v>
      </c>
      <c r="BE23" s="1209">
        <v>-3268.07</v>
      </c>
      <c r="BF23" s="1197"/>
      <c r="BG23" s="1198">
        <f>94851.8-2139.84</f>
        <v>92711.96</v>
      </c>
      <c r="BH23" s="1199">
        <v>4141.25</v>
      </c>
      <c r="BI23" s="1197">
        <v>65589.440000000002</v>
      </c>
      <c r="BJ23" s="1209">
        <f t="shared" si="7"/>
        <v>27122.520000000004</v>
      </c>
    </row>
    <row r="24" spans="1:62" ht="15.5" thickTop="1" thickBot="1">
      <c r="A24" s="1174">
        <v>410483</v>
      </c>
      <c r="B24" s="1174">
        <v>410484</v>
      </c>
      <c r="C24" s="1174">
        <v>410485</v>
      </c>
      <c r="J24" s="867" t="s">
        <v>947</v>
      </c>
      <c r="K24" s="1200">
        <v>2709163.21</v>
      </c>
      <c r="L24" s="1201">
        <v>-387952.16755923926</v>
      </c>
      <c r="M24" s="1202">
        <v>2321211.0424407609</v>
      </c>
      <c r="N24" s="1176"/>
      <c r="O24" s="1203">
        <v>1</v>
      </c>
      <c r="P24" s="1203"/>
      <c r="Q24" s="1203"/>
      <c r="R24" s="1203"/>
      <c r="S24" s="1203"/>
      <c r="T24" s="1203">
        <v>1</v>
      </c>
      <c r="U24" s="1203"/>
      <c r="V24" s="1203"/>
      <c r="W24" s="1203"/>
      <c r="X24" s="1203"/>
      <c r="Y24" s="1203">
        <f t="shared" si="16"/>
        <v>0</v>
      </c>
      <c r="Z24" s="1203">
        <f t="shared" si="17"/>
        <v>1</v>
      </c>
      <c r="AA24" s="1203">
        <f t="shared" si="17"/>
        <v>0</v>
      </c>
      <c r="AB24" s="1203">
        <f t="shared" si="18"/>
        <v>0</v>
      </c>
      <c r="AC24" s="1203">
        <f t="shared" si="18"/>
        <v>0</v>
      </c>
      <c r="AD24" s="1205"/>
      <c r="AE24" s="1206">
        <f t="shared" si="19"/>
        <v>0</v>
      </c>
      <c r="AF24" s="1206">
        <f t="shared" si="20"/>
        <v>2321211.0424407609</v>
      </c>
      <c r="AG24" s="1206">
        <f t="shared" si="21"/>
        <v>0</v>
      </c>
      <c r="AH24" s="1206">
        <f t="shared" si="22"/>
        <v>0</v>
      </c>
      <c r="AI24" s="1206">
        <f t="shared" si="23"/>
        <v>0</v>
      </c>
      <c r="AN24" s="515" t="s">
        <v>960</v>
      </c>
      <c r="AO24" s="1214">
        <f>AO22*AO30*AO33</f>
        <v>2850787.8530412717</v>
      </c>
      <c r="AP24" s="515"/>
      <c r="AQ24" s="1182"/>
      <c r="AT24" s="1182"/>
      <c r="AU24" s="515"/>
      <c r="AV24" s="515"/>
      <c r="AW24" s="515"/>
      <c r="BD24" s="1196">
        <v>44986</v>
      </c>
      <c r="BE24" s="1209">
        <v>-1174.1400000000001</v>
      </c>
      <c r="BF24" s="1197"/>
      <c r="BG24" s="1198">
        <f>1014.25+78284.67</f>
        <v>79298.92</v>
      </c>
      <c r="BH24" s="1199">
        <v>11856</v>
      </c>
      <c r="BI24" s="1197">
        <v>53084.32</v>
      </c>
      <c r="BJ24" s="1209">
        <f t="shared" si="7"/>
        <v>26214.6</v>
      </c>
    </row>
    <row r="25" spans="1:62" ht="13.5" thickTop="1" thickBot="1">
      <c r="A25" s="1174">
        <v>319534</v>
      </c>
      <c r="B25" s="1174">
        <v>319535</v>
      </c>
      <c r="C25" s="1174">
        <v>319536</v>
      </c>
      <c r="J25" s="867" t="s">
        <v>948</v>
      </c>
      <c r="K25" s="1200">
        <v>13782168.49</v>
      </c>
      <c r="L25" s="1201">
        <v>-1973606.5068453914</v>
      </c>
      <c r="M25" s="1202">
        <v>11808561.98315461</v>
      </c>
      <c r="N25" s="1176"/>
      <c r="O25" s="1203">
        <v>1</v>
      </c>
      <c r="P25" s="1203"/>
      <c r="Q25" s="1203"/>
      <c r="R25" s="1203"/>
      <c r="S25" s="1203">
        <v>1</v>
      </c>
      <c r="T25" s="1203"/>
      <c r="U25" s="1203"/>
      <c r="V25" s="1203"/>
      <c r="W25" s="1203"/>
      <c r="X25" s="1203"/>
      <c r="Y25" s="1203">
        <f t="shared" si="16"/>
        <v>1</v>
      </c>
      <c r="Z25" s="1203">
        <f t="shared" si="17"/>
        <v>0</v>
      </c>
      <c r="AA25" s="1203">
        <f t="shared" si="17"/>
        <v>0</v>
      </c>
      <c r="AB25" s="1203">
        <f t="shared" si="18"/>
        <v>0</v>
      </c>
      <c r="AC25" s="1203">
        <f t="shared" si="18"/>
        <v>0</v>
      </c>
      <c r="AD25" s="1205"/>
      <c r="AE25" s="1206">
        <f t="shared" si="19"/>
        <v>11808561.98315461</v>
      </c>
      <c r="AF25" s="1206">
        <f t="shared" si="20"/>
        <v>0</v>
      </c>
      <c r="AG25" s="1206">
        <f t="shared" si="21"/>
        <v>0</v>
      </c>
      <c r="AH25" s="1206">
        <f t="shared" si="22"/>
        <v>0</v>
      </c>
      <c r="AI25" s="1206">
        <f t="shared" si="23"/>
        <v>0</v>
      </c>
      <c r="AN25" s="515"/>
      <c r="AO25" s="515"/>
      <c r="AP25" s="515"/>
      <c r="AQ25" s="1182"/>
      <c r="AT25" s="1182"/>
      <c r="AU25" s="515"/>
      <c r="AV25" s="515"/>
      <c r="AW25" s="515"/>
      <c r="BD25" s="1196">
        <v>45017</v>
      </c>
      <c r="BE25" s="1209">
        <v>2429.36</v>
      </c>
      <c r="BF25" s="1197"/>
      <c r="BG25" s="1198">
        <f>3666.91+85846.22</f>
        <v>89513.13</v>
      </c>
      <c r="BH25" s="1199">
        <v>7798.75</v>
      </c>
      <c r="BI25" s="1197">
        <v>58242.71</v>
      </c>
      <c r="BJ25" s="1209">
        <f t="shared" si="7"/>
        <v>31270.420000000006</v>
      </c>
    </row>
    <row r="26" spans="1:62" ht="15.5" thickTop="1" thickBot="1">
      <c r="A26" s="1174">
        <v>319526</v>
      </c>
      <c r="B26" s="1174">
        <v>319527</v>
      </c>
      <c r="C26" s="1174">
        <v>319528</v>
      </c>
      <c r="D26" s="1174">
        <v>11520</v>
      </c>
      <c r="E26" s="1174">
        <v>11579</v>
      </c>
      <c r="J26" s="867" t="s">
        <v>961</v>
      </c>
      <c r="K26" s="1200">
        <v>0</v>
      </c>
      <c r="L26" s="1201">
        <v>0</v>
      </c>
      <c r="M26" s="1202">
        <v>0</v>
      </c>
      <c r="N26" s="1176"/>
      <c r="O26" s="1203"/>
      <c r="P26" s="1204">
        <v>0.71544728000000002</v>
      </c>
      <c r="Q26" s="1204">
        <v>0.28455271999999998</v>
      </c>
      <c r="R26" s="1203"/>
      <c r="S26" s="1203"/>
      <c r="T26" s="1203"/>
      <c r="U26" s="1204">
        <v>0.65454411000000001</v>
      </c>
      <c r="V26" s="1204">
        <v>0.34545588999999999</v>
      </c>
      <c r="W26" s="1203">
        <v>1</v>
      </c>
      <c r="X26" s="1203"/>
      <c r="Y26" s="1203">
        <f t="shared" si="16"/>
        <v>0</v>
      </c>
      <c r="Z26" s="1203">
        <f t="shared" si="17"/>
        <v>0</v>
      </c>
      <c r="AA26" s="1203">
        <f t="shared" si="17"/>
        <v>0.46829180313952085</v>
      </c>
      <c r="AB26" s="1203">
        <f t="shared" si="18"/>
        <v>0.2471554768604792</v>
      </c>
      <c r="AC26" s="1203">
        <f t="shared" si="18"/>
        <v>0.28455271999999998</v>
      </c>
      <c r="AD26" s="1205"/>
      <c r="AE26" s="1206">
        <f t="shared" si="19"/>
        <v>0</v>
      </c>
      <c r="AF26" s="1206">
        <f t="shared" si="20"/>
        <v>0</v>
      </c>
      <c r="AG26" s="1206">
        <f t="shared" si="21"/>
        <v>0</v>
      </c>
      <c r="AH26" s="1206">
        <f t="shared" si="22"/>
        <v>0</v>
      </c>
      <c r="AI26" s="1206">
        <f t="shared" si="23"/>
        <v>0</v>
      </c>
      <c r="AN26" s="515" t="s">
        <v>962</v>
      </c>
      <c r="AO26" s="1214">
        <f>AO22*AO31*AO35</f>
        <v>902499.34929774317</v>
      </c>
      <c r="AP26" s="515"/>
      <c r="AQ26" s="1182"/>
      <c r="AT26" s="1182"/>
      <c r="AU26" s="515"/>
      <c r="AV26" s="515"/>
      <c r="AW26" s="515"/>
      <c r="BD26" s="1196">
        <v>45047</v>
      </c>
      <c r="BE26" s="1209">
        <v>-34.369999999999997</v>
      </c>
      <c r="BF26" s="1197"/>
      <c r="BG26" s="1198">
        <f>598.93+89424.05</f>
        <v>90022.98</v>
      </c>
      <c r="BH26" s="1199">
        <v>7650.5</v>
      </c>
      <c r="BI26" s="1197">
        <v>60309</v>
      </c>
      <c r="BJ26" s="1209">
        <f t="shared" si="7"/>
        <v>29713.979999999996</v>
      </c>
    </row>
    <row r="27" spans="1:62" thickTop="1">
      <c r="A27" s="1174">
        <v>319518</v>
      </c>
      <c r="B27" s="1174">
        <v>319519</v>
      </c>
      <c r="C27" s="1174">
        <v>319520</v>
      </c>
      <c r="E27" s="1174">
        <v>11579</v>
      </c>
      <c r="J27" s="867" t="s">
        <v>949</v>
      </c>
      <c r="K27" s="1200">
        <v>-14.5</v>
      </c>
      <c r="L27" s="1201">
        <v>2.0763999779876565</v>
      </c>
      <c r="M27" s="1202">
        <v>-12.423600022012344</v>
      </c>
      <c r="N27" s="1176"/>
      <c r="O27" s="1203"/>
      <c r="P27" s="1203">
        <v>1</v>
      </c>
      <c r="Q27" s="1203"/>
      <c r="R27" s="1203"/>
      <c r="S27" s="1203"/>
      <c r="T27" s="1203"/>
      <c r="U27" s="1204">
        <v>0.65454411000000001</v>
      </c>
      <c r="V27" s="1204">
        <v>0.34545588999999999</v>
      </c>
      <c r="W27" s="1203"/>
      <c r="X27" s="1203"/>
      <c r="Y27" s="1203">
        <f t="shared" si="16"/>
        <v>0</v>
      </c>
      <c r="Z27" s="1203">
        <f t="shared" si="17"/>
        <v>0</v>
      </c>
      <c r="AA27" s="1203">
        <f t="shared" si="17"/>
        <v>0.65454411000000001</v>
      </c>
      <c r="AB27" s="1203">
        <f t="shared" si="18"/>
        <v>0.34545588999999999</v>
      </c>
      <c r="AC27" s="1203">
        <f t="shared" si="18"/>
        <v>0</v>
      </c>
      <c r="AD27" s="1205"/>
      <c r="AE27" s="1206">
        <f t="shared" si="19"/>
        <v>0</v>
      </c>
      <c r="AF27" s="1206">
        <f t="shared" si="20"/>
        <v>0</v>
      </c>
      <c r="AG27" s="1206">
        <f t="shared" si="21"/>
        <v>-8.1317942194040498</v>
      </c>
      <c r="AH27" s="1206">
        <f t="shared" si="22"/>
        <v>-4.2918058026082937</v>
      </c>
      <c r="AI27" s="1206">
        <f t="shared" si="23"/>
        <v>0</v>
      </c>
      <c r="AN27" s="515"/>
      <c r="AO27" s="515"/>
      <c r="AP27" s="515"/>
      <c r="AQ27" s="1182"/>
      <c r="AT27" s="1182"/>
      <c r="AU27" s="515"/>
      <c r="AV27" s="515"/>
      <c r="AW27" s="515"/>
      <c r="BD27" s="1196">
        <v>45078</v>
      </c>
      <c r="BE27" s="1215">
        <v>1214.67</v>
      </c>
      <c r="BF27" s="1197"/>
      <c r="BG27" s="1198">
        <f>1997.29+54841.6</f>
        <v>56838.89</v>
      </c>
      <c r="BH27" s="1199">
        <v>2238.5</v>
      </c>
      <c r="BI27" s="1197">
        <v>36750.29</v>
      </c>
      <c r="BJ27" s="1215">
        <f t="shared" si="7"/>
        <v>20088.599999999999</v>
      </c>
    </row>
    <row r="28" spans="1:62" ht="12.5">
      <c r="A28" s="1174">
        <v>410491</v>
      </c>
      <c r="B28" s="1174">
        <v>410492</v>
      </c>
      <c r="C28" s="1174">
        <v>410493</v>
      </c>
      <c r="J28" s="867" t="s">
        <v>950</v>
      </c>
      <c r="K28" s="1200">
        <v>491277.27</v>
      </c>
      <c r="L28" s="1201">
        <v>-70350.904318195593</v>
      </c>
      <c r="M28" s="1202">
        <v>420926.36568180443</v>
      </c>
      <c r="N28" s="1176"/>
      <c r="O28" s="1203"/>
      <c r="P28" s="1203">
        <v>1</v>
      </c>
      <c r="Q28" s="1203"/>
      <c r="R28" s="1203"/>
      <c r="S28" s="1203"/>
      <c r="T28" s="1203"/>
      <c r="V28" s="1203">
        <v>1</v>
      </c>
      <c r="W28" s="1203"/>
      <c r="X28" s="1203"/>
      <c r="Y28" s="1203">
        <f t="shared" si="16"/>
        <v>0</v>
      </c>
      <c r="Z28" s="1203">
        <f t="shared" si="17"/>
        <v>0</v>
      </c>
      <c r="AA28" s="1203">
        <f t="shared" si="17"/>
        <v>0</v>
      </c>
      <c r="AB28" s="1203">
        <f t="shared" si="18"/>
        <v>1</v>
      </c>
      <c r="AC28" s="1203">
        <f t="shared" si="18"/>
        <v>0</v>
      </c>
      <c r="AD28" s="1205"/>
      <c r="AE28" s="1206">
        <f t="shared" si="19"/>
        <v>0</v>
      </c>
      <c r="AF28" s="1206">
        <f t="shared" si="20"/>
        <v>0</v>
      </c>
      <c r="AG28" s="1206">
        <f t="shared" si="21"/>
        <v>0</v>
      </c>
      <c r="AH28" s="1206">
        <f t="shared" si="22"/>
        <v>420926.36568180443</v>
      </c>
      <c r="AI28" s="1206">
        <f t="shared" si="23"/>
        <v>0</v>
      </c>
      <c r="AN28" s="515"/>
      <c r="AO28" s="515"/>
      <c r="AP28" s="515"/>
      <c r="AQ28" s="1182"/>
      <c r="AT28" s="1182"/>
      <c r="AU28" s="515"/>
      <c r="AV28" s="515"/>
      <c r="AW28" s="515"/>
      <c r="BD28" s="1196">
        <v>45108</v>
      </c>
      <c r="BE28" s="1197">
        <v>2675.94</v>
      </c>
      <c r="BF28" s="1197"/>
      <c r="BG28" s="1198">
        <f>3260+41239.03</f>
        <v>44499.03</v>
      </c>
      <c r="BH28" s="1199">
        <v>8102.75</v>
      </c>
      <c r="BI28" s="1197">
        <v>27609.55</v>
      </c>
      <c r="BJ28" s="1197">
        <f t="shared" si="7"/>
        <v>16889.48</v>
      </c>
    </row>
    <row r="29" spans="1:62" ht="12.5">
      <c r="A29" s="1174">
        <v>319558</v>
      </c>
      <c r="B29" s="1174">
        <v>319559</v>
      </c>
      <c r="C29" s="1174">
        <v>319560</v>
      </c>
      <c r="J29" s="867" t="s">
        <v>952</v>
      </c>
      <c r="K29" s="1200">
        <v>2824603.45</v>
      </c>
      <c r="L29" s="1201">
        <v>-404483.20975199027</v>
      </c>
      <c r="M29" s="1202">
        <v>2420120.24024801</v>
      </c>
      <c r="N29" s="1176"/>
      <c r="O29" s="1203"/>
      <c r="P29" s="1203">
        <v>1</v>
      </c>
      <c r="Q29" s="1203"/>
      <c r="R29" s="1203"/>
      <c r="S29" s="1203"/>
      <c r="T29" s="1203"/>
      <c r="U29" s="1203">
        <v>1</v>
      </c>
      <c r="V29" s="1203"/>
      <c r="W29" s="1203"/>
      <c r="X29" s="1203"/>
      <c r="Y29" s="1203">
        <f t="shared" si="16"/>
        <v>0</v>
      </c>
      <c r="Z29" s="1203">
        <f t="shared" si="17"/>
        <v>0</v>
      </c>
      <c r="AA29" s="1203">
        <f t="shared" si="17"/>
        <v>1</v>
      </c>
      <c r="AB29" s="1203">
        <f t="shared" si="18"/>
        <v>0</v>
      </c>
      <c r="AC29" s="1203">
        <f t="shared" si="18"/>
        <v>0</v>
      </c>
      <c r="AD29" s="1205"/>
      <c r="AE29" s="1206">
        <f t="shared" si="19"/>
        <v>0</v>
      </c>
      <c r="AF29" s="1206">
        <f t="shared" si="20"/>
        <v>0</v>
      </c>
      <c r="AG29" s="1206">
        <f t="shared" si="21"/>
        <v>2420120.24024801</v>
      </c>
      <c r="AH29" s="1206">
        <f t="shared" si="22"/>
        <v>0</v>
      </c>
      <c r="AI29" s="1206">
        <f t="shared" si="23"/>
        <v>0</v>
      </c>
      <c r="AN29" s="477" t="s">
        <v>963</v>
      </c>
      <c r="BD29" s="1196">
        <v>45139</v>
      </c>
      <c r="BE29" s="1197">
        <v>908.51</v>
      </c>
      <c r="BF29" s="1197"/>
      <c r="BG29" s="1198">
        <f>1294.8+36650.06</f>
        <v>37944.86</v>
      </c>
      <c r="BH29" s="1199">
        <v>11152.25</v>
      </c>
      <c r="BI29" s="1197">
        <v>24519.62</v>
      </c>
      <c r="BJ29" s="1197">
        <f t="shared" si="7"/>
        <v>13425.240000000002</v>
      </c>
    </row>
    <row r="30" spans="1:62">
      <c r="I30" s="1190" t="s">
        <v>964</v>
      </c>
      <c r="K30" s="1210">
        <f>SUM(K20:K29)</f>
        <v>-16923938.959999993</v>
      </c>
      <c r="L30" s="1210">
        <f>SUM(L20:L29)</f>
        <v>2423508.0333798919</v>
      </c>
      <c r="M30" s="1210">
        <f>SUM(M20:M29)</f>
        <v>-14500430.926620103</v>
      </c>
      <c r="N30" s="1176"/>
      <c r="O30" s="1203"/>
      <c r="P30" s="1203"/>
      <c r="Q30" s="1203"/>
      <c r="R30" s="1203"/>
      <c r="S30" s="1203"/>
      <c r="T30" s="1203"/>
      <c r="U30" s="1203"/>
      <c r="V30" s="1203"/>
      <c r="W30" s="1203"/>
      <c r="X30" s="1203"/>
      <c r="Y30" s="1203"/>
      <c r="Z30" s="1203"/>
      <c r="AA30" s="1203"/>
      <c r="AB30" s="1203"/>
      <c r="AC30" s="1203"/>
      <c r="AD30" s="1205"/>
      <c r="AE30" s="1210">
        <f>SUM(AE20:AE29)</f>
        <v>1099650.5779746082</v>
      </c>
      <c r="AF30" s="1210">
        <f>SUM(AF20:AF29)</f>
        <v>-3396105.2451132378</v>
      </c>
      <c r="AG30" s="1210">
        <f>SUM(AG20:AG29)</f>
        <v>-4659843.5301299654</v>
      </c>
      <c r="AH30" s="1210">
        <f>SUM(AH20:AH29)</f>
        <v>-3300410.31088441</v>
      </c>
      <c r="AI30" s="1210">
        <f>SUM(AI20:AI29)</f>
        <v>-4243722.4184670998</v>
      </c>
      <c r="AN30" s="1168" t="s">
        <v>729</v>
      </c>
      <c r="AO30" s="1117">
        <v>0.70111999999999997</v>
      </c>
      <c r="BD30" s="1196">
        <v>45170</v>
      </c>
      <c r="BE30" s="1197">
        <v>-2256.61</v>
      </c>
      <c r="BF30" s="1197"/>
      <c r="BG30" s="1198">
        <f>22470-1908.46</f>
        <v>20561.54</v>
      </c>
      <c r="BH30" s="1199">
        <v>12255.75</v>
      </c>
      <c r="BI30" s="1197">
        <v>22470.62</v>
      </c>
      <c r="BJ30" s="1197">
        <f t="shared" si="7"/>
        <v>-1909.0799999999981</v>
      </c>
    </row>
    <row r="31" spans="1:62">
      <c r="K31" s="1210"/>
      <c r="L31" s="1216"/>
      <c r="M31" s="1206"/>
      <c r="N31" s="1176"/>
      <c r="O31" s="1203"/>
      <c r="P31" s="1203"/>
      <c r="Q31" s="1203"/>
      <c r="R31" s="1203"/>
      <c r="S31" s="1203"/>
      <c r="T31" s="1203"/>
      <c r="U31" s="1203"/>
      <c r="V31" s="1203"/>
      <c r="W31" s="1203"/>
      <c r="X31" s="1203"/>
      <c r="Y31" s="1203"/>
      <c r="Z31" s="1203"/>
      <c r="AA31" s="1203"/>
      <c r="AB31" s="1203"/>
      <c r="AC31" s="1203"/>
      <c r="AD31" s="1205"/>
      <c r="AE31" s="1206"/>
      <c r="AF31" s="1206"/>
      <c r="AG31" s="1206"/>
      <c r="AH31" s="1206"/>
      <c r="AI31" s="1206"/>
      <c r="AN31" s="1168" t="s">
        <v>786</v>
      </c>
      <c r="AO31" s="1117">
        <v>0.20707999999999999</v>
      </c>
    </row>
    <row r="32" spans="1:62" ht="14.5">
      <c r="A32" s="1174">
        <v>319746</v>
      </c>
      <c r="B32" s="1174">
        <v>319747</v>
      </c>
      <c r="C32" s="1174">
        <v>319748</v>
      </c>
      <c r="D32" s="1174">
        <v>11305</v>
      </c>
      <c r="E32" s="1174">
        <v>11553</v>
      </c>
      <c r="I32" s="877">
        <v>4</v>
      </c>
      <c r="J32" s="867" t="s">
        <v>731</v>
      </c>
      <c r="K32" s="1200">
        <v>241249114.62</v>
      </c>
      <c r="L32" s="1201">
        <v>-34546872.847345494</v>
      </c>
      <c r="M32" s="1202">
        <v>206702241.7726545</v>
      </c>
      <c r="N32" s="1176"/>
      <c r="O32" s="1204">
        <v>0.70112000000000008</v>
      </c>
      <c r="P32" s="1204">
        <v>0.20707999999999999</v>
      </c>
      <c r="Q32" s="1204">
        <v>9.1800000000000007E-2</v>
      </c>
      <c r="R32" s="1203"/>
      <c r="S32" s="1204">
        <v>0.66942999999999997</v>
      </c>
      <c r="T32" s="1204">
        <v>0.33056999999999997</v>
      </c>
      <c r="U32" s="1204">
        <v>0.71745999999999999</v>
      </c>
      <c r="V32" s="1204">
        <v>0.28254000000000001</v>
      </c>
      <c r="W32" s="1203">
        <v>1</v>
      </c>
      <c r="X32" s="1203"/>
      <c r="Y32" s="1203">
        <f t="shared" ref="Y32:Y43" si="24">O32*S32</f>
        <v>0.46935076160000005</v>
      </c>
      <c r="Z32" s="1203">
        <f t="shared" ref="Z32:AA43" si="25">O32*T32</f>
        <v>0.23176923839999999</v>
      </c>
      <c r="AA32" s="1203">
        <f t="shared" si="25"/>
        <v>0.1485716168</v>
      </c>
      <c r="AB32" s="1203">
        <f t="shared" ref="AB32:AC43" si="26">P32*V32</f>
        <v>5.85083832E-2</v>
      </c>
      <c r="AC32" s="1203">
        <f t="shared" si="26"/>
        <v>9.1800000000000007E-2</v>
      </c>
      <c r="AD32" s="1205"/>
      <c r="AE32" s="1206">
        <f t="shared" ref="AE32:AE43" si="27">M32*Y32</f>
        <v>97015854.60042274</v>
      </c>
      <c r="AF32" s="1206">
        <f t="shared" ref="AF32:AF43" si="28">M32*Z32</f>
        <v>47907221.151220798</v>
      </c>
      <c r="AG32" s="1206">
        <f t="shared" ref="AG32:AG43" si="29">M32*AA32</f>
        <v>30710086.256347779</v>
      </c>
      <c r="AH32" s="1206">
        <f t="shared" ref="AH32:AH43" si="30">M32*AB32</f>
        <v>12093813.969933517</v>
      </c>
      <c r="AI32" s="1206">
        <f t="shared" ref="AI32:AI43" si="31">M32*AC32</f>
        <v>18975265.794729684</v>
      </c>
      <c r="AN32" s="1168" t="s">
        <v>965</v>
      </c>
      <c r="AO32" s="1117">
        <v>9.1800000000000007E-2</v>
      </c>
      <c r="BD32" s="1217" t="s">
        <v>966</v>
      </c>
    </row>
    <row r="33" spans="1:56" ht="14.5">
      <c r="A33" s="1174">
        <v>319738</v>
      </c>
      <c r="B33" s="1174">
        <v>319739</v>
      </c>
      <c r="C33" s="1174">
        <v>319740</v>
      </c>
      <c r="D33" s="1174">
        <v>11509</v>
      </c>
      <c r="E33" s="1174">
        <v>11553</v>
      </c>
      <c r="J33" s="867" t="s">
        <v>967</v>
      </c>
      <c r="K33" s="1200">
        <v>-77192.95</v>
      </c>
      <c r="L33" s="1201">
        <v>11054.030322813949</v>
      </c>
      <c r="M33" s="1202">
        <v>-66138.919677186044</v>
      </c>
      <c r="N33" s="1176"/>
      <c r="O33" s="1204">
        <v>0.77142999999999995</v>
      </c>
      <c r="P33" s="1204">
        <v>0.22857</v>
      </c>
      <c r="Q33" s="1203"/>
      <c r="R33" s="1203"/>
      <c r="S33" s="1204">
        <v>0.66942999999999997</v>
      </c>
      <c r="T33" s="1204">
        <v>0.33056999999999997</v>
      </c>
      <c r="U33" s="1204">
        <v>0.71745999999999999</v>
      </c>
      <c r="V33" s="1204">
        <v>0.28254000000000001</v>
      </c>
      <c r="W33" s="1203"/>
      <c r="X33" s="1203"/>
      <c r="Y33" s="1203">
        <f t="shared" si="24"/>
        <v>0.51641838489999992</v>
      </c>
      <c r="Z33" s="1203">
        <f t="shared" si="25"/>
        <v>0.25501161509999998</v>
      </c>
      <c r="AA33" s="1203">
        <f t="shared" si="25"/>
        <v>0.16398983219999999</v>
      </c>
      <c r="AB33" s="1203">
        <f t="shared" si="26"/>
        <v>6.4580167800000005E-2</v>
      </c>
      <c r="AC33" s="1203">
        <f t="shared" si="26"/>
        <v>0</v>
      </c>
      <c r="AD33" s="1205"/>
      <c r="AE33" s="1206">
        <f t="shared" si="27"/>
        <v>-34155.354078723241</v>
      </c>
      <c r="AF33" s="1206">
        <f t="shared" si="28"/>
        <v>-16866.192727848382</v>
      </c>
      <c r="AG33" s="1206">
        <f t="shared" si="29"/>
        <v>-10846.110339751018</v>
      </c>
      <c r="AH33" s="1206">
        <f t="shared" si="30"/>
        <v>-4271.2625308633969</v>
      </c>
      <c r="AI33" s="1206">
        <f t="shared" si="31"/>
        <v>0</v>
      </c>
      <c r="AN33" s="1168" t="s">
        <v>968</v>
      </c>
      <c r="AO33" s="1117">
        <v>0.6694</v>
      </c>
      <c r="BD33" s="1217" t="s">
        <v>969</v>
      </c>
    </row>
    <row r="34" spans="1:56" ht="12.5">
      <c r="A34" s="1174">
        <v>319730</v>
      </c>
      <c r="B34" s="1174">
        <v>319731</v>
      </c>
      <c r="C34" s="1174">
        <v>319732</v>
      </c>
      <c r="D34" s="1174">
        <v>11509</v>
      </c>
      <c r="J34" s="867" t="s">
        <v>957</v>
      </c>
      <c r="K34" s="1200">
        <v>1358.72</v>
      </c>
      <c r="L34" s="1201">
        <v>-194.56870193733715</v>
      </c>
      <c r="M34" s="1202">
        <v>1164.1512980626628</v>
      </c>
      <c r="N34" s="1176"/>
      <c r="O34" s="1204">
        <v>0.77142999999999995</v>
      </c>
      <c r="P34" s="1204">
        <v>0.22857</v>
      </c>
      <c r="Q34" s="1203"/>
      <c r="R34" s="1203"/>
      <c r="S34" s="1203"/>
      <c r="T34" s="1203">
        <v>1</v>
      </c>
      <c r="U34" s="1203"/>
      <c r="V34" s="1203">
        <v>1</v>
      </c>
      <c r="W34" s="1203"/>
      <c r="X34" s="1203"/>
      <c r="Y34" s="1203">
        <f t="shared" si="24"/>
        <v>0</v>
      </c>
      <c r="Z34" s="1203">
        <f t="shared" si="25"/>
        <v>0.77142999999999995</v>
      </c>
      <c r="AA34" s="1203">
        <f t="shared" si="25"/>
        <v>0</v>
      </c>
      <c r="AB34" s="1203">
        <f t="shared" si="26"/>
        <v>0.22857</v>
      </c>
      <c r="AC34" s="1203">
        <f t="shared" si="26"/>
        <v>0</v>
      </c>
      <c r="AD34" s="1205"/>
      <c r="AE34" s="1206">
        <f t="shared" si="27"/>
        <v>0</v>
      </c>
      <c r="AF34" s="1206">
        <f t="shared" si="28"/>
        <v>898.06123586447995</v>
      </c>
      <c r="AG34" s="1206">
        <f t="shared" si="29"/>
        <v>0</v>
      </c>
      <c r="AH34" s="1206">
        <f t="shared" si="30"/>
        <v>266.09006219818281</v>
      </c>
      <c r="AI34" s="1206">
        <f t="shared" si="31"/>
        <v>0</v>
      </c>
      <c r="AN34" s="1168" t="s">
        <v>970</v>
      </c>
      <c r="AO34" s="1117">
        <v>0.3306</v>
      </c>
    </row>
    <row r="35" spans="1:56" ht="12.5">
      <c r="A35" s="1174">
        <v>319722</v>
      </c>
      <c r="B35" s="1174">
        <v>319723</v>
      </c>
      <c r="C35" s="1174">
        <v>319724</v>
      </c>
      <c r="D35" s="1174">
        <v>11509</v>
      </c>
      <c r="J35" s="867" t="s">
        <v>958</v>
      </c>
      <c r="K35" s="1200">
        <v>-125311.9</v>
      </c>
      <c r="L35" s="1201">
        <v>17944.663889764925</v>
      </c>
      <c r="M35" s="1202">
        <v>-107367.23611023507</v>
      </c>
      <c r="N35" s="1176"/>
      <c r="O35" s="1204">
        <v>0.77142999999999995</v>
      </c>
      <c r="P35" s="1204">
        <v>0.22857</v>
      </c>
      <c r="Q35" s="1203"/>
      <c r="R35" s="1203"/>
      <c r="S35" s="1203">
        <v>1</v>
      </c>
      <c r="T35" s="1203"/>
      <c r="U35" s="1203">
        <v>1</v>
      </c>
      <c r="V35" s="1203"/>
      <c r="W35" s="1203"/>
      <c r="X35" s="1203"/>
      <c r="Y35" s="1203">
        <f t="shared" si="24"/>
        <v>0.77142999999999995</v>
      </c>
      <c r="Z35" s="1203">
        <f t="shared" si="25"/>
        <v>0</v>
      </c>
      <c r="AA35" s="1203">
        <f t="shared" si="25"/>
        <v>0.22857</v>
      </c>
      <c r="AB35" s="1203">
        <f t="shared" si="26"/>
        <v>0</v>
      </c>
      <c r="AC35" s="1203">
        <f t="shared" si="26"/>
        <v>0</v>
      </c>
      <c r="AD35" s="1205"/>
      <c r="AE35" s="1206">
        <f t="shared" si="27"/>
        <v>-82826.306952518629</v>
      </c>
      <c r="AF35" s="1206">
        <f t="shared" si="28"/>
        <v>0</v>
      </c>
      <c r="AG35" s="1206">
        <f t="shared" si="29"/>
        <v>-24540.929157716429</v>
      </c>
      <c r="AH35" s="1206">
        <f t="shared" si="30"/>
        <v>0</v>
      </c>
      <c r="AI35" s="1206">
        <f t="shared" si="31"/>
        <v>0</v>
      </c>
      <c r="AN35" s="1168" t="s">
        <v>971</v>
      </c>
      <c r="AO35" s="1117">
        <v>0.71750000000000003</v>
      </c>
    </row>
    <row r="36" spans="1:56" ht="12.5">
      <c r="A36" s="1174">
        <v>319714</v>
      </c>
      <c r="B36" s="1174">
        <v>319715</v>
      </c>
      <c r="C36" s="1174">
        <v>319716</v>
      </c>
      <c r="E36" s="1174">
        <v>11553</v>
      </c>
      <c r="J36" s="867" t="s">
        <v>946</v>
      </c>
      <c r="K36" s="1200">
        <v>-13119616.48</v>
      </c>
      <c r="L36" s="1201">
        <v>1878729.0600192067</v>
      </c>
      <c r="M36" s="1202">
        <v>-11240887.419980794</v>
      </c>
      <c r="N36" s="1176"/>
      <c r="O36" s="1203">
        <v>1</v>
      </c>
      <c r="P36" s="1203"/>
      <c r="Q36" s="1203"/>
      <c r="R36" s="1203"/>
      <c r="S36" s="1204">
        <v>0.66942999999999997</v>
      </c>
      <c r="T36" s="1204">
        <v>0.33056999999999997</v>
      </c>
      <c r="U36" s="1203"/>
      <c r="V36" s="1203"/>
      <c r="W36" s="1203"/>
      <c r="X36" s="1203"/>
      <c r="Y36" s="1203">
        <f t="shared" si="24"/>
        <v>0.66942999999999997</v>
      </c>
      <c r="Z36" s="1203">
        <f t="shared" si="25"/>
        <v>0.33056999999999997</v>
      </c>
      <c r="AA36" s="1203">
        <f t="shared" si="25"/>
        <v>0</v>
      </c>
      <c r="AB36" s="1203">
        <f t="shared" si="26"/>
        <v>0</v>
      </c>
      <c r="AC36" s="1203">
        <f t="shared" si="26"/>
        <v>0</v>
      </c>
      <c r="AD36" s="1205"/>
      <c r="AE36" s="1206">
        <f t="shared" si="27"/>
        <v>-7524987.2655577427</v>
      </c>
      <c r="AF36" s="1206">
        <f t="shared" si="28"/>
        <v>-3715900.154423051</v>
      </c>
      <c r="AG36" s="1206">
        <f t="shared" si="29"/>
        <v>0</v>
      </c>
      <c r="AH36" s="1206">
        <f t="shared" si="30"/>
        <v>0</v>
      </c>
      <c r="AI36" s="1206">
        <f t="shared" si="31"/>
        <v>0</v>
      </c>
      <c r="AN36" s="1168" t="s">
        <v>972</v>
      </c>
      <c r="AO36" s="1117">
        <v>0.28249999999999997</v>
      </c>
    </row>
    <row r="37" spans="1:56" ht="12.5">
      <c r="A37" s="1174">
        <v>319706</v>
      </c>
      <c r="B37" s="1174">
        <v>319707</v>
      </c>
      <c r="C37" s="1174">
        <v>319708</v>
      </c>
      <c r="J37" s="867" t="s">
        <v>947</v>
      </c>
      <c r="K37" s="1200">
        <v>2732194.01</v>
      </c>
      <c r="L37" s="1201">
        <v>-391250.17808427627</v>
      </c>
      <c r="M37" s="1202">
        <v>2340943.8319157236</v>
      </c>
      <c r="N37" s="1176"/>
      <c r="O37" s="1203">
        <v>1</v>
      </c>
      <c r="P37" s="1203"/>
      <c r="Q37" s="1203"/>
      <c r="R37" s="1203"/>
      <c r="S37" s="1203"/>
      <c r="T37" s="1203">
        <v>1</v>
      </c>
      <c r="U37" s="1203"/>
      <c r="V37" s="1203"/>
      <c r="W37" s="1203"/>
      <c r="X37" s="1203"/>
      <c r="Y37" s="1203">
        <f t="shared" si="24"/>
        <v>0</v>
      </c>
      <c r="Z37" s="1203">
        <f t="shared" si="25"/>
        <v>1</v>
      </c>
      <c r="AA37" s="1203">
        <f t="shared" si="25"/>
        <v>0</v>
      </c>
      <c r="AB37" s="1203">
        <f t="shared" si="26"/>
        <v>0</v>
      </c>
      <c r="AC37" s="1203">
        <f t="shared" si="26"/>
        <v>0</v>
      </c>
      <c r="AD37" s="1205"/>
      <c r="AE37" s="1206">
        <f t="shared" si="27"/>
        <v>0</v>
      </c>
      <c r="AF37" s="1206">
        <f t="shared" si="28"/>
        <v>2340943.8319157236</v>
      </c>
      <c r="AG37" s="1206">
        <f t="shared" si="29"/>
        <v>0</v>
      </c>
      <c r="AH37" s="1206">
        <f t="shared" si="30"/>
        <v>0</v>
      </c>
      <c r="AI37" s="1206">
        <f t="shared" si="31"/>
        <v>0</v>
      </c>
      <c r="AN37" s="1168" t="s">
        <v>973</v>
      </c>
      <c r="AO37" s="1117">
        <v>1</v>
      </c>
    </row>
    <row r="38" spans="1:56" ht="12.5">
      <c r="A38" s="1174">
        <v>319698</v>
      </c>
      <c r="B38" s="1174">
        <v>319699</v>
      </c>
      <c r="C38" s="1174">
        <v>319700</v>
      </c>
      <c r="E38" s="1174">
        <v>11553</v>
      </c>
      <c r="J38" s="867" t="s">
        <v>974</v>
      </c>
      <c r="K38" s="1200">
        <v>4049.54</v>
      </c>
      <c r="L38" s="1201">
        <v>-579.89412185242304</v>
      </c>
      <c r="M38" s="1202">
        <v>3469.6458781475767</v>
      </c>
      <c r="N38" s="1176"/>
      <c r="O38" s="1203">
        <v>1</v>
      </c>
      <c r="P38" s="1203"/>
      <c r="Q38" s="1203"/>
      <c r="R38" s="1203"/>
      <c r="S38" s="1204">
        <v>0.66942999999999997</v>
      </c>
      <c r="T38" s="1204">
        <v>0.33056999999999997</v>
      </c>
      <c r="U38" s="1203"/>
      <c r="V38" s="1203"/>
      <c r="W38" s="1203"/>
      <c r="X38" s="1203"/>
      <c r="Y38" s="1203">
        <f t="shared" si="24"/>
        <v>0.66942999999999997</v>
      </c>
      <c r="Z38" s="1203">
        <f t="shared" si="25"/>
        <v>0.33056999999999997</v>
      </c>
      <c r="AA38" s="1203">
        <f t="shared" si="25"/>
        <v>0</v>
      </c>
      <c r="AB38" s="1203">
        <f t="shared" si="26"/>
        <v>0</v>
      </c>
      <c r="AC38" s="1203">
        <f t="shared" si="26"/>
        <v>0</v>
      </c>
      <c r="AD38" s="1205"/>
      <c r="AE38" s="1206">
        <f t="shared" si="27"/>
        <v>2322.6850402083323</v>
      </c>
      <c r="AF38" s="1206">
        <f t="shared" si="28"/>
        <v>1146.9608379392444</v>
      </c>
      <c r="AG38" s="1206">
        <f t="shared" si="29"/>
        <v>0</v>
      </c>
      <c r="AH38" s="1206">
        <f t="shared" si="30"/>
        <v>0</v>
      </c>
      <c r="AI38" s="1206">
        <f t="shared" si="31"/>
        <v>0</v>
      </c>
    </row>
    <row r="39" spans="1:56" ht="12.5">
      <c r="A39" s="1174">
        <v>319690</v>
      </c>
      <c r="B39" s="1174">
        <v>319691</v>
      </c>
      <c r="C39" s="1174">
        <v>319692</v>
      </c>
      <c r="J39" s="867" t="s">
        <v>948</v>
      </c>
      <c r="K39" s="1200">
        <v>8568824.3499999996</v>
      </c>
      <c r="L39" s="1201">
        <v>-1227055.6339117307</v>
      </c>
      <c r="M39" s="1202">
        <v>7341768.7160882689</v>
      </c>
      <c r="N39" s="1176"/>
      <c r="O39" s="1203">
        <v>1</v>
      </c>
      <c r="P39" s="1203"/>
      <c r="Q39" s="1203"/>
      <c r="R39" s="1203"/>
      <c r="S39" s="1203">
        <v>1</v>
      </c>
      <c r="T39" s="1203"/>
      <c r="U39" s="1203"/>
      <c r="V39" s="1203"/>
      <c r="W39" s="1203"/>
      <c r="X39" s="1203"/>
      <c r="Y39" s="1203">
        <f t="shared" si="24"/>
        <v>1</v>
      </c>
      <c r="Z39" s="1203">
        <f t="shared" si="25"/>
        <v>0</v>
      </c>
      <c r="AA39" s="1203">
        <f t="shared" si="25"/>
        <v>0</v>
      </c>
      <c r="AB39" s="1203">
        <f t="shared" si="26"/>
        <v>0</v>
      </c>
      <c r="AC39" s="1203">
        <f t="shared" si="26"/>
        <v>0</v>
      </c>
      <c r="AD39" s="1205"/>
      <c r="AE39" s="1206">
        <f t="shared" si="27"/>
        <v>7341768.7160882689</v>
      </c>
      <c r="AF39" s="1206">
        <f t="shared" si="28"/>
        <v>0</v>
      </c>
      <c r="AG39" s="1206">
        <f t="shared" si="29"/>
        <v>0</v>
      </c>
      <c r="AH39" s="1206">
        <f t="shared" si="30"/>
        <v>0</v>
      </c>
      <c r="AI39" s="1206">
        <f t="shared" si="31"/>
        <v>0</v>
      </c>
    </row>
    <row r="40" spans="1:56" ht="12.5">
      <c r="A40" s="1174">
        <v>319682</v>
      </c>
      <c r="B40" s="1174">
        <v>319683</v>
      </c>
      <c r="C40" s="1174">
        <v>319684</v>
      </c>
      <c r="D40" s="1174">
        <v>11486</v>
      </c>
      <c r="E40" s="1174">
        <v>11553</v>
      </c>
      <c r="J40" s="867" t="s">
        <v>961</v>
      </c>
      <c r="K40" s="1200">
        <v>-4000277.44</v>
      </c>
      <c r="L40" s="1201">
        <v>572839.72333520825</v>
      </c>
      <c r="M40" s="1202">
        <v>-3427437.7166647916</v>
      </c>
      <c r="N40" s="1176"/>
      <c r="O40" s="1203"/>
      <c r="P40" s="1204">
        <v>0.69035000000000002</v>
      </c>
      <c r="Q40" s="1204">
        <v>0.30964999999999998</v>
      </c>
      <c r="R40" s="1203"/>
      <c r="S40" s="1203"/>
      <c r="T40" s="1203"/>
      <c r="U40" s="1204">
        <v>0.71745999999999999</v>
      </c>
      <c r="V40" s="1204">
        <v>0.28254000000000001</v>
      </c>
      <c r="W40" s="1203">
        <v>1</v>
      </c>
      <c r="X40" s="1203"/>
      <c r="Y40" s="1203">
        <f t="shared" si="24"/>
        <v>0</v>
      </c>
      <c r="Z40" s="1203">
        <f t="shared" si="25"/>
        <v>0</v>
      </c>
      <c r="AA40" s="1203">
        <f t="shared" si="25"/>
        <v>0.495298511</v>
      </c>
      <c r="AB40" s="1203">
        <f t="shared" si="26"/>
        <v>0.19505148900000002</v>
      </c>
      <c r="AC40" s="1203">
        <f t="shared" si="26"/>
        <v>0.30964999999999998</v>
      </c>
      <c r="AD40" s="1205"/>
      <c r="AE40" s="1206">
        <f t="shared" si="27"/>
        <v>0</v>
      </c>
      <c r="AF40" s="1206">
        <f t="shared" si="28"/>
        <v>0</v>
      </c>
      <c r="AG40" s="1206">
        <f t="shared" si="29"/>
        <v>-1697604.7976093111</v>
      </c>
      <c r="AH40" s="1206">
        <f t="shared" si="30"/>
        <v>-668526.83009022777</v>
      </c>
      <c r="AI40" s="1206">
        <f t="shared" si="31"/>
        <v>-1061306.0889652527</v>
      </c>
    </row>
    <row r="41" spans="1:56" ht="12.5">
      <c r="A41" s="1174">
        <v>319674</v>
      </c>
      <c r="B41" s="1174">
        <v>319675</v>
      </c>
      <c r="C41" s="1174">
        <v>319676</v>
      </c>
      <c r="E41" s="1174">
        <v>11553</v>
      </c>
      <c r="J41" s="867" t="s">
        <v>949</v>
      </c>
      <c r="K41" s="1200">
        <v>-4018149.27</v>
      </c>
      <c r="L41" s="1201">
        <v>575398.96936407709</v>
      </c>
      <c r="M41" s="1202">
        <v>-3442750.3006359227</v>
      </c>
      <c r="N41" s="1176"/>
      <c r="O41" s="1203"/>
      <c r="P41" s="1203">
        <v>1</v>
      </c>
      <c r="Q41" s="1203"/>
      <c r="R41" s="1203"/>
      <c r="S41" s="1203"/>
      <c r="T41" s="1203"/>
      <c r="U41" s="1204">
        <v>0.71745999999999999</v>
      </c>
      <c r="V41" s="1204">
        <v>0.28254000000000001</v>
      </c>
      <c r="W41" s="1203"/>
      <c r="X41" s="1203"/>
      <c r="Y41" s="1203">
        <f t="shared" si="24"/>
        <v>0</v>
      </c>
      <c r="Z41" s="1203">
        <f t="shared" si="25"/>
        <v>0</v>
      </c>
      <c r="AA41" s="1203">
        <f t="shared" si="25"/>
        <v>0.71745999999999999</v>
      </c>
      <c r="AB41" s="1203">
        <f t="shared" si="26"/>
        <v>0.28254000000000001</v>
      </c>
      <c r="AC41" s="1203">
        <f t="shared" si="26"/>
        <v>0</v>
      </c>
      <c r="AD41" s="1205"/>
      <c r="AE41" s="1206">
        <f t="shared" si="27"/>
        <v>0</v>
      </c>
      <c r="AF41" s="1206">
        <f t="shared" si="28"/>
        <v>0</v>
      </c>
      <c r="AG41" s="1206">
        <f t="shared" si="29"/>
        <v>-2470035.6306942492</v>
      </c>
      <c r="AH41" s="1206">
        <f t="shared" si="30"/>
        <v>-972714.66994167364</v>
      </c>
      <c r="AI41" s="1206">
        <f t="shared" si="31"/>
        <v>0</v>
      </c>
    </row>
    <row r="42" spans="1:56" ht="12.5">
      <c r="A42" s="1174">
        <v>319774</v>
      </c>
      <c r="B42" s="1174">
        <v>319775</v>
      </c>
      <c r="C42" s="1174">
        <v>319776</v>
      </c>
      <c r="J42" s="867" t="s">
        <v>950</v>
      </c>
      <c r="K42" s="1200">
        <v>1485615.09</v>
      </c>
      <c r="L42" s="1201">
        <v>-212740.07863269866</v>
      </c>
      <c r="M42" s="1202">
        <v>1272875.0113673015</v>
      </c>
      <c r="N42" s="1176"/>
      <c r="O42" s="1203"/>
      <c r="P42" s="1203">
        <v>1</v>
      </c>
      <c r="Q42" s="1203"/>
      <c r="R42" s="1203"/>
      <c r="S42" s="1203"/>
      <c r="T42" s="1203"/>
      <c r="U42" s="1203"/>
      <c r="V42" s="1203">
        <v>1</v>
      </c>
      <c r="W42" s="1203"/>
      <c r="X42" s="1203"/>
      <c r="Y42" s="1203">
        <f t="shared" si="24"/>
        <v>0</v>
      </c>
      <c r="Z42" s="1203">
        <f t="shared" si="25"/>
        <v>0</v>
      </c>
      <c r="AA42" s="1203">
        <f t="shared" si="25"/>
        <v>0</v>
      </c>
      <c r="AB42" s="1203">
        <f t="shared" si="26"/>
        <v>1</v>
      </c>
      <c r="AC42" s="1203">
        <f t="shared" si="26"/>
        <v>0</v>
      </c>
      <c r="AD42" s="1205"/>
      <c r="AE42" s="1206">
        <f t="shared" si="27"/>
        <v>0</v>
      </c>
      <c r="AF42" s="1206">
        <f t="shared" si="28"/>
        <v>0</v>
      </c>
      <c r="AG42" s="1206">
        <f t="shared" si="29"/>
        <v>0</v>
      </c>
      <c r="AH42" s="1206">
        <f t="shared" si="30"/>
        <v>1272875.0113673015</v>
      </c>
      <c r="AI42" s="1206">
        <f t="shared" si="31"/>
        <v>0</v>
      </c>
    </row>
    <row r="43" spans="1:56" ht="12.5">
      <c r="A43" s="1174">
        <v>319766</v>
      </c>
      <c r="B43" s="1174">
        <v>319767</v>
      </c>
      <c r="C43" s="1174">
        <v>319768</v>
      </c>
      <c r="J43" s="867" t="s">
        <v>952</v>
      </c>
      <c r="K43" s="1200">
        <v>-4008258.92</v>
      </c>
      <c r="L43" s="1201">
        <v>573982.67125909158</v>
      </c>
      <c r="M43" s="1202">
        <v>-3434276.2487409082</v>
      </c>
      <c r="N43" s="1176"/>
      <c r="O43" s="1203"/>
      <c r="P43" s="1203">
        <v>1</v>
      </c>
      <c r="Q43" s="1203"/>
      <c r="R43" s="1203"/>
      <c r="S43" s="1203"/>
      <c r="T43" s="1203"/>
      <c r="U43" s="1203">
        <v>1</v>
      </c>
      <c r="V43" s="1203"/>
      <c r="W43" s="1203"/>
      <c r="X43" s="1203"/>
      <c r="Y43" s="1203">
        <f t="shared" si="24"/>
        <v>0</v>
      </c>
      <c r="Z43" s="1203">
        <f t="shared" si="25"/>
        <v>0</v>
      </c>
      <c r="AA43" s="1203">
        <f t="shared" si="25"/>
        <v>1</v>
      </c>
      <c r="AB43" s="1203">
        <f t="shared" si="26"/>
        <v>0</v>
      </c>
      <c r="AC43" s="1203">
        <f t="shared" si="26"/>
        <v>0</v>
      </c>
      <c r="AD43" s="1205"/>
      <c r="AE43" s="1206">
        <f t="shared" si="27"/>
        <v>0</v>
      </c>
      <c r="AF43" s="1206">
        <f t="shared" si="28"/>
        <v>0</v>
      </c>
      <c r="AG43" s="1206">
        <f t="shared" si="29"/>
        <v>-3434276.2487409082</v>
      </c>
      <c r="AH43" s="1206">
        <f t="shared" si="30"/>
        <v>0</v>
      </c>
      <c r="AI43" s="1206">
        <f t="shared" si="31"/>
        <v>0</v>
      </c>
    </row>
    <row r="44" spans="1:56">
      <c r="I44" s="1190" t="s">
        <v>975</v>
      </c>
      <c r="K44" s="1210">
        <f>SUM(K32:K43)</f>
        <v>228692349.37</v>
      </c>
      <c r="L44" s="1210">
        <f>SUM(L32:L43)</f>
        <v>-32748744.082607828</v>
      </c>
      <c r="M44" s="1210">
        <f>SUM(M32:M43)</f>
        <v>195943605.28739214</v>
      </c>
      <c r="N44" s="1176"/>
      <c r="O44" s="1203"/>
      <c r="P44" s="1203"/>
      <c r="Q44" s="1203"/>
      <c r="R44" s="1203"/>
      <c r="S44" s="1203"/>
      <c r="T44" s="1203"/>
      <c r="U44" s="1203"/>
      <c r="V44" s="1203"/>
      <c r="W44" s="1203"/>
      <c r="X44" s="1203"/>
      <c r="Y44" s="1203"/>
      <c r="Z44" s="1203"/>
      <c r="AA44" s="1203"/>
      <c r="AB44" s="1203"/>
      <c r="AC44" s="1203"/>
      <c r="AD44" s="1205"/>
      <c r="AE44" s="1210">
        <f>SUM(AE32:AE43)</f>
        <v>96717977.074962229</v>
      </c>
      <c r="AF44" s="1210">
        <f>SUM(AF32:AF43)</f>
        <v>46517443.658059426</v>
      </c>
      <c r="AG44" s="1210">
        <f>SUM(AG32:AG43)</f>
        <v>23072782.539805848</v>
      </c>
      <c r="AH44" s="1210">
        <f>SUM(AH32:AH43)</f>
        <v>11721442.30880025</v>
      </c>
      <c r="AI44" s="1210">
        <f>SUM(AI32:AI43)</f>
        <v>17913959.705764432</v>
      </c>
    </row>
    <row r="45" spans="1:56">
      <c r="K45" s="1210"/>
      <c r="L45" s="1216"/>
      <c r="M45" s="1206"/>
      <c r="N45" s="1176"/>
      <c r="O45" s="1218" t="s">
        <v>946</v>
      </c>
      <c r="P45" s="1218" t="s">
        <v>947</v>
      </c>
      <c r="Q45" s="1218" t="s">
        <v>948</v>
      </c>
      <c r="R45" s="1203"/>
      <c r="S45" s="1203"/>
      <c r="T45" s="1203"/>
      <c r="U45" s="1203"/>
      <c r="V45" s="1203"/>
      <c r="W45" s="1203"/>
      <c r="X45" s="1203"/>
      <c r="Y45" s="1203"/>
      <c r="Z45" s="1203"/>
      <c r="AA45" s="1203"/>
      <c r="AB45" s="1203"/>
      <c r="AC45" s="1203"/>
      <c r="AD45" s="1205"/>
      <c r="AE45" s="1206"/>
      <c r="AF45" s="1206"/>
      <c r="AG45" s="1206"/>
      <c r="AH45" s="1206"/>
      <c r="AI45" s="1206"/>
    </row>
    <row r="46" spans="1:56" ht="12.5">
      <c r="A46" s="1174">
        <v>319838</v>
      </c>
      <c r="B46" s="1174">
        <v>319839</v>
      </c>
      <c r="C46" s="1174">
        <v>319840</v>
      </c>
      <c r="E46" s="1174">
        <v>321070</v>
      </c>
      <c r="F46" s="1174">
        <v>321273</v>
      </c>
      <c r="G46" s="1174">
        <v>321266</v>
      </c>
      <c r="H46" s="1174">
        <v>321266</v>
      </c>
      <c r="I46" s="877">
        <v>20</v>
      </c>
      <c r="J46" s="867" t="s">
        <v>947</v>
      </c>
      <c r="K46" s="1200">
        <v>-4406890.4000000004</v>
      </c>
      <c r="L46" s="1201">
        <v>631066.69858993217</v>
      </c>
      <c r="M46" s="1202">
        <v>-3775823.7014100682</v>
      </c>
      <c r="N46" s="1176"/>
      <c r="O46" s="1204">
        <v>0</v>
      </c>
      <c r="P46" s="1204">
        <v>1</v>
      </c>
      <c r="Q46" s="1203"/>
      <c r="R46" s="1203"/>
      <c r="S46" s="1204">
        <v>0.64400000000000002</v>
      </c>
      <c r="T46" s="1204">
        <v>0.35599999999999998</v>
      </c>
      <c r="U46" s="1203"/>
      <c r="V46" s="1203"/>
      <c r="W46" s="1203"/>
      <c r="X46" s="1203"/>
      <c r="Y46" s="1203">
        <f>O46*S46</f>
        <v>0</v>
      </c>
      <c r="Z46" s="1203">
        <f>(O46*T46)+P46</f>
        <v>1</v>
      </c>
      <c r="AA46" s="1203">
        <f t="shared" ref="AA46:AA52" si="32">P46*U46</f>
        <v>0</v>
      </c>
      <c r="AB46" s="1203">
        <f t="shared" ref="AB46:AC52" si="33">P46*V46</f>
        <v>0</v>
      </c>
      <c r="AC46" s="1203">
        <f t="shared" si="33"/>
        <v>0</v>
      </c>
      <c r="AD46" s="1205"/>
      <c r="AE46" s="1206">
        <f t="shared" ref="AE46:AE52" si="34">M46*Y46</f>
        <v>0</v>
      </c>
      <c r="AF46" s="1206">
        <f t="shared" ref="AF46:AF52" si="35">M46*Z46</f>
        <v>-3775823.7014100682</v>
      </c>
      <c r="AG46" s="1206">
        <f t="shared" ref="AG46:AG52" si="36">M46*AA46</f>
        <v>0</v>
      </c>
      <c r="AH46" s="1206">
        <f t="shared" ref="AH46:AH52" si="37">M46*AB46</f>
        <v>0</v>
      </c>
      <c r="AI46" s="1206">
        <f t="shared" ref="AI46:AI52" si="38">M46*AC46</f>
        <v>0</v>
      </c>
    </row>
    <row r="47" spans="1:56" ht="12.5">
      <c r="A47" s="1174">
        <v>319830</v>
      </c>
      <c r="B47" s="1174">
        <v>319831</v>
      </c>
      <c r="C47" s="1174">
        <v>319832</v>
      </c>
      <c r="G47" s="1174">
        <v>321266</v>
      </c>
      <c r="H47" s="1174">
        <v>321266</v>
      </c>
      <c r="J47" s="867" t="s">
        <v>974</v>
      </c>
      <c r="K47" s="1200">
        <v>-6235602.5999999996</v>
      </c>
      <c r="L47" s="1201">
        <v>892938.2828537774</v>
      </c>
      <c r="M47" s="1202">
        <v>-5342664.3171462221</v>
      </c>
      <c r="N47" s="1176"/>
      <c r="O47" s="1203">
        <v>1</v>
      </c>
      <c r="P47" s="1203"/>
      <c r="Q47" s="1203"/>
      <c r="R47" s="1203"/>
      <c r="S47" s="1204">
        <v>0.64400000000000002</v>
      </c>
      <c r="T47" s="1204">
        <v>0.35599999999999998</v>
      </c>
      <c r="U47" s="1203"/>
      <c r="V47" s="1203"/>
      <c r="W47" s="1203"/>
      <c r="X47" s="1203"/>
      <c r="Y47" s="1203">
        <f>O47*S47</f>
        <v>0.64400000000000002</v>
      </c>
      <c r="Z47" s="1203">
        <f t="shared" ref="Z47:Z52" si="39">O47*T47</f>
        <v>0.35599999999999998</v>
      </c>
      <c r="AA47" s="1203">
        <f t="shared" si="32"/>
        <v>0</v>
      </c>
      <c r="AB47" s="1203">
        <f t="shared" si="33"/>
        <v>0</v>
      </c>
      <c r="AC47" s="1203">
        <f t="shared" si="33"/>
        <v>0</v>
      </c>
      <c r="AD47" s="1205"/>
      <c r="AE47" s="1206">
        <f t="shared" si="34"/>
        <v>-3440675.820242167</v>
      </c>
      <c r="AF47" s="1206">
        <f t="shared" si="35"/>
        <v>-1901988.4969040549</v>
      </c>
      <c r="AG47" s="1206">
        <f t="shared" si="36"/>
        <v>0</v>
      </c>
      <c r="AH47" s="1206">
        <f t="shared" si="37"/>
        <v>0</v>
      </c>
      <c r="AI47" s="1206">
        <f t="shared" si="38"/>
        <v>0</v>
      </c>
    </row>
    <row r="48" spans="1:56" ht="12.5">
      <c r="A48" s="1174">
        <v>319822</v>
      </c>
      <c r="B48" s="1174">
        <v>319823</v>
      </c>
      <c r="C48" s="1174">
        <v>319824</v>
      </c>
      <c r="G48" s="1174">
        <v>321266</v>
      </c>
      <c r="H48" s="1174">
        <v>321266</v>
      </c>
      <c r="J48" s="867" t="s">
        <v>976</v>
      </c>
      <c r="K48" s="1200">
        <v>377166.63</v>
      </c>
      <c r="L48" s="1201">
        <v>-54010.260843426106</v>
      </c>
      <c r="M48" s="1202">
        <v>323156.3691565739</v>
      </c>
      <c r="N48" s="1176"/>
      <c r="O48" s="1203">
        <v>1</v>
      </c>
      <c r="P48" s="1203"/>
      <c r="Q48" s="1203"/>
      <c r="R48" s="1203"/>
      <c r="S48" s="1204">
        <v>0.64400000000000002</v>
      </c>
      <c r="T48" s="1204">
        <v>0.35599999999999998</v>
      </c>
      <c r="U48" s="1203"/>
      <c r="V48" s="1203"/>
      <c r="W48" s="1203"/>
      <c r="X48" s="1203"/>
      <c r="Y48" s="1203">
        <f>O48*S48</f>
        <v>0.64400000000000002</v>
      </c>
      <c r="Z48" s="1203">
        <f t="shared" si="39"/>
        <v>0.35599999999999998</v>
      </c>
      <c r="AA48" s="1203">
        <f t="shared" si="32"/>
        <v>0</v>
      </c>
      <c r="AB48" s="1203">
        <f t="shared" si="33"/>
        <v>0</v>
      </c>
      <c r="AC48" s="1203">
        <f t="shared" si="33"/>
        <v>0</v>
      </c>
      <c r="AD48" s="1205"/>
      <c r="AE48" s="1206">
        <f t="shared" si="34"/>
        <v>208112.70173683361</v>
      </c>
      <c r="AF48" s="1206">
        <f t="shared" si="35"/>
        <v>115043.6674197403</v>
      </c>
      <c r="AG48" s="1206">
        <f t="shared" si="36"/>
        <v>0</v>
      </c>
      <c r="AH48" s="1206">
        <f t="shared" si="37"/>
        <v>0</v>
      </c>
      <c r="AI48" s="1206">
        <f t="shared" si="38"/>
        <v>0</v>
      </c>
    </row>
    <row r="49" spans="1:35" ht="12.5">
      <c r="A49" s="1174">
        <v>319814</v>
      </c>
      <c r="B49" s="1174">
        <v>319815</v>
      </c>
      <c r="C49" s="1174">
        <v>319816</v>
      </c>
      <c r="E49" s="1174">
        <v>321068</v>
      </c>
      <c r="F49" s="1174">
        <v>321272</v>
      </c>
      <c r="G49" s="1174">
        <v>321266</v>
      </c>
      <c r="H49" s="1174">
        <v>321266</v>
      </c>
      <c r="J49" s="867" t="s">
        <v>948</v>
      </c>
      <c r="K49" s="1200">
        <v>-16774204.609999999</v>
      </c>
      <c r="L49" s="1201">
        <v>2402066.0746872029</v>
      </c>
      <c r="M49" s="1202">
        <v>-14372138.535312796</v>
      </c>
      <c r="N49" s="1176"/>
      <c r="O49" s="1204">
        <v>0</v>
      </c>
      <c r="P49" s="1203"/>
      <c r="Q49" s="1204">
        <v>1</v>
      </c>
      <c r="R49" s="1203"/>
      <c r="S49" s="1204">
        <v>0.64400000000000002</v>
      </c>
      <c r="T49" s="1204">
        <v>0.35599999999999998</v>
      </c>
      <c r="U49" s="1203"/>
      <c r="V49" s="1203"/>
      <c r="W49" s="1203"/>
      <c r="X49" s="1203"/>
      <c r="Y49" s="1203">
        <f>(O49*S49)+Q49</f>
        <v>1</v>
      </c>
      <c r="Z49" s="1203">
        <f t="shared" si="39"/>
        <v>0</v>
      </c>
      <c r="AA49" s="1203">
        <f t="shared" si="32"/>
        <v>0</v>
      </c>
      <c r="AB49" s="1203">
        <f t="shared" si="33"/>
        <v>0</v>
      </c>
      <c r="AC49" s="1203">
        <f t="shared" si="33"/>
        <v>0</v>
      </c>
      <c r="AD49" s="1205"/>
      <c r="AE49" s="1206">
        <f t="shared" si="34"/>
        <v>-14372138.535312796</v>
      </c>
      <c r="AF49" s="1206">
        <f t="shared" si="35"/>
        <v>0</v>
      </c>
      <c r="AG49" s="1206">
        <f t="shared" si="36"/>
        <v>0</v>
      </c>
      <c r="AH49" s="1206">
        <f t="shared" si="37"/>
        <v>0</v>
      </c>
      <c r="AI49" s="1206">
        <f t="shared" si="38"/>
        <v>0</v>
      </c>
    </row>
    <row r="50" spans="1:35" ht="12.5">
      <c r="A50" s="1174">
        <v>319806</v>
      </c>
      <c r="B50" s="1174">
        <v>319807</v>
      </c>
      <c r="C50" s="1174">
        <v>319808</v>
      </c>
      <c r="J50" s="867" t="s">
        <v>950</v>
      </c>
      <c r="K50" s="1200">
        <v>-1457355.84</v>
      </c>
      <c r="L50" s="1201">
        <v>208693.35407559879</v>
      </c>
      <c r="M50" s="1202">
        <v>-1248662.4859244013</v>
      </c>
      <c r="N50" s="1176"/>
      <c r="O50" s="1203"/>
      <c r="P50" s="1203">
        <v>1</v>
      </c>
      <c r="Q50" s="1203"/>
      <c r="R50" s="1203"/>
      <c r="S50" s="1203"/>
      <c r="T50" s="1203"/>
      <c r="U50" s="1203"/>
      <c r="V50" s="1203">
        <v>1</v>
      </c>
      <c r="W50" s="1203"/>
      <c r="X50" s="1203"/>
      <c r="Y50" s="1203">
        <f>O50*S50</f>
        <v>0</v>
      </c>
      <c r="Z50" s="1203">
        <f t="shared" si="39"/>
        <v>0</v>
      </c>
      <c r="AA50" s="1203">
        <f t="shared" si="32"/>
        <v>0</v>
      </c>
      <c r="AB50" s="1203">
        <f t="shared" si="33"/>
        <v>1</v>
      </c>
      <c r="AC50" s="1203">
        <f t="shared" si="33"/>
        <v>0</v>
      </c>
      <c r="AD50" s="1205"/>
      <c r="AE50" s="1206">
        <f t="shared" si="34"/>
        <v>0</v>
      </c>
      <c r="AF50" s="1206">
        <f t="shared" si="35"/>
        <v>0</v>
      </c>
      <c r="AG50" s="1206">
        <f t="shared" si="36"/>
        <v>0</v>
      </c>
      <c r="AH50" s="1206">
        <f t="shared" si="37"/>
        <v>-1248662.4859244013</v>
      </c>
      <c r="AI50" s="1206">
        <f t="shared" si="38"/>
        <v>0</v>
      </c>
    </row>
    <row r="51" spans="1:35" ht="12.5">
      <c r="A51" s="1174">
        <v>319798</v>
      </c>
      <c r="B51" s="1174">
        <v>319799</v>
      </c>
      <c r="C51" s="1174">
        <v>319800</v>
      </c>
      <c r="J51" s="867" t="s">
        <v>951</v>
      </c>
      <c r="K51" s="1200">
        <v>-320920.14</v>
      </c>
      <c r="L51" s="1201">
        <v>45955.763560813495</v>
      </c>
      <c r="M51" s="1202">
        <v>-274964.37643918651</v>
      </c>
      <c r="N51" s="1176"/>
      <c r="O51" s="1203"/>
      <c r="P51" s="1203"/>
      <c r="Q51" s="1203">
        <v>1</v>
      </c>
      <c r="R51" s="1203"/>
      <c r="S51" s="1203"/>
      <c r="T51" s="1203"/>
      <c r="U51" s="1203"/>
      <c r="V51" s="1203"/>
      <c r="W51" s="1203">
        <v>1</v>
      </c>
      <c r="X51" s="1203"/>
      <c r="Y51" s="1203">
        <f>O51*S51</f>
        <v>0</v>
      </c>
      <c r="Z51" s="1203">
        <f t="shared" si="39"/>
        <v>0</v>
      </c>
      <c r="AA51" s="1203">
        <f t="shared" si="32"/>
        <v>0</v>
      </c>
      <c r="AB51" s="1203">
        <f t="shared" si="33"/>
        <v>0</v>
      </c>
      <c r="AC51" s="1203">
        <f t="shared" si="33"/>
        <v>1</v>
      </c>
      <c r="AD51" s="1205"/>
      <c r="AE51" s="1206">
        <f t="shared" si="34"/>
        <v>0</v>
      </c>
      <c r="AF51" s="1206">
        <f t="shared" si="35"/>
        <v>0</v>
      </c>
      <c r="AG51" s="1206">
        <f t="shared" si="36"/>
        <v>0</v>
      </c>
      <c r="AH51" s="1206">
        <f t="shared" si="37"/>
        <v>0</v>
      </c>
      <c r="AI51" s="1206">
        <f t="shared" si="38"/>
        <v>-274964.37643918651</v>
      </c>
    </row>
    <row r="52" spans="1:35" ht="12.5">
      <c r="A52" s="1174">
        <v>319790</v>
      </c>
      <c r="B52" s="1174">
        <v>319791</v>
      </c>
      <c r="C52" s="1174">
        <v>319792</v>
      </c>
      <c r="J52" s="867" t="s">
        <v>952</v>
      </c>
      <c r="K52" s="1200">
        <v>-5032316.5599999996</v>
      </c>
      <c r="L52" s="1201">
        <v>720627.72375247709</v>
      </c>
      <c r="M52" s="1219">
        <v>-4311688.8362475224</v>
      </c>
      <c r="O52" s="1203"/>
      <c r="P52" s="1203">
        <v>1</v>
      </c>
      <c r="Q52" s="1203"/>
      <c r="R52" s="1203"/>
      <c r="S52" s="1203"/>
      <c r="T52" s="1203"/>
      <c r="U52" s="1203">
        <v>1</v>
      </c>
      <c r="V52" s="1203"/>
      <c r="W52" s="1203"/>
      <c r="X52" s="1203"/>
      <c r="Y52" s="1203">
        <f>O52*S52</f>
        <v>0</v>
      </c>
      <c r="Z52" s="1203">
        <f t="shared" si="39"/>
        <v>0</v>
      </c>
      <c r="AA52" s="1203">
        <f t="shared" si="32"/>
        <v>1</v>
      </c>
      <c r="AB52" s="1203">
        <f t="shared" si="33"/>
        <v>0</v>
      </c>
      <c r="AC52" s="1203">
        <f t="shared" si="33"/>
        <v>0</v>
      </c>
      <c r="AD52" s="1205"/>
      <c r="AE52" s="1220">
        <f t="shared" si="34"/>
        <v>0</v>
      </c>
      <c r="AF52" s="1220">
        <f t="shared" si="35"/>
        <v>0</v>
      </c>
      <c r="AG52" s="1220">
        <f t="shared" si="36"/>
        <v>-4311688.8362475224</v>
      </c>
      <c r="AH52" s="1220">
        <f t="shared" si="37"/>
        <v>0</v>
      </c>
      <c r="AI52" s="1220">
        <f t="shared" si="38"/>
        <v>0</v>
      </c>
    </row>
    <row r="53" spans="1:35">
      <c r="I53" s="1190" t="s">
        <v>977</v>
      </c>
      <c r="K53" s="1210">
        <f>SUM(K46:K52)</f>
        <v>-33850123.519999996</v>
      </c>
      <c r="L53" s="1210">
        <f>SUM(L46:L52)</f>
        <v>4847337.6366763758</v>
      </c>
      <c r="M53" s="1210">
        <f>SUM(M46:M52)</f>
        <v>-29002785.883323625</v>
      </c>
      <c r="O53" s="1203"/>
      <c r="P53" s="1203"/>
      <c r="Q53" s="1203"/>
      <c r="R53" s="1203"/>
      <c r="S53" s="1203"/>
      <c r="T53" s="1203"/>
      <c r="U53" s="1203"/>
      <c r="V53" s="1203"/>
      <c r="W53" s="1203"/>
      <c r="X53" s="1203"/>
      <c r="Y53" s="1203"/>
      <c r="Z53" s="1203"/>
      <c r="AA53" s="1203"/>
      <c r="AB53" s="1203"/>
      <c r="AC53" s="1203"/>
      <c r="AD53" s="1176"/>
      <c r="AE53" s="1210">
        <f>SUM(AE46:AE52)</f>
        <v>-17604701.65381813</v>
      </c>
      <c r="AF53" s="1210">
        <f>SUM(AF46:AF52)</f>
        <v>-5562768.5308943829</v>
      </c>
      <c r="AG53" s="1210">
        <f>SUM(AG46:AG52)</f>
        <v>-4311688.8362475224</v>
      </c>
      <c r="AH53" s="1210">
        <f>SUM(AH46:AH52)</f>
        <v>-1248662.4859244013</v>
      </c>
      <c r="AI53" s="1210">
        <f>SUM(AI46:AI52)</f>
        <v>-274964.37643918651</v>
      </c>
    </row>
    <row r="54" spans="1:35">
      <c r="K54" s="1210"/>
      <c r="L54" s="1216"/>
      <c r="M54" s="1206"/>
      <c r="O54" s="1203"/>
      <c r="P54" s="1203"/>
      <c r="Q54" s="1203"/>
      <c r="R54" s="1203"/>
      <c r="S54" s="1203"/>
      <c r="T54" s="1203"/>
      <c r="U54" s="1203"/>
      <c r="V54" s="1203"/>
      <c r="W54" s="1203"/>
      <c r="X54" s="1203"/>
      <c r="Y54" s="1203"/>
      <c r="Z54" s="1203"/>
      <c r="AA54" s="1203"/>
      <c r="AB54" s="1203"/>
      <c r="AC54" s="1203"/>
      <c r="AD54" s="1176"/>
      <c r="AE54" s="1206"/>
      <c r="AF54" s="1206"/>
      <c r="AG54" s="1206"/>
      <c r="AH54" s="1206"/>
      <c r="AI54" s="1206"/>
    </row>
    <row r="55" spans="1:35" ht="13.5" thickBot="1">
      <c r="I55" s="1190" t="s">
        <v>978</v>
      </c>
      <c r="K55" s="1221">
        <f>SUM(K18,K30,K44,K53)</f>
        <v>222384318.27000004</v>
      </c>
      <c r="L55" s="1221">
        <f>SUM(L18,L30,L44,L53)</f>
        <v>-31845434.038664009</v>
      </c>
      <c r="M55" s="1221">
        <f>SUM(M18,M30,M44,M53)</f>
        <v>190538884.231336</v>
      </c>
      <c r="O55" s="1203"/>
      <c r="P55" s="1203"/>
      <c r="Q55" s="1203"/>
      <c r="R55" s="1203"/>
      <c r="S55" s="1203"/>
      <c r="T55" s="1203"/>
      <c r="U55" s="1203"/>
      <c r="V55" s="1203"/>
      <c r="W55" s="1203"/>
      <c r="X55" s="1203"/>
      <c r="Y55" s="1203"/>
      <c r="Z55" s="1203"/>
      <c r="AA55" s="1203"/>
      <c r="AB55" s="1203"/>
      <c r="AC55" s="1203"/>
      <c r="AD55" s="1176"/>
      <c r="AE55" s="1221">
        <f>SUM(AE18,AE30,AE44,AE53)</f>
        <v>103572290.24258681</v>
      </c>
      <c r="AF55" s="1221">
        <f>SUM(AF18,AF30,AF44,AF53)</f>
        <v>48005568.52788239</v>
      </c>
      <c r="AG55" s="1221">
        <f>SUM(AG18,AG30,AG44,AG53)</f>
        <v>15301805.070003524</v>
      </c>
      <c r="AH55" s="1221">
        <f>SUM(AH18,AH30,AH44,AH53)</f>
        <v>7278911.6154282121</v>
      </c>
      <c r="AI55" s="1221">
        <f>SUM(AI18,AI30,AI44,AI53)</f>
        <v>16380308.775435083</v>
      </c>
    </row>
    <row r="56" spans="1:35" ht="13.5" thickTop="1">
      <c r="K56" s="1222"/>
      <c r="O56" s="1223"/>
      <c r="P56" s="1223"/>
      <c r="Q56" s="1223"/>
      <c r="R56" s="1223"/>
      <c r="S56" s="1223"/>
      <c r="T56" s="1223"/>
      <c r="U56" s="1223"/>
      <c r="V56" s="1223"/>
      <c r="W56" s="1223"/>
      <c r="X56" s="1223"/>
      <c r="Y56" s="1223"/>
      <c r="Z56" s="1223"/>
      <c r="AA56" s="1223"/>
      <c r="AB56" s="1223"/>
      <c r="AC56" s="1223"/>
    </row>
    <row r="57" spans="1:35">
      <c r="Y57" s="477" t="s">
        <v>979</v>
      </c>
      <c r="AE57" s="1186">
        <f>-AO24</f>
        <v>-2850787.8530412717</v>
      </c>
      <c r="AG57" s="1186">
        <f>-AO26</f>
        <v>-902499.34929774317</v>
      </c>
    </row>
    <row r="59" spans="1:35">
      <c r="Y59" s="477" t="s">
        <v>980</v>
      </c>
      <c r="AE59" s="1186">
        <f>SUM(AE55:AE57)</f>
        <v>100721502.38954553</v>
      </c>
      <c r="AG59" s="1186">
        <f>SUM(AG55:AG57)</f>
        <v>14399305.720705781</v>
      </c>
    </row>
    <row r="61" spans="1:35">
      <c r="Y61" s="477" t="s">
        <v>981</v>
      </c>
      <c r="AE61" s="1186">
        <v>103960573</v>
      </c>
      <c r="AG61" s="1186">
        <v>15046912</v>
      </c>
    </row>
    <row r="62" spans="1:35" ht="13.5" thickBot="1"/>
    <row r="63" spans="1:35" ht="14" thickTop="1" thickBot="1">
      <c r="Y63" s="477" t="s">
        <v>982</v>
      </c>
      <c r="AE63" s="1224">
        <f>AE59-AE61</f>
        <v>-3239070.6104544699</v>
      </c>
      <c r="AG63" s="1224">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3"/>
  <cols>
    <col min="1" max="1" width="22.7265625" style="478" customWidth="1"/>
    <col min="2" max="2" width="9.26953125" style="478" customWidth="1"/>
    <col min="3" max="3" width="15.7265625" style="478" customWidth="1"/>
    <col min="4" max="4" width="8.453125" style="1226" customWidth="1"/>
    <col min="5" max="5" width="16.453125" style="1225" bestFit="1" customWidth="1"/>
    <col min="6" max="6" width="13" style="478" bestFit="1" customWidth="1"/>
    <col min="7" max="7" width="1.453125" style="478" hidden="1" customWidth="1"/>
    <col min="8" max="8" width="0.81640625" style="478" customWidth="1"/>
    <col min="9" max="21" width="9.81640625" style="478" customWidth="1"/>
    <col min="24" max="24" width="35.1796875" style="224" customWidth="1"/>
    <col min="25" max="25" width="6.26953125" style="224" customWidth="1"/>
    <col min="26" max="26" width="6.54296875" style="1259" customWidth="1"/>
    <col min="27" max="27" width="11" style="224" customWidth="1"/>
    <col min="28" max="28" width="6.54296875" style="1259" customWidth="1"/>
    <col min="29" max="29" width="13.26953125" style="78" customWidth="1"/>
    <col min="30" max="30" width="12" style="224" customWidth="1"/>
    <col min="32" max="32" width="1.7265625" style="995" customWidth="1"/>
    <col min="34" max="35" width="8.81640625" style="996"/>
    <col min="36" max="36" width="13" style="996" customWidth="1"/>
    <col min="37" max="37" width="15" style="996" customWidth="1"/>
    <col min="38" max="45" width="13.26953125" style="996" bestFit="1" customWidth="1"/>
    <col min="46" max="46" width="13.453125" style="996" bestFit="1" customWidth="1"/>
    <col min="47" max="49" width="13.7265625" style="996" bestFit="1" customWidth="1"/>
    <col min="50" max="50" width="15.1796875" style="996" bestFit="1" customWidth="1"/>
    <col min="51" max="51" width="8.81640625" style="996"/>
    <col min="52" max="52" width="1.7265625" style="995" customWidth="1"/>
    <col min="54" max="57" width="8.81640625" style="996"/>
    <col min="58" max="62" width="8.1796875" style="996" bestFit="1" customWidth="1"/>
    <col min="63" max="68" width="9.7265625" style="996" bestFit="1" customWidth="1"/>
    <col min="69" max="69" width="8.1796875" style="996" bestFit="1" customWidth="1"/>
    <col min="70" max="70" width="15.453125" style="1184" bestFit="1" customWidth="1"/>
    <col min="71" max="71" width="8.81640625" style="996"/>
    <col min="72" max="72" width="1.7265625" style="995" customWidth="1"/>
    <col min="74" max="74" width="9.81640625" style="996" customWidth="1"/>
    <col min="75" max="75" width="9.26953125" style="996" customWidth="1"/>
    <col min="76" max="76" width="15.7265625" style="996" customWidth="1"/>
    <col min="77" max="77" width="20" style="1308" customWidth="1"/>
    <col min="78" max="78" width="7.7265625" style="1309" customWidth="1"/>
    <col min="79" max="79" width="15.7265625" style="1308" customWidth="1"/>
    <col min="80" max="80" width="15.26953125" style="1308" customWidth="1"/>
    <col min="81" max="81" width="13.26953125" style="1308" customWidth="1"/>
    <col min="82" max="83" width="8.81640625" style="996"/>
  </cols>
  <sheetData>
    <row r="1" spans="1:83">
      <c r="A1" s="3873" t="s">
        <v>111</v>
      </c>
      <c r="B1" s="3873"/>
      <c r="C1" s="3873"/>
      <c r="D1" s="3873"/>
      <c r="E1" s="3873"/>
      <c r="X1" s="3905" t="s">
        <v>111</v>
      </c>
      <c r="Y1" s="3905"/>
      <c r="Z1" s="3905"/>
      <c r="AA1" s="3905"/>
      <c r="AB1" s="3905"/>
      <c r="AC1" s="3905"/>
      <c r="AD1" s="3905"/>
      <c r="AH1" s="1184" t="s">
        <v>1048</v>
      </c>
      <c r="AI1" s="1184"/>
      <c r="AJ1" s="1184"/>
      <c r="AK1" s="1184"/>
      <c r="AL1" s="1184"/>
      <c r="AM1" s="1184"/>
      <c r="AN1" s="1184"/>
      <c r="AO1" s="1184"/>
      <c r="AP1" s="1184"/>
      <c r="AQ1" s="1184"/>
      <c r="AR1" s="1184"/>
      <c r="AS1" s="1184"/>
      <c r="AT1" s="1184"/>
      <c r="AU1" s="1184"/>
      <c r="AV1" s="1184"/>
      <c r="AW1" s="1184"/>
      <c r="AX1" s="1184"/>
      <c r="AY1" s="1184"/>
      <c r="BB1" s="1184" t="s">
        <v>1048</v>
      </c>
      <c r="BC1" s="1184"/>
      <c r="BD1" s="1184"/>
      <c r="BE1" s="1184"/>
      <c r="BF1" s="1184"/>
      <c r="BG1" s="1184"/>
      <c r="BH1" s="1184"/>
      <c r="BI1" s="1184"/>
      <c r="BJ1" s="1184"/>
      <c r="BK1" s="1184"/>
      <c r="BL1" s="1184"/>
      <c r="BM1" s="1184"/>
      <c r="BN1" s="1184"/>
      <c r="BO1" s="1184"/>
      <c r="BP1" s="1184"/>
      <c r="BQ1" s="1184"/>
      <c r="BS1" s="1184"/>
      <c r="BV1" s="1184"/>
      <c r="BW1" s="1184"/>
      <c r="BX1" s="1184"/>
      <c r="BY1" s="1324"/>
      <c r="BZ1" s="1325"/>
      <c r="CA1" s="1324"/>
      <c r="CB1" s="1324"/>
      <c r="CC1" s="1324"/>
      <c r="CD1" s="1184"/>
      <c r="CE1" s="1184"/>
    </row>
    <row r="2" spans="1:83">
      <c r="A2" s="3873" t="s">
        <v>1001</v>
      </c>
      <c r="B2" s="3873"/>
      <c r="C2" s="3873"/>
      <c r="D2" s="3873"/>
      <c r="E2" s="3873"/>
      <c r="X2" s="3905" t="s">
        <v>1026</v>
      </c>
      <c r="Y2" s="3905"/>
      <c r="Z2" s="3905"/>
      <c r="AA2" s="3905"/>
      <c r="AB2" s="3905"/>
      <c r="AC2" s="3905"/>
      <c r="AD2" s="3905"/>
      <c r="AH2" s="1184"/>
      <c r="AI2" s="1184"/>
      <c r="AJ2" s="1184"/>
      <c r="AK2" s="1184"/>
      <c r="AL2" s="1184"/>
      <c r="AM2" s="1184"/>
      <c r="AN2" s="1184"/>
      <c r="AO2" s="1184"/>
      <c r="AP2" s="1184"/>
      <c r="AQ2" s="1184"/>
      <c r="AR2" s="1184"/>
      <c r="AS2" s="1184"/>
      <c r="AT2" s="1184"/>
      <c r="AU2" s="1184"/>
      <c r="AV2" s="1184"/>
      <c r="AW2" s="1184"/>
      <c r="AX2" s="1184"/>
      <c r="AY2" s="1184"/>
      <c r="BB2" s="1184"/>
      <c r="BC2" s="1184"/>
      <c r="BD2" s="1184"/>
      <c r="BE2" s="1184"/>
      <c r="BF2" s="1184"/>
      <c r="BG2" s="1184"/>
      <c r="BH2" s="1184"/>
      <c r="BI2" s="1184"/>
      <c r="BJ2" s="1184"/>
      <c r="BK2" s="1184"/>
      <c r="BL2" s="1184"/>
      <c r="BM2" s="1184"/>
      <c r="BN2" s="1184"/>
      <c r="BO2" s="1184"/>
      <c r="BP2" s="1184"/>
      <c r="BQ2" s="1184"/>
      <c r="BS2" s="1184"/>
      <c r="BV2" s="1184"/>
      <c r="BW2" s="1184"/>
      <c r="BX2" s="1184"/>
      <c r="BY2" s="1324"/>
      <c r="BZ2" s="1325"/>
      <c r="CA2" s="1324"/>
      <c r="CB2" s="1324"/>
      <c r="CC2" s="1324"/>
      <c r="CD2" s="1184"/>
      <c r="CE2" s="1184"/>
    </row>
    <row r="3" spans="1:83">
      <c r="A3" s="3906" t="s">
        <v>1060</v>
      </c>
      <c r="B3" s="3873"/>
      <c r="C3" s="3873"/>
      <c r="D3" s="3873"/>
      <c r="E3" s="3873"/>
      <c r="X3" s="3905" t="s">
        <v>1060</v>
      </c>
      <c r="Y3" s="3905"/>
      <c r="Z3" s="3905"/>
      <c r="AA3" s="3905"/>
      <c r="AB3" s="3905"/>
      <c r="AC3" s="3905"/>
      <c r="AD3" s="3905"/>
      <c r="AH3" s="1184" t="s">
        <v>1047</v>
      </c>
      <c r="AI3" s="1184"/>
      <c r="AJ3" s="1184"/>
      <c r="AK3" s="1184"/>
      <c r="AL3" s="1184"/>
      <c r="AM3" s="1184"/>
      <c r="AN3" s="1184"/>
      <c r="AO3" s="1184"/>
      <c r="AP3" s="1184"/>
      <c r="AQ3" s="1184"/>
      <c r="AR3" s="1184"/>
      <c r="AS3" s="1184"/>
      <c r="AT3" s="1184"/>
      <c r="AU3" s="1184"/>
      <c r="AV3" s="1184"/>
      <c r="AW3" s="1184"/>
      <c r="AX3" s="1184"/>
      <c r="AY3" s="1184"/>
      <c r="BB3" s="1184" t="s">
        <v>1049</v>
      </c>
      <c r="BC3" s="1184"/>
      <c r="BD3" s="1184"/>
      <c r="BE3" s="1184"/>
      <c r="BF3" s="1184"/>
      <c r="BG3" s="1184"/>
      <c r="BH3" s="1184"/>
      <c r="BI3" s="1184"/>
      <c r="BJ3" s="1184"/>
      <c r="BK3" s="1184"/>
      <c r="BL3" s="1184"/>
      <c r="BM3" s="1184"/>
      <c r="BN3" s="1184"/>
      <c r="BO3" s="1184"/>
      <c r="BP3" s="1184"/>
      <c r="BQ3" s="1184"/>
      <c r="BS3" s="1184"/>
      <c r="BV3" s="1184"/>
      <c r="BW3" s="1184"/>
      <c r="BX3" s="1184"/>
      <c r="BY3" s="1312" t="s">
        <v>1059</v>
      </c>
      <c r="BZ3" s="1312"/>
      <c r="CA3" s="1312" t="s">
        <v>729</v>
      </c>
      <c r="CB3" s="1312" t="s">
        <v>786</v>
      </c>
      <c r="CC3" s="1312" t="s">
        <v>965</v>
      </c>
      <c r="CD3" s="1184"/>
      <c r="CE3" s="1184"/>
    </row>
    <row r="4" spans="1:83">
      <c r="A4" s="3873" t="s">
        <v>1000</v>
      </c>
      <c r="B4" s="3873"/>
      <c r="C4" s="3873"/>
      <c r="D4" s="3873"/>
      <c r="E4" s="3873"/>
      <c r="X4" s="3905" t="s">
        <v>1000</v>
      </c>
      <c r="Y4" s="3905"/>
      <c r="Z4" s="3905"/>
      <c r="AA4" s="3905"/>
      <c r="AB4" s="3905"/>
      <c r="AC4" s="3905"/>
      <c r="AD4" s="3905"/>
      <c r="AH4" s="1184"/>
      <c r="AI4" s="1184"/>
      <c r="AJ4" s="1184"/>
      <c r="AK4" s="1184"/>
      <c r="AL4" s="1184"/>
      <c r="AM4" s="1184"/>
      <c r="AN4" s="1184"/>
      <c r="AO4" s="1184"/>
      <c r="AP4" s="1184"/>
      <c r="AQ4" s="1184"/>
      <c r="AR4" s="1184"/>
      <c r="AS4" s="1184"/>
      <c r="AT4" s="1184"/>
      <c r="AU4" s="1184"/>
      <c r="AV4" s="1184"/>
      <c r="AW4" s="1184"/>
      <c r="AX4" s="1184"/>
      <c r="AY4" s="1184"/>
      <c r="BB4" s="1184"/>
      <c r="BC4" s="1184"/>
      <c r="BD4" s="1184"/>
      <c r="BE4" s="1184"/>
      <c r="BF4" s="1184"/>
      <c r="BG4" s="1184"/>
      <c r="BH4" s="1184"/>
      <c r="BI4" s="1184"/>
      <c r="BJ4" s="1184"/>
      <c r="BK4" s="1184"/>
      <c r="BL4" s="1184"/>
      <c r="BM4" s="1184"/>
      <c r="BN4" s="1184"/>
      <c r="BO4" s="1184"/>
      <c r="BP4" s="1184"/>
      <c r="BQ4" s="1184"/>
      <c r="BS4" s="1184"/>
      <c r="BV4" s="1184" t="s">
        <v>1043</v>
      </c>
      <c r="BW4" s="1184" t="s">
        <v>1058</v>
      </c>
      <c r="BX4" s="1184" t="s">
        <v>1057</v>
      </c>
      <c r="BY4" s="1324"/>
      <c r="BZ4" s="1325"/>
      <c r="CA4" s="1324"/>
      <c r="CB4" s="1324"/>
      <c r="CC4" s="1324"/>
      <c r="CD4" s="1184"/>
      <c r="CE4" s="1184"/>
    </row>
    <row r="5" spans="1:83">
      <c r="I5" s="1031" t="s">
        <v>999</v>
      </c>
      <c r="AC5" s="224"/>
      <c r="AD5" s="78"/>
      <c r="AH5" s="1184"/>
      <c r="AI5" s="1184"/>
      <c r="AJ5" s="1184"/>
      <c r="AK5" s="1184"/>
      <c r="AL5" s="1184"/>
      <c r="AM5" s="1184"/>
      <c r="AN5" s="1184"/>
      <c r="AO5" s="1184"/>
      <c r="AP5" s="1184"/>
      <c r="AQ5" s="1184"/>
      <c r="AR5" s="1184"/>
      <c r="AS5" s="1184"/>
      <c r="AT5" s="1184"/>
      <c r="AU5" s="1184"/>
      <c r="AV5" s="1184"/>
      <c r="AW5" s="1184"/>
      <c r="AX5" s="1184"/>
      <c r="AY5" s="1184"/>
      <c r="BB5" s="1184"/>
      <c r="BC5" s="1184"/>
      <c r="BD5" s="1184"/>
      <c r="BE5" s="1184" t="s">
        <v>1050</v>
      </c>
      <c r="BF5" s="1184"/>
      <c r="BG5" s="1184"/>
      <c r="BH5" s="1184"/>
      <c r="BI5" s="1184"/>
      <c r="BJ5" s="1184"/>
      <c r="BK5" s="1184"/>
      <c r="BL5" s="1184"/>
      <c r="BM5" s="1184"/>
      <c r="BN5" s="1184"/>
      <c r="BO5" s="1184"/>
      <c r="BP5" s="1184"/>
      <c r="BQ5" s="1184"/>
      <c r="BS5" s="1184"/>
      <c r="BV5" s="996" t="s">
        <v>1056</v>
      </c>
      <c r="BW5" s="996" t="s">
        <v>681</v>
      </c>
      <c r="BX5" s="996" t="s">
        <v>683</v>
      </c>
      <c r="BY5" s="1320">
        <f>CA5</f>
        <v>3720326.1900000004</v>
      </c>
      <c r="CA5" s="1320">
        <f>CA32</f>
        <v>3720326.1900000004</v>
      </c>
      <c r="CB5" s="1320">
        <v>0</v>
      </c>
      <c r="CC5" s="1320">
        <v>0</v>
      </c>
    </row>
    <row r="6" spans="1:83">
      <c r="X6" s="1289" t="s">
        <v>16</v>
      </c>
      <c r="Y6" s="1289" t="s">
        <v>1025</v>
      </c>
      <c r="Z6" s="1290"/>
      <c r="AA6" s="1289" t="s">
        <v>1024</v>
      </c>
      <c r="AB6" s="1288"/>
      <c r="AC6" s="1287" t="s">
        <v>1023</v>
      </c>
      <c r="AD6" s="1286" t="s">
        <v>24</v>
      </c>
      <c r="AH6" s="1303"/>
      <c r="AI6" s="1303"/>
      <c r="AJ6" s="1303"/>
      <c r="AK6" s="1303" t="s">
        <v>1046</v>
      </c>
      <c r="AL6" s="1303">
        <v>202207</v>
      </c>
      <c r="AM6" s="1303">
        <v>202208</v>
      </c>
      <c r="AN6" s="1303">
        <v>202209</v>
      </c>
      <c r="AO6" s="1303">
        <v>202210</v>
      </c>
      <c r="AP6" s="1303">
        <v>202211</v>
      </c>
      <c r="AQ6" s="1303">
        <v>202212</v>
      </c>
      <c r="AR6" s="1303">
        <v>202301</v>
      </c>
      <c r="AS6" s="1303">
        <v>202302</v>
      </c>
      <c r="AT6" s="1303">
        <v>202303</v>
      </c>
      <c r="AU6" s="1303">
        <v>202304</v>
      </c>
      <c r="AV6" s="1303">
        <v>202305</v>
      </c>
      <c r="AW6" s="1303">
        <v>202306</v>
      </c>
      <c r="AX6" s="1303" t="s">
        <v>1045</v>
      </c>
      <c r="AY6" s="1303"/>
      <c r="BB6" s="1303"/>
      <c r="BC6" s="1303"/>
      <c r="BD6" s="1303"/>
      <c r="BE6" s="1303" t="s">
        <v>1046</v>
      </c>
      <c r="BF6" s="579">
        <v>202207</v>
      </c>
      <c r="BG6" s="579">
        <v>202208</v>
      </c>
      <c r="BH6" s="579">
        <v>202209</v>
      </c>
      <c r="BI6" s="579">
        <v>202210</v>
      </c>
      <c r="BJ6" s="579">
        <v>202211</v>
      </c>
      <c r="BK6" s="579">
        <v>202212</v>
      </c>
      <c r="BL6" s="579">
        <v>202301</v>
      </c>
      <c r="BM6" s="579">
        <v>202302</v>
      </c>
      <c r="BN6" s="579">
        <v>202303</v>
      </c>
      <c r="BO6" s="579">
        <v>202304</v>
      </c>
      <c r="BP6" s="579">
        <v>202305</v>
      </c>
      <c r="BQ6" s="579">
        <v>202306</v>
      </c>
      <c r="BR6" s="1303" t="s">
        <v>1045</v>
      </c>
      <c r="BS6" s="1303"/>
      <c r="BX6" s="996" t="s">
        <v>763</v>
      </c>
      <c r="BY6" s="1320">
        <f>CA6</f>
        <v>20839250.420000002</v>
      </c>
      <c r="BZ6" s="1323"/>
      <c r="CA6" s="1320">
        <f>CA64</f>
        <v>20839250.420000002</v>
      </c>
      <c r="CB6" s="1320">
        <v>0</v>
      </c>
      <c r="CC6" s="1320">
        <v>0</v>
      </c>
    </row>
    <row r="7" spans="1:83">
      <c r="E7" s="1258" t="s">
        <v>80</v>
      </c>
      <c r="G7" s="1258" t="s">
        <v>81</v>
      </c>
      <c r="I7" s="579">
        <v>202207</v>
      </c>
      <c r="J7" s="579">
        <v>202208</v>
      </c>
      <c r="K7" s="579">
        <v>202209</v>
      </c>
      <c r="L7" s="579">
        <v>202210</v>
      </c>
      <c r="M7" s="579">
        <v>202211</v>
      </c>
      <c r="N7" s="579">
        <v>202212</v>
      </c>
      <c r="O7" s="579">
        <v>202301</v>
      </c>
      <c r="P7" s="579">
        <v>202302</v>
      </c>
      <c r="Q7" s="579">
        <v>202303</v>
      </c>
      <c r="R7" s="579">
        <v>202304</v>
      </c>
      <c r="S7" s="579">
        <v>202305</v>
      </c>
      <c r="T7" s="579">
        <v>202306</v>
      </c>
      <c r="U7" s="579" t="s">
        <v>24</v>
      </c>
      <c r="AC7" s="1285" t="s">
        <v>396</v>
      </c>
      <c r="AD7" s="78"/>
      <c r="AH7" s="1184" t="s">
        <v>1044</v>
      </c>
      <c r="AI7" s="1184" t="s">
        <v>1043</v>
      </c>
      <c r="AJ7" s="1184" t="s">
        <v>1042</v>
      </c>
      <c r="AK7" s="1184"/>
      <c r="AL7" s="1184"/>
      <c r="AM7" s="1184"/>
      <c r="AN7" s="1184"/>
      <c r="AO7" s="1184"/>
      <c r="AP7" s="1184"/>
      <c r="AQ7" s="1184"/>
      <c r="AR7" s="1184"/>
      <c r="AS7" s="1184"/>
      <c r="AT7" s="1184"/>
      <c r="AU7" s="1184"/>
      <c r="AV7" s="1184"/>
      <c r="AW7" s="1184"/>
      <c r="AX7" s="1184"/>
      <c r="AY7" s="1184"/>
      <c r="BB7" s="996" t="s">
        <v>1044</v>
      </c>
      <c r="BC7" s="996" t="s">
        <v>1043</v>
      </c>
      <c r="BD7" s="996" t="s">
        <v>1042</v>
      </c>
      <c r="BY7" s="1318">
        <f>SUM(BY5:BY6)</f>
        <v>24559576.610000003</v>
      </c>
      <c r="BZ7" s="1319"/>
      <c r="CA7" s="1318">
        <f>SUM(CA5:CA6)</f>
        <v>24559576.610000003</v>
      </c>
      <c r="CB7" s="1318">
        <f>SUM(CB5:CB6)</f>
        <v>0</v>
      </c>
      <c r="CC7" s="1318">
        <f>SUM(CC5:CC6)</f>
        <v>0</v>
      </c>
    </row>
    <row r="8" spans="1:83">
      <c r="A8" s="1031" t="s">
        <v>998</v>
      </c>
      <c r="X8" s="1283" t="s">
        <v>891</v>
      </c>
      <c r="AC8" s="224"/>
      <c r="AD8" s="78"/>
      <c r="AL8" s="1302"/>
      <c r="AM8" s="1302"/>
      <c r="AN8" s="1302"/>
      <c r="AO8" s="1302"/>
      <c r="AP8" s="1302"/>
      <c r="AQ8" s="1302"/>
      <c r="AR8" s="1302"/>
      <c r="AS8" s="1302"/>
      <c r="AT8" s="1302"/>
      <c r="AU8" s="1302"/>
      <c r="AV8" s="1302"/>
      <c r="AW8" s="1302"/>
      <c r="AX8" s="1302"/>
      <c r="BB8" s="996" t="s">
        <v>763</v>
      </c>
      <c r="BC8" s="633" t="s">
        <v>1038</v>
      </c>
      <c r="BD8" s="633" t="s">
        <v>1051</v>
      </c>
      <c r="BF8" s="1304">
        <v>-388.1</v>
      </c>
      <c r="BG8" s="1304">
        <v>-182.19</v>
      </c>
      <c r="BH8" s="1304">
        <v>-195.31</v>
      </c>
      <c r="BI8" s="1304">
        <v>-297.05</v>
      </c>
      <c r="BJ8" s="1304">
        <v>-352.79</v>
      </c>
      <c r="BK8" s="1304">
        <v>-1931.05</v>
      </c>
      <c r="BL8" s="1304">
        <v>-1905.1</v>
      </c>
      <c r="BM8" s="1304">
        <v>-1626.89</v>
      </c>
      <c r="BN8" s="1304">
        <v>-1493.42</v>
      </c>
      <c r="BO8" s="1304">
        <v>-1261.26</v>
      </c>
      <c r="BP8" s="1304">
        <v>-937.25</v>
      </c>
      <c r="BQ8" s="1304">
        <v>-474.81</v>
      </c>
      <c r="BR8" s="1305">
        <f>SUM(BF8:BQ8)</f>
        <v>-11045.220000000001</v>
      </c>
      <c r="BS8" s="1299" t="s">
        <v>987</v>
      </c>
      <c r="BY8" s="1322"/>
      <c r="CA8" s="1322"/>
      <c r="CB8" s="1322"/>
      <c r="CC8" s="1322"/>
    </row>
    <row r="9" spans="1:83">
      <c r="A9" s="157" t="s">
        <v>996</v>
      </c>
      <c r="E9" s="1228">
        <f>'G-2.01 Elim B&amp;O'!AA17</f>
        <v>8540172.6600000001</v>
      </c>
      <c r="F9" s="1228"/>
      <c r="I9" s="1236">
        <f>SUM('G-2.01 Elim B&amp;O'!AL9:AL14)</f>
        <v>211852.98</v>
      </c>
      <c r="J9" s="1236">
        <f>SUM('G-2.01 Elim B&amp;O'!AM9:AM14)</f>
        <v>189388.49</v>
      </c>
      <c r="K9" s="1236">
        <f>SUM('G-2.01 Elim B&amp;O'!AN9:AN14)</f>
        <v>197567.84000000003</v>
      </c>
      <c r="L9" s="1236">
        <f>SUM('G-2.01 Elim B&amp;O'!AO9:AO14)</f>
        <v>244705.4</v>
      </c>
      <c r="M9" s="1236">
        <f>SUM('G-2.01 Elim B&amp;O'!AP9:AP14)</f>
        <v>707865.83</v>
      </c>
      <c r="N9" s="1236">
        <f>SUM('G-2.01 Elim B&amp;O'!AQ9:AQ14)</f>
        <v>1449843.34</v>
      </c>
      <c r="O9" s="1236">
        <f>SUM('G-2.01 Elim B&amp;O'!AR9:AR14)</f>
        <v>1504132.65</v>
      </c>
      <c r="P9" s="1236">
        <f>SUM('G-2.01 Elim B&amp;O'!AS9:AS14)</f>
        <v>1149484.5900000001</v>
      </c>
      <c r="Q9" s="1236">
        <f>SUM('G-2.01 Elim B&amp;O'!AT9:AT14)</f>
        <v>1284760.23</v>
      </c>
      <c r="R9" s="1236">
        <f>SUM('G-2.01 Elim B&amp;O'!AU9:AU14)</f>
        <v>820991.59</v>
      </c>
      <c r="S9" s="1236">
        <f>SUM('G-2.01 Elim B&amp;O'!AV9:AV14)</f>
        <v>506037.65000000008</v>
      </c>
      <c r="T9" s="1236">
        <f>SUM('G-2.01 Elim B&amp;O'!AW9:AW14)</f>
        <v>273542.07</v>
      </c>
      <c r="U9" s="1236">
        <f>SUM(I9:T9)</f>
        <v>8540172.6600000001</v>
      </c>
      <c r="X9" s="1260" t="s">
        <v>1017</v>
      </c>
      <c r="AC9" s="224"/>
      <c r="AD9" s="78"/>
      <c r="AH9" s="996" t="s">
        <v>763</v>
      </c>
      <c r="AI9" s="633" t="s">
        <v>1041</v>
      </c>
      <c r="AJ9" s="633" t="s">
        <v>1040</v>
      </c>
      <c r="AK9" s="633"/>
      <c r="AL9" s="1301">
        <v>133817.97</v>
      </c>
      <c r="AM9" s="1301">
        <v>117068.52</v>
      </c>
      <c r="AN9" s="1301">
        <v>122952</v>
      </c>
      <c r="AO9" s="1301">
        <v>148872.82</v>
      </c>
      <c r="AP9" s="1301">
        <v>438117.48</v>
      </c>
      <c r="AQ9" s="1301">
        <v>931473.67</v>
      </c>
      <c r="AR9" s="1301">
        <v>949715.95</v>
      </c>
      <c r="AS9" s="1301">
        <v>752769.37</v>
      </c>
      <c r="AT9" s="1301">
        <v>797827.76</v>
      </c>
      <c r="AU9" s="1301">
        <v>520746.87</v>
      </c>
      <c r="AV9" s="1301">
        <v>321971.28000000003</v>
      </c>
      <c r="AW9" s="1301">
        <v>169991.18</v>
      </c>
      <c r="AX9" s="1300">
        <f t="shared" ref="AX9:AX17" si="0">SUM(AL9:AW9)</f>
        <v>5405324.8700000001</v>
      </c>
      <c r="AY9" s="1299" t="s">
        <v>987</v>
      </c>
      <c r="BC9" s="633" t="s">
        <v>1028</v>
      </c>
      <c r="BD9" s="633" t="s">
        <v>1052</v>
      </c>
      <c r="BF9" s="1304">
        <v>-180.36</v>
      </c>
      <c r="BG9" s="1304">
        <v>-165.61</v>
      </c>
      <c r="BH9" s="1304">
        <v>-168.8</v>
      </c>
      <c r="BI9" s="1304">
        <v>-171.05</v>
      </c>
      <c r="BJ9" s="1304">
        <v>-216.69</v>
      </c>
      <c r="BK9" s="1304">
        <v>-401.7</v>
      </c>
      <c r="BL9" s="1304">
        <v>-454.23</v>
      </c>
      <c r="BM9" s="1304">
        <v>-403.72</v>
      </c>
      <c r="BN9" s="1304">
        <v>-365.22</v>
      </c>
      <c r="BO9" s="1304">
        <v>-350.77</v>
      </c>
      <c r="BP9" s="1304">
        <v>-285.52</v>
      </c>
      <c r="BQ9" s="1304">
        <v>-201.94</v>
      </c>
      <c r="BR9" s="1305">
        <f>SUM(BF9:BQ9)</f>
        <v>-3365.61</v>
      </c>
      <c r="BS9" s="1299" t="s">
        <v>987</v>
      </c>
      <c r="BV9" s="385"/>
      <c r="BW9" s="996" t="s">
        <v>680</v>
      </c>
      <c r="BX9" s="996" t="s">
        <v>683</v>
      </c>
      <c r="BY9" s="1320">
        <f>CB9</f>
        <v>1804744.0999999996</v>
      </c>
      <c r="CA9" s="1320">
        <v>0</v>
      </c>
      <c r="CB9" s="1320">
        <f>CB32</f>
        <v>1804744.0999999996</v>
      </c>
      <c r="CC9" s="1320">
        <v>0</v>
      </c>
    </row>
    <row r="10" spans="1:83" ht="13.5" thickBot="1">
      <c r="A10" s="157" t="s">
        <v>995</v>
      </c>
      <c r="E10" s="1240">
        <f>'G-2.01 Elim B&amp;O'!AC17</f>
        <v>-14410.830000000002</v>
      </c>
      <c r="F10" s="1228"/>
      <c r="I10" s="1236">
        <v>-568.46</v>
      </c>
      <c r="J10" s="1236">
        <v>-347.8</v>
      </c>
      <c r="K10" s="1236">
        <v>-364.11</v>
      </c>
      <c r="L10" s="1236">
        <v>-468.1</v>
      </c>
      <c r="M10" s="1236">
        <v>-569.48</v>
      </c>
      <c r="N10" s="1236">
        <v>-2332.75</v>
      </c>
      <c r="O10" s="1236">
        <v>-2359.33</v>
      </c>
      <c r="P10" s="1236">
        <v>-2030.6100000000001</v>
      </c>
      <c r="Q10" s="1236">
        <v>-1858.64</v>
      </c>
      <c r="R10" s="1236">
        <v>-1612.03</v>
      </c>
      <c r="S10" s="1236">
        <v>-1222.77</v>
      </c>
      <c r="T10" s="1236">
        <v>-676.75</v>
      </c>
      <c r="U10" s="1236">
        <f>SUM(I10:T10)</f>
        <v>-14410.83</v>
      </c>
      <c r="X10" s="224" t="s">
        <v>206</v>
      </c>
      <c r="Y10" s="581">
        <v>1</v>
      </c>
      <c r="Z10" s="1268" t="s">
        <v>1005</v>
      </c>
      <c r="AA10" s="1278">
        <f>'G-2.01 Elim B&amp;O'!AX9</f>
        <v>5405324.8700000001</v>
      </c>
      <c r="AB10" s="1282" t="s">
        <v>1014</v>
      </c>
      <c r="AC10" s="1278">
        <v>-11045.220000000001</v>
      </c>
      <c r="AD10" s="9">
        <f t="shared" ref="AD10:AD16" si="1">AA10+AC10</f>
        <v>5394279.6500000004</v>
      </c>
      <c r="AI10" s="633" t="s">
        <v>1038</v>
      </c>
      <c r="AJ10" s="996" t="s">
        <v>1039</v>
      </c>
      <c r="AK10" s="633"/>
      <c r="AL10" s="1301"/>
      <c r="AM10" s="1301"/>
      <c r="AN10" s="1301"/>
      <c r="AO10" s="1301"/>
      <c r="AP10" s="1301"/>
      <c r="AQ10" s="1301"/>
      <c r="AR10" s="1301"/>
      <c r="AS10" s="1301"/>
      <c r="AT10" s="1301"/>
      <c r="AU10" s="1301"/>
      <c r="AV10" s="1301"/>
      <c r="AW10" s="1301"/>
      <c r="AX10" s="1300">
        <f t="shared" si="0"/>
        <v>0</v>
      </c>
      <c r="AY10" s="1299" t="s">
        <v>987</v>
      </c>
      <c r="BB10" s="996" t="s">
        <v>24</v>
      </c>
      <c r="BF10" s="1306">
        <f t="shared" ref="BF10:BR10" si="2">SUM(BF8:BF9)</f>
        <v>-568.46</v>
      </c>
      <c r="BG10" s="1306">
        <f t="shared" si="2"/>
        <v>-347.8</v>
      </c>
      <c r="BH10" s="1306">
        <f t="shared" si="2"/>
        <v>-364.11</v>
      </c>
      <c r="BI10" s="1306">
        <f t="shared" si="2"/>
        <v>-468.1</v>
      </c>
      <c r="BJ10" s="1306">
        <f t="shared" si="2"/>
        <v>-569.48</v>
      </c>
      <c r="BK10" s="1306">
        <f t="shared" si="2"/>
        <v>-2332.75</v>
      </c>
      <c r="BL10" s="1306">
        <f t="shared" si="2"/>
        <v>-2359.33</v>
      </c>
      <c r="BM10" s="1306">
        <f t="shared" si="2"/>
        <v>-2030.6100000000001</v>
      </c>
      <c r="BN10" s="1306">
        <f t="shared" si="2"/>
        <v>-1858.64</v>
      </c>
      <c r="BO10" s="1306">
        <f>SUM(BO8:BO9)</f>
        <v>-1612.03</v>
      </c>
      <c r="BP10" s="1306">
        <f>SUM(BP8:BP9)</f>
        <v>-1222.77</v>
      </c>
      <c r="BQ10" s="1306">
        <f>SUM(BQ8:BQ9)</f>
        <v>-676.75</v>
      </c>
      <c r="BR10" s="1306">
        <f t="shared" si="2"/>
        <v>-14410.830000000002</v>
      </c>
      <c r="BX10" s="996" t="s">
        <v>676</v>
      </c>
      <c r="BY10" s="1320">
        <f>CC10</f>
        <v>5942062.9100000001</v>
      </c>
      <c r="CA10" s="1320">
        <v>0</v>
      </c>
      <c r="CB10" s="1320">
        <v>0</v>
      </c>
      <c r="CC10" s="1320">
        <f>CC48</f>
        <v>5942062.9100000001</v>
      </c>
    </row>
    <row r="11" spans="1:83" ht="13.5" thickTop="1">
      <c r="A11" s="157" t="s">
        <v>994</v>
      </c>
      <c r="B11" s="1031"/>
      <c r="D11" s="1226" t="s">
        <v>987</v>
      </c>
      <c r="E11" s="1257">
        <f>SUM(E9:E10)</f>
        <v>8525761.8300000001</v>
      </c>
      <c r="F11" s="1228"/>
      <c r="I11" s="1255">
        <f t="shared" ref="I11:U11" si="3">SUM(I9:I10)</f>
        <v>211284.52000000002</v>
      </c>
      <c r="J11" s="1255">
        <f t="shared" si="3"/>
        <v>189040.69</v>
      </c>
      <c r="K11" s="1255">
        <f t="shared" si="3"/>
        <v>197203.73000000004</v>
      </c>
      <c r="L11" s="1255">
        <f t="shared" si="3"/>
        <v>244237.3</v>
      </c>
      <c r="M11" s="1255">
        <f t="shared" si="3"/>
        <v>707296.35</v>
      </c>
      <c r="N11" s="1255">
        <f t="shared" si="3"/>
        <v>1447510.59</v>
      </c>
      <c r="O11" s="1255">
        <f t="shared" si="3"/>
        <v>1501773.3199999998</v>
      </c>
      <c r="P11" s="1255">
        <f t="shared" si="3"/>
        <v>1147453.98</v>
      </c>
      <c r="Q11" s="1255">
        <f t="shared" si="3"/>
        <v>1282901.5900000001</v>
      </c>
      <c r="R11" s="1255">
        <f t="shared" si="3"/>
        <v>819379.55999999994</v>
      </c>
      <c r="S11" s="1255">
        <f t="shared" si="3"/>
        <v>504814.88000000006</v>
      </c>
      <c r="T11" s="1255">
        <f t="shared" si="3"/>
        <v>272865.32</v>
      </c>
      <c r="U11" s="1255">
        <f t="shared" si="3"/>
        <v>8525761.8300000001</v>
      </c>
      <c r="X11" s="224" t="s">
        <v>1016</v>
      </c>
      <c r="Y11" s="581">
        <v>16</v>
      </c>
      <c r="Z11" s="1268" t="s">
        <v>1005</v>
      </c>
      <c r="AA11" s="1278">
        <f>'G-2.01 Elim B&amp;O'!AX10</f>
        <v>0</v>
      </c>
      <c r="AB11" s="1282"/>
      <c r="AC11" s="1278"/>
      <c r="AD11" s="9">
        <f t="shared" si="1"/>
        <v>0</v>
      </c>
      <c r="AI11" s="633" t="s">
        <v>1038</v>
      </c>
      <c r="AJ11" s="633" t="s">
        <v>1037</v>
      </c>
      <c r="AK11" s="633"/>
      <c r="AL11" s="1301">
        <v>75433.73</v>
      </c>
      <c r="AM11" s="1301">
        <v>69668.850000000006</v>
      </c>
      <c r="AN11" s="1301">
        <v>71873.52</v>
      </c>
      <c r="AO11" s="1301">
        <v>92439.93</v>
      </c>
      <c r="AP11" s="1301">
        <v>257730.74</v>
      </c>
      <c r="AQ11" s="1301">
        <v>501815.91</v>
      </c>
      <c r="AR11" s="1301">
        <v>528091.78</v>
      </c>
      <c r="AS11" s="1301">
        <v>383394.37</v>
      </c>
      <c r="AT11" s="1301">
        <v>466002.99</v>
      </c>
      <c r="AU11" s="1301">
        <v>286912.32</v>
      </c>
      <c r="AV11" s="1301">
        <v>174783.06</v>
      </c>
      <c r="AW11" s="1301">
        <v>96933.19</v>
      </c>
      <c r="AX11" s="1300">
        <f t="shared" si="0"/>
        <v>3005080.39</v>
      </c>
      <c r="AY11" s="1299" t="s">
        <v>987</v>
      </c>
      <c r="BX11" s="996" t="s">
        <v>763</v>
      </c>
      <c r="BY11" s="1320">
        <f>CB11</f>
        <v>8702810.4400000013</v>
      </c>
      <c r="BZ11" s="1321" t="s">
        <v>1055</v>
      </c>
      <c r="CA11" s="1320">
        <v>0</v>
      </c>
      <c r="CB11" s="1320">
        <f>CB64</f>
        <v>8702810.4400000013</v>
      </c>
      <c r="CC11" s="1320">
        <v>0</v>
      </c>
    </row>
    <row r="12" spans="1:83">
      <c r="E12" s="1228"/>
      <c r="F12" s="1228"/>
      <c r="I12" s="1236"/>
      <c r="J12" s="1236"/>
      <c r="K12" s="1236"/>
      <c r="L12" s="1236"/>
      <c r="M12" s="1236"/>
      <c r="N12" s="1236"/>
      <c r="O12" s="1236"/>
      <c r="P12" s="1236"/>
      <c r="Q12" s="1236"/>
      <c r="R12" s="1236"/>
      <c r="S12" s="1236"/>
      <c r="T12" s="1236"/>
      <c r="U12" s="1236"/>
      <c r="X12" s="224" t="s">
        <v>1015</v>
      </c>
      <c r="Y12" s="581">
        <v>21</v>
      </c>
      <c r="Z12" s="1268" t="s">
        <v>1005</v>
      </c>
      <c r="AA12" s="1278">
        <f>'G-2.01 Elim B&amp;O'!AX11</f>
        <v>3005080.39</v>
      </c>
      <c r="AB12" s="1282" t="s">
        <v>1014</v>
      </c>
      <c r="AC12" s="1278">
        <v>-3365.61</v>
      </c>
      <c r="AD12" s="9">
        <f t="shared" si="1"/>
        <v>3001714.7800000003</v>
      </c>
      <c r="AI12" s="633" t="s">
        <v>1036</v>
      </c>
      <c r="AJ12" s="633" t="s">
        <v>1035</v>
      </c>
      <c r="AK12" s="633"/>
      <c r="AL12" s="1301">
        <v>1718.23</v>
      </c>
      <c r="AM12" s="1301">
        <v>1725.97</v>
      </c>
      <c r="AN12" s="1301">
        <v>1787.06</v>
      </c>
      <c r="AO12" s="1301">
        <v>2159.2800000000002</v>
      </c>
      <c r="AP12" s="1301">
        <v>6985.27</v>
      </c>
      <c r="AQ12" s="1301">
        <v>9080.35</v>
      </c>
      <c r="AR12" s="1301">
        <v>18438.98</v>
      </c>
      <c r="AS12" s="1301">
        <v>8228.85</v>
      </c>
      <c r="AT12" s="1301">
        <v>13575.8</v>
      </c>
      <c r="AU12" s="1301">
        <v>9156.1299999999992</v>
      </c>
      <c r="AV12" s="1301">
        <v>6848.03</v>
      </c>
      <c r="AW12" s="1301">
        <v>5291.81</v>
      </c>
      <c r="AX12" s="1300">
        <f t="shared" si="0"/>
        <v>84995.76</v>
      </c>
      <c r="AY12" s="1299" t="s">
        <v>987</v>
      </c>
      <c r="BY12" s="1318">
        <f>SUM(BY9:BY11)</f>
        <v>16449617.450000001</v>
      </c>
      <c r="BZ12" s="1319"/>
      <c r="CA12" s="1318">
        <f>SUM(CA9:CA11)</f>
        <v>0</v>
      </c>
      <c r="CB12" s="1318">
        <f>SUM(CB9:CB11)</f>
        <v>10507554.540000001</v>
      </c>
      <c r="CC12" s="1318">
        <f>SUM(CC9:CC11)</f>
        <v>5942062.9100000001</v>
      </c>
    </row>
    <row r="13" spans="1:83">
      <c r="A13" s="1031" t="s">
        <v>997</v>
      </c>
      <c r="E13" s="1228"/>
      <c r="F13" s="1228"/>
      <c r="I13" s="1236"/>
      <c r="J13" s="1236"/>
      <c r="K13" s="1236"/>
      <c r="L13" s="1236"/>
      <c r="M13" s="1236"/>
      <c r="N13" s="1236"/>
      <c r="O13" s="1236"/>
      <c r="P13" s="1236"/>
      <c r="Q13" s="1236"/>
      <c r="R13" s="1236"/>
      <c r="S13" s="1236"/>
      <c r="T13" s="1236"/>
      <c r="U13" s="1236"/>
      <c r="X13" s="224" t="s">
        <v>1013</v>
      </c>
      <c r="Y13" s="581">
        <v>22</v>
      </c>
      <c r="Z13" s="1268" t="s">
        <v>1005</v>
      </c>
      <c r="AA13" s="1278">
        <f>'G-2.01 Elim B&amp;O'!AX12</f>
        <v>84995.76</v>
      </c>
      <c r="AB13" s="1282"/>
      <c r="AC13" s="1276"/>
      <c r="AD13" s="9">
        <f t="shared" si="1"/>
        <v>84995.76</v>
      </c>
      <c r="AI13" s="633" t="s">
        <v>1033</v>
      </c>
      <c r="AJ13" s="996" t="s">
        <v>1034</v>
      </c>
      <c r="AL13" s="1301"/>
      <c r="AM13" s="1301"/>
      <c r="AN13" s="1301"/>
      <c r="AO13" s="1301"/>
      <c r="AP13" s="1301"/>
      <c r="AQ13" s="1301"/>
      <c r="AR13" s="1301"/>
      <c r="AS13" s="1301"/>
      <c r="AT13" s="1301"/>
      <c r="AU13" s="1301"/>
      <c r="AV13" s="1301"/>
      <c r="AW13" s="1301"/>
      <c r="AX13" s="1300">
        <f t="shared" si="0"/>
        <v>0</v>
      </c>
      <c r="AY13" s="1299" t="s">
        <v>987</v>
      </c>
      <c r="BY13" s="1316"/>
      <c r="BZ13" s="1317"/>
      <c r="CA13" s="1316"/>
      <c r="CB13" s="1316"/>
      <c r="CC13" s="1316"/>
    </row>
    <row r="14" spans="1:83" ht="13.5" thickBot="1">
      <c r="A14" s="157" t="s">
        <v>996</v>
      </c>
      <c r="E14" s="1228">
        <f>'G-2.01 Elim B&amp;O'!AA22</f>
        <v>119930.32999999999</v>
      </c>
      <c r="F14" s="1228"/>
      <c r="I14" s="1236">
        <f>SUM('G-2.01 Elim B&amp;O'!AL16:AL17)</f>
        <v>7795.99</v>
      </c>
      <c r="J14" s="1236">
        <f>SUM('G-2.01 Elim B&amp;O'!AM16:AM17)</f>
        <v>6752.2</v>
      </c>
      <c r="K14" s="1236">
        <f>SUM('G-2.01 Elim B&amp;O'!AN16:AN17)</f>
        <v>8144.68</v>
      </c>
      <c r="L14" s="1236">
        <f>SUM('G-2.01 Elim B&amp;O'!AO16:AO17)</f>
        <v>7038.36</v>
      </c>
      <c r="M14" s="1236">
        <f>SUM('G-2.01 Elim B&amp;O'!AP16:AP17)</f>
        <v>8556.630000000001</v>
      </c>
      <c r="N14" s="1236">
        <f>SUM('G-2.01 Elim B&amp;O'!AQ16:AQ17)</f>
        <v>13441.689999999999</v>
      </c>
      <c r="O14" s="1236">
        <f>SUM('G-2.01 Elim B&amp;O'!AR16:AR17)</f>
        <v>15054.23</v>
      </c>
      <c r="P14" s="1236">
        <f>SUM('G-2.01 Elim B&amp;O'!AS16:AS17)</f>
        <v>12507.3</v>
      </c>
      <c r="Q14" s="1236">
        <f>SUM('G-2.01 Elim B&amp;O'!AT16:AT17)</f>
        <v>12469.07</v>
      </c>
      <c r="R14" s="1236">
        <f>SUM('G-2.01 Elim B&amp;O'!AU16:AU17)</f>
        <v>10753.1</v>
      </c>
      <c r="S14" s="1236">
        <f>SUM('G-2.01 Elim B&amp;O'!AV16:AV17)</f>
        <v>10029.74</v>
      </c>
      <c r="T14" s="1236">
        <f>SUM('G-2.01 Elim B&amp;O'!AW16:AW17)</f>
        <v>7387.34</v>
      </c>
      <c r="U14" s="1236">
        <f>SUM(I14:T14)</f>
        <v>119930.33</v>
      </c>
      <c r="X14" s="224" t="s">
        <v>1012</v>
      </c>
      <c r="Y14" s="581">
        <v>17</v>
      </c>
      <c r="Z14" s="1268" t="s">
        <v>1005</v>
      </c>
      <c r="AA14" s="1278">
        <f>'G-2.01 Elim B&amp;O'!AX13</f>
        <v>0</v>
      </c>
      <c r="AB14" s="1282"/>
      <c r="AC14" s="1276"/>
      <c r="AD14" s="9">
        <f t="shared" si="1"/>
        <v>0</v>
      </c>
      <c r="AI14" s="633" t="s">
        <v>1033</v>
      </c>
      <c r="AJ14" s="633" t="s">
        <v>1032</v>
      </c>
      <c r="AK14" s="633"/>
      <c r="AL14" s="1301">
        <v>883.05</v>
      </c>
      <c r="AM14" s="1301">
        <v>925.15</v>
      </c>
      <c r="AN14" s="1301">
        <v>955.26</v>
      </c>
      <c r="AO14" s="1301">
        <v>1233.3699999999999</v>
      </c>
      <c r="AP14" s="1301">
        <v>5032.34</v>
      </c>
      <c r="AQ14" s="1301">
        <v>7473.41</v>
      </c>
      <c r="AR14" s="1301">
        <v>7885.94</v>
      </c>
      <c r="AS14" s="1301">
        <v>5092</v>
      </c>
      <c r="AT14" s="1301">
        <v>7353.68</v>
      </c>
      <c r="AU14" s="1301">
        <v>4176.2700000000004</v>
      </c>
      <c r="AV14" s="1301">
        <v>2435.2800000000002</v>
      </c>
      <c r="AW14" s="1301">
        <v>1325.89</v>
      </c>
      <c r="AX14" s="1300">
        <f t="shared" si="0"/>
        <v>44771.64</v>
      </c>
      <c r="AY14" s="1299" t="s">
        <v>987</v>
      </c>
      <c r="BV14" s="996" t="s">
        <v>24</v>
      </c>
      <c r="BY14" s="1314">
        <f>SUM(BY12,BY7)</f>
        <v>41009194.060000002</v>
      </c>
      <c r="BZ14" s="1315"/>
      <c r="CA14" s="1314">
        <f>SUM(CA12,CA7)</f>
        <v>24559576.610000003</v>
      </c>
      <c r="CB14" s="1314">
        <f>SUM(CB12,CB7)</f>
        <v>10507554.540000001</v>
      </c>
      <c r="CC14" s="1314">
        <f>SUM(CC12,CC7)</f>
        <v>5942062.9100000001</v>
      </c>
    </row>
    <row r="15" spans="1:83" ht="13.5" thickTop="1">
      <c r="A15" s="157" t="s">
        <v>995</v>
      </c>
      <c r="E15" s="1228">
        <f>'G-2.01 Elim B&amp;O'!AC22</f>
        <v>0</v>
      </c>
      <c r="F15" s="1228"/>
      <c r="I15" s="1236"/>
      <c r="J15" s="1236"/>
      <c r="K15" s="1236"/>
      <c r="L15" s="1236"/>
      <c r="M15" s="1236"/>
      <c r="N15" s="1236"/>
      <c r="O15" s="1236"/>
      <c r="P15" s="1236"/>
      <c r="Q15" s="1236"/>
      <c r="R15" s="1236"/>
      <c r="S15" s="1236"/>
      <c r="T15" s="1236"/>
      <c r="U15" s="1236"/>
      <c r="X15" s="224" t="s">
        <v>1011</v>
      </c>
      <c r="Y15" s="581">
        <v>31</v>
      </c>
      <c r="Z15" s="1268" t="s">
        <v>1005</v>
      </c>
      <c r="AA15" s="1278">
        <f>'G-2.01 Elim B&amp;O'!AX14</f>
        <v>44771.64</v>
      </c>
      <c r="AB15" s="1282"/>
      <c r="AC15" s="1276"/>
      <c r="AD15" s="9">
        <f t="shared" si="1"/>
        <v>44771.64</v>
      </c>
      <c r="AI15" s="633" t="s">
        <v>1031</v>
      </c>
      <c r="AJ15" s="633" t="s">
        <v>1030</v>
      </c>
      <c r="AK15" s="633"/>
      <c r="AL15" s="1301">
        <v>3.06</v>
      </c>
      <c r="AM15" s="1301">
        <v>1.4</v>
      </c>
      <c r="AN15" s="1301">
        <v>1.4</v>
      </c>
      <c r="AO15" s="1301">
        <v>1.4</v>
      </c>
      <c r="AP15" s="1301">
        <v>5.69</v>
      </c>
      <c r="AQ15" s="1301">
        <v>18.43</v>
      </c>
      <c r="AR15" s="1301">
        <v>16.920000000000002</v>
      </c>
      <c r="AS15" s="1301">
        <v>13.73</v>
      </c>
      <c r="AT15" s="1301">
        <v>13.19</v>
      </c>
      <c r="AU15" s="1301">
        <v>6.7</v>
      </c>
      <c r="AV15" s="1301">
        <v>6.82</v>
      </c>
      <c r="AW15" s="1301">
        <v>0</v>
      </c>
      <c r="AX15" s="1300">
        <f t="shared" si="0"/>
        <v>88.740000000000009</v>
      </c>
      <c r="AY15" s="1299" t="s">
        <v>987</v>
      </c>
    </row>
    <row r="16" spans="1:83" ht="13.5" thickBot="1">
      <c r="A16" s="157" t="s">
        <v>994</v>
      </c>
      <c r="E16" s="1256">
        <f>SUM(E14:E15)</f>
        <v>119930.32999999999</v>
      </c>
      <c r="F16" s="1228"/>
      <c r="I16" s="1255">
        <f t="shared" ref="I16:U16" si="4">SUM(I14:I15)</f>
        <v>7795.99</v>
      </c>
      <c r="J16" s="1255">
        <f t="shared" si="4"/>
        <v>6752.2</v>
      </c>
      <c r="K16" s="1255">
        <f t="shared" si="4"/>
        <v>8144.68</v>
      </c>
      <c r="L16" s="1255">
        <f t="shared" si="4"/>
        <v>7038.36</v>
      </c>
      <c r="M16" s="1255">
        <f t="shared" si="4"/>
        <v>8556.630000000001</v>
      </c>
      <c r="N16" s="1255">
        <f t="shared" si="4"/>
        <v>13441.689999999999</v>
      </c>
      <c r="O16" s="1255">
        <f t="shared" si="4"/>
        <v>15054.23</v>
      </c>
      <c r="P16" s="1255">
        <f t="shared" si="4"/>
        <v>12507.3</v>
      </c>
      <c r="Q16" s="1255">
        <f t="shared" si="4"/>
        <v>12469.07</v>
      </c>
      <c r="R16" s="1255">
        <f t="shared" si="4"/>
        <v>10753.1</v>
      </c>
      <c r="S16" s="1255">
        <f t="shared" si="4"/>
        <v>10029.74</v>
      </c>
      <c r="T16" s="1255">
        <f t="shared" si="4"/>
        <v>7387.34</v>
      </c>
      <c r="U16" s="1255">
        <f t="shared" si="4"/>
        <v>119930.33</v>
      </c>
      <c r="X16" s="224" t="s">
        <v>1010</v>
      </c>
      <c r="Y16" s="581">
        <v>41</v>
      </c>
      <c r="Z16" s="1268"/>
      <c r="AA16" s="1281">
        <v>0</v>
      </c>
      <c r="AB16" s="1277"/>
      <c r="AC16" s="1276"/>
      <c r="AD16" s="9">
        <f t="shared" si="1"/>
        <v>0</v>
      </c>
      <c r="AI16" s="633" t="s">
        <v>1028</v>
      </c>
      <c r="AJ16" s="633" t="s">
        <v>1029</v>
      </c>
      <c r="AK16" s="633"/>
      <c r="AL16" s="1301">
        <v>5096.9799999999996</v>
      </c>
      <c r="AM16" s="1301">
        <v>4179.7</v>
      </c>
      <c r="AN16" s="1301">
        <v>4179.45</v>
      </c>
      <c r="AO16" s="1301">
        <v>4685.8599999999997</v>
      </c>
      <c r="AP16" s="1301">
        <v>5944.81</v>
      </c>
      <c r="AQ16" s="1301">
        <v>10467.56</v>
      </c>
      <c r="AR16" s="1301">
        <v>11763.34</v>
      </c>
      <c r="AS16" s="1301">
        <v>9012.09</v>
      </c>
      <c r="AT16" s="1301">
        <v>9116.4599999999991</v>
      </c>
      <c r="AU16" s="1301">
        <v>8640.94</v>
      </c>
      <c r="AV16" s="1301">
        <v>6863.9</v>
      </c>
      <c r="AW16" s="1301">
        <v>4647.71</v>
      </c>
      <c r="AX16" s="1300">
        <f t="shared" si="0"/>
        <v>84598.799999999988</v>
      </c>
      <c r="AY16" s="1299" t="s">
        <v>987</v>
      </c>
      <c r="BV16" s="385" t="s">
        <v>1054</v>
      </c>
    </row>
    <row r="17" spans="1:80" ht="14" thickTop="1" thickBot="1">
      <c r="A17" s="157"/>
      <c r="E17" s="1254"/>
      <c r="F17" s="1228"/>
      <c r="I17" s="1236"/>
      <c r="J17" s="1236"/>
      <c r="K17" s="1236"/>
      <c r="L17" s="1236"/>
      <c r="M17" s="1236"/>
      <c r="N17" s="1236"/>
      <c r="O17" s="1236"/>
      <c r="P17" s="1236"/>
      <c r="Q17" s="1236"/>
      <c r="R17" s="1236"/>
      <c r="S17" s="1236"/>
      <c r="T17" s="1236"/>
      <c r="U17" s="1236"/>
      <c r="X17" s="224" t="s">
        <v>1009</v>
      </c>
      <c r="Y17" s="581"/>
      <c r="Z17" s="1268"/>
      <c r="AA17" s="1279">
        <f>SUM(AA10:AA16)</f>
        <v>8540172.6600000001</v>
      </c>
      <c r="AB17" s="1280"/>
      <c r="AC17" s="1279">
        <f>SUM(AC10:AC16)</f>
        <v>-14410.830000000002</v>
      </c>
      <c r="AD17" s="1273">
        <f>SUM(AD10:AD16)</f>
        <v>8525761.8300000001</v>
      </c>
      <c r="AI17" s="633" t="s">
        <v>1028</v>
      </c>
      <c r="AJ17" s="633" t="s">
        <v>1027</v>
      </c>
      <c r="AK17" s="633"/>
      <c r="AL17" s="1301">
        <v>2699.01</v>
      </c>
      <c r="AM17" s="1301">
        <v>2572.5</v>
      </c>
      <c r="AN17" s="1301">
        <v>3965.23</v>
      </c>
      <c r="AO17" s="1301">
        <v>2352.5</v>
      </c>
      <c r="AP17" s="1301">
        <v>2611.8200000000002</v>
      </c>
      <c r="AQ17" s="1301">
        <v>2974.13</v>
      </c>
      <c r="AR17" s="1301">
        <v>3290.89</v>
      </c>
      <c r="AS17" s="1301">
        <v>3495.21</v>
      </c>
      <c r="AT17" s="1301">
        <v>3352.61</v>
      </c>
      <c r="AU17" s="1301">
        <v>2112.16</v>
      </c>
      <c r="AV17" s="1301">
        <v>3165.84</v>
      </c>
      <c r="AW17" s="1301">
        <v>2739.63</v>
      </c>
      <c r="AX17" s="1300">
        <f t="shared" si="0"/>
        <v>35331.53</v>
      </c>
      <c r="AY17" s="1299" t="s">
        <v>987</v>
      </c>
    </row>
    <row r="18" spans="1:80" ht="14" thickTop="1" thickBot="1">
      <c r="A18" s="1252" t="s">
        <v>993</v>
      </c>
      <c r="E18" s="1228"/>
      <c r="F18" s="1228">
        <f>SUM(E11,E16)</f>
        <v>8645692.1600000001</v>
      </c>
      <c r="I18" s="1253">
        <f t="shared" ref="I18:U18" si="5">SUM(I11,I16)</f>
        <v>219080.51</v>
      </c>
      <c r="J18" s="1253">
        <f t="shared" si="5"/>
        <v>195792.89</v>
      </c>
      <c r="K18" s="1253">
        <f t="shared" si="5"/>
        <v>205348.41000000003</v>
      </c>
      <c r="L18" s="1253">
        <f t="shared" si="5"/>
        <v>251275.65999999997</v>
      </c>
      <c r="M18" s="1253">
        <f t="shared" si="5"/>
        <v>715852.98</v>
      </c>
      <c r="N18" s="1253">
        <f t="shared" si="5"/>
        <v>1460952.28</v>
      </c>
      <c r="O18" s="1253">
        <f t="shared" si="5"/>
        <v>1516827.5499999998</v>
      </c>
      <c r="P18" s="1253">
        <f t="shared" si="5"/>
        <v>1159961.28</v>
      </c>
      <c r="Q18" s="1253">
        <f t="shared" si="5"/>
        <v>1295370.6600000001</v>
      </c>
      <c r="R18" s="1253">
        <f t="shared" si="5"/>
        <v>830132.65999999992</v>
      </c>
      <c r="S18" s="1253">
        <f t="shared" si="5"/>
        <v>514844.62000000005</v>
      </c>
      <c r="T18" s="1253">
        <f t="shared" si="5"/>
        <v>280252.66000000003</v>
      </c>
      <c r="U18" s="1253">
        <f t="shared" si="5"/>
        <v>8645692.1600000001</v>
      </c>
      <c r="AA18" s="1278"/>
      <c r="AB18" s="1277"/>
      <c r="AC18" s="1278"/>
      <c r="AD18" s="9"/>
      <c r="AL18" s="1297">
        <f t="shared" ref="AL18:AX18" si="6">SUM(AL9:AL17)</f>
        <v>219652.03000000003</v>
      </c>
      <c r="AM18" s="1297">
        <f t="shared" si="6"/>
        <v>196142.09</v>
      </c>
      <c r="AN18" s="1297">
        <f t="shared" si="6"/>
        <v>205713.92000000004</v>
      </c>
      <c r="AO18" s="1297">
        <f t="shared" si="6"/>
        <v>251745.15999999997</v>
      </c>
      <c r="AP18" s="1297">
        <f t="shared" si="6"/>
        <v>716428.14999999991</v>
      </c>
      <c r="AQ18" s="1297">
        <f t="shared" si="6"/>
        <v>1463303.46</v>
      </c>
      <c r="AR18" s="1297">
        <f t="shared" si="6"/>
        <v>1519203.7999999998</v>
      </c>
      <c r="AS18" s="1297">
        <f t="shared" si="6"/>
        <v>1162005.6200000001</v>
      </c>
      <c r="AT18" s="1297">
        <f t="shared" si="6"/>
        <v>1297242.49</v>
      </c>
      <c r="AU18" s="1297">
        <f t="shared" si="6"/>
        <v>831751.3899999999</v>
      </c>
      <c r="AV18" s="1297">
        <f t="shared" si="6"/>
        <v>516074.21000000014</v>
      </c>
      <c r="AW18" s="1297">
        <f t="shared" si="6"/>
        <v>280929.41000000003</v>
      </c>
      <c r="AX18" s="1297">
        <f t="shared" si="6"/>
        <v>8660191.7300000004</v>
      </c>
      <c r="CA18" s="1312" t="s">
        <v>681</v>
      </c>
      <c r="CB18" s="1312" t="s">
        <v>680</v>
      </c>
    </row>
    <row r="19" spans="1:80">
      <c r="A19" s="1252"/>
      <c r="E19" s="1228"/>
      <c r="F19" s="1228"/>
      <c r="I19" s="1236"/>
      <c r="J19" s="1236"/>
      <c r="K19" s="1236"/>
      <c r="L19" s="1236"/>
      <c r="M19" s="1236"/>
      <c r="N19" s="1236"/>
      <c r="O19" s="1236"/>
      <c r="P19" s="1236"/>
      <c r="Q19" s="1236"/>
      <c r="R19" s="1236"/>
      <c r="S19" s="1236"/>
      <c r="T19" s="1236"/>
      <c r="U19" s="1236"/>
      <c r="X19" s="224" t="s">
        <v>1008</v>
      </c>
      <c r="AA19" s="1278"/>
      <c r="AB19" s="1277"/>
      <c r="AC19" s="1278"/>
      <c r="AD19" s="9"/>
      <c r="AL19" s="1298"/>
      <c r="AM19" s="1298"/>
      <c r="AN19" s="1298"/>
      <c r="AO19" s="1298"/>
      <c r="AP19" s="1298"/>
      <c r="AQ19" s="1298"/>
      <c r="AR19" s="1298"/>
      <c r="AS19" s="1298"/>
      <c r="AT19" s="1298"/>
      <c r="AU19" s="1298"/>
      <c r="AV19" s="1298"/>
      <c r="AW19" s="1298"/>
      <c r="AX19" s="1298"/>
      <c r="BL19" s="1307"/>
      <c r="CA19" s="1312" t="s">
        <v>683</v>
      </c>
      <c r="CB19" s="1312" t="s">
        <v>683</v>
      </c>
    </row>
    <row r="20" spans="1:80" ht="13.5" thickBot="1">
      <c r="A20" s="1031" t="s">
        <v>990</v>
      </c>
      <c r="D20" s="1226" t="s">
        <v>992</v>
      </c>
      <c r="E20" s="1251">
        <f>'G-2.01 Elim B&amp;O'!CB11</f>
        <v>8702810.4400000013</v>
      </c>
      <c r="F20" s="1228"/>
      <c r="G20" s="1250">
        <v>3720326.1900000004</v>
      </c>
      <c r="I20" s="1236">
        <f>'G-2.01 Elim B&amp;O'!CB52</f>
        <v>219260.36</v>
      </c>
      <c r="J20" s="1236">
        <f>'G-2.01 Elim B&amp;O'!CB53</f>
        <v>195478.83</v>
      </c>
      <c r="K20" s="1236">
        <f>'G-2.01 Elim B&amp;O'!CB54</f>
        <v>329402.90999999997</v>
      </c>
      <c r="L20" s="1236">
        <f>'G-2.01 Elim B&amp;O'!CB55</f>
        <v>133676.69</v>
      </c>
      <c r="M20" s="1236">
        <f>'G-2.01 Elim B&amp;O'!CB56</f>
        <v>273047.13</v>
      </c>
      <c r="N20" s="1236">
        <f>'G-2.01 Elim B&amp;O'!CB57</f>
        <v>1895544.21</v>
      </c>
      <c r="O20" s="1236">
        <f>'G-2.01 Elim B&amp;O'!CB58</f>
        <v>1523666.05</v>
      </c>
      <c r="P20" s="1236">
        <f>'G-2.01 Elim B&amp;O'!CB59</f>
        <v>1164171.8999999999</v>
      </c>
      <c r="Q20" s="1236">
        <f>'G-2.01 Elim B&amp;O'!CB60</f>
        <v>1299483.56</v>
      </c>
      <c r="R20" s="1236">
        <f>'G-2.01 Elim B&amp;O'!CB61</f>
        <v>834791.73</v>
      </c>
      <c r="S20" s="1236">
        <f>'G-2.01 Elim B&amp;O'!CB62</f>
        <v>551297.34</v>
      </c>
      <c r="T20" s="1236">
        <f>'G-2.01 Elim B&amp;O'!CB63</f>
        <v>282989.73</v>
      </c>
      <c r="U20" s="1236">
        <f>SUM(I20:T20)</f>
        <v>8702810.4400000013</v>
      </c>
      <c r="X20" s="224" t="s">
        <v>1007</v>
      </c>
      <c r="Y20" s="581">
        <v>91</v>
      </c>
      <c r="Z20" s="1268" t="s">
        <v>1005</v>
      </c>
      <c r="AA20" s="1278">
        <f>'G-2.01 Elim B&amp;O'!AX16</f>
        <v>84598.799999999988</v>
      </c>
      <c r="AB20" s="1277"/>
      <c r="AC20" s="1276"/>
      <c r="AD20" s="9">
        <f>AA20+AC20</f>
        <v>84598.799999999988</v>
      </c>
      <c r="AH20" s="996" t="s">
        <v>24</v>
      </c>
      <c r="AL20" s="1297">
        <f t="shared" ref="AL20:AX20" si="7">SUM(AL18)</f>
        <v>219652.03000000003</v>
      </c>
      <c r="AM20" s="1297">
        <f t="shared" si="7"/>
        <v>196142.09</v>
      </c>
      <c r="AN20" s="1297">
        <f t="shared" si="7"/>
        <v>205713.92000000004</v>
      </c>
      <c r="AO20" s="1297">
        <f t="shared" si="7"/>
        <v>251745.15999999997</v>
      </c>
      <c r="AP20" s="1297">
        <f t="shared" si="7"/>
        <v>716428.14999999991</v>
      </c>
      <c r="AQ20" s="1297">
        <f t="shared" si="7"/>
        <v>1463303.46</v>
      </c>
      <c r="AR20" s="1297">
        <f t="shared" si="7"/>
        <v>1519203.7999999998</v>
      </c>
      <c r="AS20" s="1297">
        <f t="shared" si="7"/>
        <v>1162005.6200000001</v>
      </c>
      <c r="AT20" s="1297">
        <f t="shared" si="7"/>
        <v>1297242.49</v>
      </c>
      <c r="AU20" s="1297">
        <f t="shared" si="7"/>
        <v>831751.3899999999</v>
      </c>
      <c r="AV20" s="1297">
        <f t="shared" si="7"/>
        <v>516074.21000000014</v>
      </c>
      <c r="AW20" s="1297">
        <f t="shared" si="7"/>
        <v>280929.41000000003</v>
      </c>
      <c r="AX20" s="1297">
        <f t="shared" si="7"/>
        <v>8660191.7300000004</v>
      </c>
      <c r="BZ20" s="1311">
        <v>202207</v>
      </c>
      <c r="CA20" s="1308">
        <v>289244.11</v>
      </c>
      <c r="CB20" s="1308">
        <v>47548.15</v>
      </c>
    </row>
    <row r="21" spans="1:80" ht="14" thickTop="1" thickBot="1">
      <c r="A21" s="478" t="s">
        <v>991</v>
      </c>
      <c r="E21" s="1249">
        <v>0</v>
      </c>
      <c r="F21" s="1228"/>
      <c r="G21" s="1248">
        <v>0</v>
      </c>
      <c r="I21" s="1236"/>
      <c r="J21" s="1236"/>
      <c r="K21" s="1236"/>
      <c r="L21" s="1236"/>
      <c r="M21" s="1236"/>
      <c r="N21" s="1236"/>
      <c r="O21" s="1236"/>
      <c r="P21" s="1236"/>
      <c r="Q21" s="1236"/>
      <c r="R21" s="1236"/>
      <c r="S21" s="1236"/>
      <c r="T21" s="1236"/>
      <c r="U21" s="1236"/>
      <c r="X21" s="224" t="s">
        <v>1022</v>
      </c>
      <c r="Y21" s="581">
        <v>92</v>
      </c>
      <c r="Z21" s="1268" t="s">
        <v>1005</v>
      </c>
      <c r="AA21" s="1278">
        <f>'G-2.01 Elim B&amp;O'!AX17</f>
        <v>35331.53</v>
      </c>
      <c r="AB21" s="1277"/>
      <c r="AC21" s="1276"/>
      <c r="AD21" s="9">
        <f>AA21+AC21</f>
        <v>35331.53</v>
      </c>
      <c r="BZ21" s="1311">
        <v>202208</v>
      </c>
      <c r="CA21" s="1308">
        <v>347140.15</v>
      </c>
      <c r="CB21" s="1308">
        <v>39517.839999999997</v>
      </c>
    </row>
    <row r="22" spans="1:80" ht="14" thickTop="1" thickBot="1">
      <c r="A22" s="478" t="s">
        <v>990</v>
      </c>
      <c r="E22" s="1247">
        <f>SUM(E20:E21)</f>
        <v>8702810.4400000013</v>
      </c>
      <c r="F22" s="1228"/>
      <c r="G22" s="1246">
        <v>3212542.52</v>
      </c>
      <c r="I22" s="1245">
        <f t="shared" ref="I22:U22" si="8">SUM(I20:I21)</f>
        <v>219260.36</v>
      </c>
      <c r="J22" s="1245">
        <f t="shared" si="8"/>
        <v>195478.83</v>
      </c>
      <c r="K22" s="1245">
        <f t="shared" si="8"/>
        <v>329402.90999999997</v>
      </c>
      <c r="L22" s="1245">
        <f t="shared" si="8"/>
        <v>133676.69</v>
      </c>
      <c r="M22" s="1245">
        <f t="shared" si="8"/>
        <v>273047.13</v>
      </c>
      <c r="N22" s="1245">
        <f t="shared" si="8"/>
        <v>1895544.21</v>
      </c>
      <c r="O22" s="1245">
        <f t="shared" si="8"/>
        <v>1523666.05</v>
      </c>
      <c r="P22" s="1245">
        <f t="shared" si="8"/>
        <v>1164171.8999999999</v>
      </c>
      <c r="Q22" s="1245">
        <f t="shared" si="8"/>
        <v>1299483.56</v>
      </c>
      <c r="R22" s="1245">
        <f t="shared" si="8"/>
        <v>834791.73</v>
      </c>
      <c r="S22" s="1245">
        <f t="shared" si="8"/>
        <v>551297.34</v>
      </c>
      <c r="T22" s="1245">
        <f t="shared" si="8"/>
        <v>282989.73</v>
      </c>
      <c r="U22" s="1245">
        <f t="shared" si="8"/>
        <v>8702810.4400000013</v>
      </c>
      <c r="X22" s="224" t="s">
        <v>1006</v>
      </c>
      <c r="AA22" s="1274">
        <f>SUM(AA20:AA21)</f>
        <v>119930.32999999999</v>
      </c>
      <c r="AB22" s="1275"/>
      <c r="AC22" s="1274">
        <f>SUM(AC20:AC21)</f>
        <v>0</v>
      </c>
      <c r="AD22" s="1273">
        <f>SUM(AD20:AD21)</f>
        <v>119930.32999999999</v>
      </c>
      <c r="BZ22" s="1311">
        <v>202209</v>
      </c>
      <c r="CA22" s="1308">
        <v>205674.56</v>
      </c>
      <c r="CB22" s="1308">
        <v>41688.559999999998</v>
      </c>
    </row>
    <row r="23" spans="1:80" ht="13.5" thickTop="1">
      <c r="A23" s="1244" t="s">
        <v>110</v>
      </c>
      <c r="E23" s="1228"/>
      <c r="F23" s="1228"/>
      <c r="G23" s="477"/>
      <c r="I23" s="1236"/>
      <c r="J23" s="1236"/>
      <c r="K23" s="1236"/>
      <c r="L23" s="1236"/>
      <c r="M23" s="1236"/>
      <c r="N23" s="1236"/>
      <c r="O23" s="1236"/>
      <c r="P23" s="1236"/>
      <c r="Q23" s="1236"/>
      <c r="R23" s="1236"/>
      <c r="S23" s="1236"/>
      <c r="T23" s="1236"/>
      <c r="U23" s="1236"/>
      <c r="X23" s="581" t="s">
        <v>198</v>
      </c>
      <c r="AA23" s="1271">
        <f>AA17+AA22</f>
        <v>8660102.9900000002</v>
      </c>
      <c r="AB23" s="1272"/>
      <c r="AC23" s="1271">
        <f>AC17+AC22</f>
        <v>-14410.830000000002</v>
      </c>
      <c r="AD23" s="9">
        <f>AD17+AD22</f>
        <v>8645692.1600000001</v>
      </c>
      <c r="BZ23" s="1311">
        <v>202210</v>
      </c>
      <c r="CA23" s="1308">
        <v>379230.33</v>
      </c>
      <c r="CB23" s="1308">
        <v>53832.47</v>
      </c>
    </row>
    <row r="24" spans="1:80">
      <c r="A24" s="478" t="s">
        <v>989</v>
      </c>
      <c r="B24" s="1031"/>
      <c r="C24" s="1031"/>
      <c r="E24" s="1243"/>
      <c r="F24" s="1228"/>
      <c r="G24" s="1242"/>
      <c r="I24" s="1236"/>
      <c r="J24" s="1236"/>
      <c r="K24" s="1236"/>
      <c r="L24" s="1236"/>
      <c r="M24" s="1236"/>
      <c r="N24" s="1236"/>
      <c r="O24" s="1236"/>
      <c r="P24" s="1236"/>
      <c r="Q24" s="1236"/>
      <c r="R24" s="1236"/>
      <c r="S24" s="1236"/>
      <c r="T24" s="1236"/>
      <c r="U24" s="1236"/>
      <c r="X24" s="1265" t="s">
        <v>1021</v>
      </c>
      <c r="Y24" s="1267">
        <v>80</v>
      </c>
      <c r="Z24" s="1268" t="s">
        <v>1005</v>
      </c>
      <c r="AA24" s="1269">
        <f>'G-2.01 Elim B&amp;O'!AX15</f>
        <v>88.740000000000009</v>
      </c>
      <c r="AB24" s="1270"/>
      <c r="AC24" s="1269">
        <v>0</v>
      </c>
      <c r="AD24" s="1284">
        <f>AA24+AC24</f>
        <v>88.740000000000009</v>
      </c>
      <c r="AH24" s="996" t="s">
        <v>683</v>
      </c>
      <c r="AI24" s="633" t="s">
        <v>1041</v>
      </c>
      <c r="AJ24" s="633" t="s">
        <v>1040</v>
      </c>
      <c r="AK24" s="633"/>
      <c r="AL24" s="1301">
        <v>30215.41</v>
      </c>
      <c r="AM24" s="1301">
        <v>24754.14</v>
      </c>
      <c r="AN24" s="1301">
        <v>26748.39</v>
      </c>
      <c r="AO24" s="1301">
        <v>34584.54</v>
      </c>
      <c r="AP24" s="1301">
        <v>94314.75</v>
      </c>
      <c r="AQ24" s="1301">
        <v>197109.41</v>
      </c>
      <c r="AR24" s="1301">
        <v>202004.22</v>
      </c>
      <c r="AS24" s="1301">
        <v>170918.36</v>
      </c>
      <c r="AT24" s="1301">
        <v>175181.65</v>
      </c>
      <c r="AU24" s="1301">
        <v>119929.32</v>
      </c>
      <c r="AV24" s="1301">
        <v>71672.94</v>
      </c>
      <c r="AW24" s="1301">
        <v>35825.99</v>
      </c>
      <c r="AX24" s="1300">
        <f t="shared" ref="AX24:AX32" si="9">SUM(AL24:AW24)</f>
        <v>1183259.1199999999</v>
      </c>
      <c r="AY24" s="1299" t="s">
        <v>987</v>
      </c>
      <c r="BZ24" s="1311">
        <v>202211</v>
      </c>
      <c r="CA24" s="1308">
        <v>716311.3</v>
      </c>
      <c r="CB24" s="1308">
        <v>141889.82</v>
      </c>
    </row>
    <row r="25" spans="1:80">
      <c r="A25" s="478" t="s">
        <v>988</v>
      </c>
      <c r="C25" s="1241"/>
      <c r="D25" s="1226" t="s">
        <v>987</v>
      </c>
      <c r="E25" s="1240">
        <f>'G-2.01 Elim B&amp;O'!AC17</f>
        <v>-14410.830000000002</v>
      </c>
      <c r="F25" s="1228"/>
      <c r="G25" s="477"/>
      <c r="I25" s="1236">
        <v>-568.46</v>
      </c>
      <c r="J25" s="1236">
        <v>-347.8</v>
      </c>
      <c r="K25" s="1236">
        <v>-364.11</v>
      </c>
      <c r="L25" s="1236">
        <v>-468.1</v>
      </c>
      <c r="M25" s="1236">
        <v>-569.48</v>
      </c>
      <c r="N25" s="1236">
        <v>-2332.75</v>
      </c>
      <c r="O25" s="1236">
        <v>-2359.33</v>
      </c>
      <c r="P25" s="1236">
        <v>-2030.6100000000001</v>
      </c>
      <c r="Q25" s="1236">
        <v>-1858.64</v>
      </c>
      <c r="R25" s="1236">
        <v>-1612.03</v>
      </c>
      <c r="S25" s="1236">
        <v>-1222.77</v>
      </c>
      <c r="T25" s="1236">
        <v>-676.75</v>
      </c>
      <c r="U25" s="1236">
        <f>SUM(I25:T25)</f>
        <v>-14410.83</v>
      </c>
      <c r="X25" s="1265"/>
      <c r="Y25" s="1267"/>
      <c r="Z25" s="1266"/>
      <c r="AA25" s="1265"/>
      <c r="AB25" s="1264"/>
      <c r="AC25" s="1265"/>
      <c r="AD25" s="1263"/>
      <c r="AI25" s="633" t="s">
        <v>1038</v>
      </c>
      <c r="AJ25" s="996" t="s">
        <v>1039</v>
      </c>
      <c r="AK25" s="633"/>
      <c r="AL25" s="1301"/>
      <c r="AM25" s="1301"/>
      <c r="AN25" s="1301"/>
      <c r="AO25" s="1301"/>
      <c r="AP25" s="1301"/>
      <c r="AQ25" s="1301"/>
      <c r="AR25" s="1301"/>
      <c r="AS25" s="1301"/>
      <c r="AT25" s="1301"/>
      <c r="AU25" s="1301"/>
      <c r="AV25" s="1301"/>
      <c r="AW25" s="1301"/>
      <c r="AX25" s="1300">
        <f t="shared" si="9"/>
        <v>0</v>
      </c>
      <c r="AY25" s="1299" t="s">
        <v>987</v>
      </c>
      <c r="BZ25" s="1311">
        <v>202212</v>
      </c>
      <c r="CA25" s="1308">
        <v>-73173.25</v>
      </c>
      <c r="CB25" s="1308">
        <v>304957.07</v>
      </c>
    </row>
    <row r="26" spans="1:80" ht="13.5" thickBot="1">
      <c r="A26" s="1031" t="s">
        <v>986</v>
      </c>
      <c r="B26" s="1031"/>
      <c r="C26" s="1031"/>
      <c r="E26" s="1238"/>
      <c r="F26" s="1240">
        <f>SUM(E22:E25)</f>
        <v>8688399.6100000013</v>
      </c>
      <c r="G26" s="477"/>
      <c r="I26" s="1239">
        <f t="shared" ref="I26:U26" si="10">SUM(I22:I25)</f>
        <v>218691.9</v>
      </c>
      <c r="J26" s="1239">
        <f t="shared" si="10"/>
        <v>195131.03</v>
      </c>
      <c r="K26" s="1239">
        <f t="shared" si="10"/>
        <v>329038.8</v>
      </c>
      <c r="L26" s="1239">
        <f t="shared" si="10"/>
        <v>133208.59</v>
      </c>
      <c r="M26" s="1239">
        <f t="shared" si="10"/>
        <v>272477.65000000002</v>
      </c>
      <c r="N26" s="1239">
        <f t="shared" si="10"/>
        <v>1893211.46</v>
      </c>
      <c r="O26" s="1239">
        <f t="shared" si="10"/>
        <v>1521306.72</v>
      </c>
      <c r="P26" s="1239">
        <f t="shared" si="10"/>
        <v>1162141.2899999998</v>
      </c>
      <c r="Q26" s="1239">
        <f t="shared" si="10"/>
        <v>1297624.9200000002</v>
      </c>
      <c r="R26" s="1239">
        <f t="shared" si="10"/>
        <v>833179.7</v>
      </c>
      <c r="S26" s="1239">
        <f t="shared" si="10"/>
        <v>550074.56999999995</v>
      </c>
      <c r="T26" s="1239">
        <f t="shared" si="10"/>
        <v>282312.98</v>
      </c>
      <c r="U26" s="1239">
        <f t="shared" si="10"/>
        <v>8688399.6100000013</v>
      </c>
      <c r="X26" s="1265"/>
      <c r="Y26" s="1267"/>
      <c r="Z26" s="1266"/>
      <c r="AA26" s="1265"/>
      <c r="AB26" s="1264"/>
      <c r="AC26" s="1265"/>
      <c r="AD26" s="1263"/>
      <c r="AI26" s="633" t="s">
        <v>1038</v>
      </c>
      <c r="AJ26" s="633" t="s">
        <v>1037</v>
      </c>
      <c r="AK26" s="633"/>
      <c r="AL26" s="1301">
        <v>16207.9</v>
      </c>
      <c r="AM26" s="1301">
        <v>13944.47</v>
      </c>
      <c r="AN26" s="1301">
        <v>14400.42</v>
      </c>
      <c r="AO26" s="1301">
        <v>18199.71</v>
      </c>
      <c r="AP26" s="1301">
        <v>46368.160000000003</v>
      </c>
      <c r="AQ26" s="1301">
        <v>105951.61</v>
      </c>
      <c r="AR26" s="1301">
        <v>108907.67</v>
      </c>
      <c r="AS26" s="1301">
        <v>88753.78</v>
      </c>
      <c r="AT26" s="1301">
        <v>98548.82</v>
      </c>
      <c r="AU26" s="1301">
        <v>62787.73</v>
      </c>
      <c r="AV26" s="1301">
        <v>41457.06</v>
      </c>
      <c r="AW26" s="1301">
        <v>20902.669999999998</v>
      </c>
      <c r="AX26" s="1300">
        <f t="shared" si="9"/>
        <v>636430.00000000012</v>
      </c>
      <c r="AY26" s="1299" t="s">
        <v>987</v>
      </c>
      <c r="BZ26" s="1311" t="s">
        <v>1053</v>
      </c>
      <c r="CA26" s="1308">
        <v>388407.88</v>
      </c>
      <c r="CB26" s="1308">
        <v>312825.5</v>
      </c>
    </row>
    <row r="27" spans="1:80" ht="13.5" thickBot="1">
      <c r="E27" s="1238"/>
      <c r="F27" s="1228"/>
      <c r="G27" s="1237"/>
      <c r="I27" s="1236"/>
      <c r="J27" s="1236"/>
      <c r="K27" s="1236"/>
      <c r="L27" s="1236"/>
      <c r="M27" s="1236"/>
      <c r="N27" s="1236"/>
      <c r="O27" s="1236"/>
      <c r="P27" s="1236"/>
      <c r="Q27" s="1236"/>
      <c r="R27" s="1236"/>
      <c r="S27" s="1236"/>
      <c r="T27" s="1236"/>
      <c r="U27" s="1236"/>
      <c r="X27" s="1260" t="s">
        <v>1020</v>
      </c>
      <c r="AC27" s="1261"/>
      <c r="AI27" s="633" t="s">
        <v>1036</v>
      </c>
      <c r="AJ27" s="633" t="s">
        <v>1035</v>
      </c>
      <c r="AK27" s="633"/>
      <c r="AL27" s="1301"/>
      <c r="AM27" s="1301"/>
      <c r="AN27" s="1301"/>
      <c r="AO27" s="1301"/>
      <c r="AP27" s="1301"/>
      <c r="AQ27" s="1301"/>
      <c r="AR27" s="1301"/>
      <c r="AS27" s="1301"/>
      <c r="AT27" s="1301"/>
      <c r="AU27" s="1301"/>
      <c r="AV27" s="1301"/>
      <c r="AW27" s="1301"/>
      <c r="AX27" s="1300">
        <f t="shared" si="9"/>
        <v>0</v>
      </c>
      <c r="AY27" s="1299" t="s">
        <v>987</v>
      </c>
      <c r="BZ27" s="1311">
        <v>202302</v>
      </c>
      <c r="CA27" s="1308">
        <v>301516.84000000003</v>
      </c>
      <c r="CB27" s="1308">
        <v>261094.71</v>
      </c>
    </row>
    <row r="28" spans="1:80" ht="14" thickTop="1" thickBot="1">
      <c r="A28" s="1031"/>
      <c r="B28" s="1031"/>
      <c r="C28" s="1235" t="s">
        <v>985</v>
      </c>
      <c r="E28" s="1232"/>
      <c r="F28" s="1231">
        <f>F26-F18</f>
        <v>42707.450000001118</v>
      </c>
      <c r="G28" s="1234">
        <v>-7027.3099999995902</v>
      </c>
      <c r="I28" s="1233">
        <f t="shared" ref="I28:U28" si="11">I26-I18</f>
        <v>-388.61000000001513</v>
      </c>
      <c r="J28" s="1233">
        <f t="shared" si="11"/>
        <v>-661.86000000001513</v>
      </c>
      <c r="K28" s="1233">
        <f t="shared" si="11"/>
        <v>123690.38999999996</v>
      </c>
      <c r="L28" s="1233">
        <f t="shared" si="11"/>
        <v>-118067.06999999998</v>
      </c>
      <c r="M28" s="1233">
        <f t="shared" si="11"/>
        <v>-443375.32999999996</v>
      </c>
      <c r="N28" s="1233">
        <f t="shared" si="11"/>
        <v>432259.17999999993</v>
      </c>
      <c r="O28" s="1233">
        <f t="shared" si="11"/>
        <v>4479.1700000001583</v>
      </c>
      <c r="P28" s="1233">
        <f t="shared" si="11"/>
        <v>2180.0099999997765</v>
      </c>
      <c r="Q28" s="1233">
        <f t="shared" si="11"/>
        <v>2254.2600000000093</v>
      </c>
      <c r="R28" s="1233">
        <f t="shared" si="11"/>
        <v>3047.0400000000373</v>
      </c>
      <c r="S28" s="1233">
        <f t="shared" si="11"/>
        <v>35229.949999999895</v>
      </c>
      <c r="T28" s="1233">
        <f t="shared" si="11"/>
        <v>2060.3199999999488</v>
      </c>
      <c r="U28" s="1233">
        <f t="shared" si="11"/>
        <v>42707.450000001118</v>
      </c>
      <c r="X28" s="1260" t="s">
        <v>1019</v>
      </c>
      <c r="AC28" s="1261"/>
      <c r="AI28" s="633" t="s">
        <v>1033</v>
      </c>
      <c r="AJ28" s="996" t="s">
        <v>1034</v>
      </c>
      <c r="AL28" s="1301"/>
      <c r="AM28" s="1301"/>
      <c r="AN28" s="1301"/>
      <c r="AO28" s="1301"/>
      <c r="AP28" s="1301"/>
      <c r="AQ28" s="1301"/>
      <c r="AR28" s="1301"/>
      <c r="AS28" s="1301"/>
      <c r="AT28" s="1301"/>
      <c r="AU28" s="1301"/>
      <c r="AV28" s="1301"/>
      <c r="AW28" s="1301"/>
      <c r="AX28" s="1300">
        <f t="shared" si="9"/>
        <v>0</v>
      </c>
      <c r="AY28" s="1299" t="s">
        <v>987</v>
      </c>
      <c r="BZ28" s="1311">
        <v>202303</v>
      </c>
      <c r="CA28" s="1308">
        <v>348239.12</v>
      </c>
      <c r="CB28" s="1308">
        <v>275262.68</v>
      </c>
    </row>
    <row r="29" spans="1:80" ht="13.5" thickTop="1">
      <c r="A29" s="1031"/>
      <c r="B29" s="1031"/>
      <c r="C29" s="1230" t="s">
        <v>984</v>
      </c>
      <c r="D29" s="1229"/>
      <c r="E29" s="1232"/>
      <c r="F29" s="1228"/>
      <c r="AI29" s="633" t="s">
        <v>1033</v>
      </c>
      <c r="AJ29" s="633" t="s">
        <v>1032</v>
      </c>
      <c r="AK29" s="633"/>
      <c r="AL29" s="1301">
        <v>108.77</v>
      </c>
      <c r="AM29" s="1301">
        <v>292.94</v>
      </c>
      <c r="AN29" s="1301">
        <v>160.03</v>
      </c>
      <c r="AO29" s="1301">
        <v>177.46</v>
      </c>
      <c r="AP29" s="1301">
        <v>520.41999999999996</v>
      </c>
      <c r="AQ29" s="1301">
        <v>914.85</v>
      </c>
      <c r="AR29" s="1301">
        <v>826.22</v>
      </c>
      <c r="AS29" s="1301">
        <v>594.82000000000005</v>
      </c>
      <c r="AT29" s="1301">
        <v>854.74</v>
      </c>
      <c r="AU29" s="1301">
        <v>451.52</v>
      </c>
      <c r="AV29" s="1301">
        <v>372.23</v>
      </c>
      <c r="AW29" s="1301">
        <v>194.4</v>
      </c>
      <c r="AX29" s="1300">
        <f t="shared" si="9"/>
        <v>5468.4</v>
      </c>
      <c r="AY29" s="1299" t="s">
        <v>987</v>
      </c>
      <c r="BZ29" s="1311">
        <v>202304</v>
      </c>
      <c r="CA29" s="1308">
        <v>272743.08</v>
      </c>
      <c r="CB29" s="1308">
        <v>184167.88</v>
      </c>
    </row>
    <row r="30" spans="1:80" ht="13.5" thickBot="1">
      <c r="C30" s="1230"/>
      <c r="D30" s="1229"/>
      <c r="E30" s="1228"/>
      <c r="F30" s="1228"/>
      <c r="X30" s="224" t="s">
        <v>1018</v>
      </c>
      <c r="AI30" s="633" t="s">
        <v>1031</v>
      </c>
      <c r="AJ30" s="633" t="s">
        <v>1030</v>
      </c>
      <c r="AK30" s="633"/>
      <c r="AL30" s="1301"/>
      <c r="AM30" s="1301"/>
      <c r="AN30" s="1301"/>
      <c r="AO30" s="1301"/>
      <c r="AP30" s="1301"/>
      <c r="AQ30" s="1301"/>
      <c r="AR30" s="1301"/>
      <c r="AS30" s="1301"/>
      <c r="AT30" s="1301"/>
      <c r="AU30" s="1301"/>
      <c r="AV30" s="1301"/>
      <c r="AW30" s="1301"/>
      <c r="AX30" s="1300">
        <f t="shared" si="9"/>
        <v>0</v>
      </c>
      <c r="AY30" s="1299" t="s">
        <v>987</v>
      </c>
      <c r="BZ30" s="1311">
        <v>202305</v>
      </c>
      <c r="CA30" s="1308">
        <v>271526.84999999998</v>
      </c>
      <c r="CB30" s="1308">
        <v>83690.23</v>
      </c>
    </row>
    <row r="31" spans="1:80" ht="14" thickTop="1" thickBot="1">
      <c r="C31" s="1230"/>
      <c r="D31" s="1229"/>
      <c r="E31" s="1232"/>
      <c r="F31" s="1228"/>
      <c r="G31" s="1231">
        <v>-3212542.52</v>
      </c>
      <c r="X31" s="224" t="s">
        <v>1004</v>
      </c>
      <c r="AI31" s="633" t="s">
        <v>1028</v>
      </c>
      <c r="AJ31" s="633" t="s">
        <v>1029</v>
      </c>
      <c r="AK31" s="633"/>
      <c r="AL31" s="1301">
        <v>651.25</v>
      </c>
      <c r="AM31" s="1301">
        <v>486.18</v>
      </c>
      <c r="AN31" s="1301">
        <v>410.59</v>
      </c>
      <c r="AO31" s="1301">
        <v>698.32</v>
      </c>
      <c r="AP31" s="1301">
        <v>699.89</v>
      </c>
      <c r="AQ31" s="1301">
        <v>982.95</v>
      </c>
      <c r="AR31" s="1301">
        <v>1106.01</v>
      </c>
      <c r="AS31" s="1301">
        <v>1004.07</v>
      </c>
      <c r="AT31" s="1301">
        <v>792.38</v>
      </c>
      <c r="AU31" s="1301">
        <v>741.45</v>
      </c>
      <c r="AV31" s="1301">
        <v>770.28</v>
      </c>
      <c r="AW31" s="1301">
        <v>1189.5899999999999</v>
      </c>
      <c r="AX31" s="1300">
        <f t="shared" si="9"/>
        <v>9532.9600000000009</v>
      </c>
      <c r="AY31" s="1299" t="s">
        <v>1005</v>
      </c>
      <c r="BZ31" s="1311">
        <v>202306</v>
      </c>
      <c r="CA31" s="1308">
        <v>273465.21999999997</v>
      </c>
      <c r="CB31" s="1308">
        <v>58269.19</v>
      </c>
    </row>
    <row r="32" spans="1:80" ht="14" thickTop="1" thickBot="1">
      <c r="C32" s="1230"/>
      <c r="D32" s="1229"/>
      <c r="E32" s="1228"/>
      <c r="F32" s="249"/>
      <c r="X32" s="1260" t="s">
        <v>1003</v>
      </c>
      <c r="AI32" s="633" t="s">
        <v>1028</v>
      </c>
      <c r="AJ32" s="633" t="s">
        <v>1027</v>
      </c>
      <c r="AK32" s="633"/>
      <c r="AL32" s="1301"/>
      <c r="AM32" s="1301"/>
      <c r="AN32" s="1301"/>
      <c r="AO32" s="1301">
        <v>0</v>
      </c>
      <c r="AP32" s="1301">
        <v>0</v>
      </c>
      <c r="AQ32" s="1301">
        <v>0</v>
      </c>
      <c r="AR32" s="1301">
        <v>0</v>
      </c>
      <c r="AS32" s="1301">
        <v>0</v>
      </c>
      <c r="AT32" s="1301">
        <v>0</v>
      </c>
      <c r="AU32" s="1301">
        <v>0</v>
      </c>
      <c r="AV32" s="1301">
        <v>0</v>
      </c>
      <c r="AW32" s="1301">
        <v>0</v>
      </c>
      <c r="AX32" s="1300">
        <f t="shared" si="9"/>
        <v>0</v>
      </c>
      <c r="AY32" s="1299" t="s">
        <v>987</v>
      </c>
      <c r="BZ32" s="1311"/>
      <c r="CA32" s="1310">
        <f>SUM(CA20:CA31)</f>
        <v>3720326.1900000004</v>
      </c>
      <c r="CB32" s="1310">
        <f>SUM(CB20:CB31)</f>
        <v>1804744.0999999996</v>
      </c>
    </row>
    <row r="33" spans="1:82" ht="13.5" thickBot="1">
      <c r="A33" s="3904" t="s">
        <v>983</v>
      </c>
      <c r="B33" s="3904"/>
      <c r="C33" s="3904"/>
      <c r="D33" s="3904"/>
      <c r="E33" s="3904"/>
      <c r="AL33" s="1297">
        <f t="shared" ref="AL33:AX33" si="12">SUM(AL24:AL32)</f>
        <v>47183.329999999994</v>
      </c>
      <c r="AM33" s="1297">
        <f t="shared" si="12"/>
        <v>39477.730000000003</v>
      </c>
      <c r="AN33" s="1297">
        <f t="shared" si="12"/>
        <v>41719.429999999993</v>
      </c>
      <c r="AO33" s="1297">
        <f t="shared" si="12"/>
        <v>53660.03</v>
      </c>
      <c r="AP33" s="1297">
        <f t="shared" si="12"/>
        <v>141903.22000000003</v>
      </c>
      <c r="AQ33" s="1297">
        <f t="shared" si="12"/>
        <v>304958.82</v>
      </c>
      <c r="AR33" s="1297">
        <f t="shared" si="12"/>
        <v>312844.12</v>
      </c>
      <c r="AS33" s="1297">
        <f t="shared" si="12"/>
        <v>261271.03</v>
      </c>
      <c r="AT33" s="1297">
        <f t="shared" si="12"/>
        <v>275377.58999999997</v>
      </c>
      <c r="AU33" s="1297">
        <f t="shared" si="12"/>
        <v>183910.02000000002</v>
      </c>
      <c r="AV33" s="1297">
        <f t="shared" si="12"/>
        <v>114272.51</v>
      </c>
      <c r="AW33" s="1297">
        <f t="shared" si="12"/>
        <v>58112.649999999994</v>
      </c>
      <c r="AX33" s="1297">
        <f t="shared" si="12"/>
        <v>1834690.48</v>
      </c>
      <c r="BZ33" s="1311"/>
      <c r="CA33" s="1313"/>
      <c r="CB33" s="1313"/>
    </row>
    <row r="34" spans="1:82" ht="13.5" thickTop="1">
      <c r="E34" s="1227"/>
      <c r="AL34" s="1298"/>
      <c r="AM34" s="1298"/>
      <c r="AN34" s="1298"/>
      <c r="AO34" s="1298"/>
      <c r="AP34" s="1298"/>
      <c r="AQ34" s="1298"/>
      <c r="AR34" s="1298"/>
      <c r="AS34" s="1298"/>
      <c r="AT34" s="1298"/>
      <c r="AU34" s="1298"/>
      <c r="AV34" s="1298"/>
      <c r="AW34" s="1298"/>
      <c r="AX34" s="1298"/>
      <c r="BZ34" s="1311"/>
      <c r="CC34" s="1312" t="s">
        <v>680</v>
      </c>
      <c r="CD34" s="1308"/>
    </row>
    <row r="35" spans="1:82" ht="13.5" thickBot="1">
      <c r="X35" s="224" t="s">
        <v>1002</v>
      </c>
      <c r="AH35" s="996" t="s">
        <v>24</v>
      </c>
      <c r="AL35" s="1297">
        <f t="shared" ref="AL35:AX35" si="13">SUM(AL33)</f>
        <v>47183.329999999994</v>
      </c>
      <c r="AM35" s="1297">
        <f t="shared" si="13"/>
        <v>39477.730000000003</v>
      </c>
      <c r="AN35" s="1297">
        <f t="shared" si="13"/>
        <v>41719.429999999993</v>
      </c>
      <c r="AO35" s="1297">
        <f t="shared" si="13"/>
        <v>53660.03</v>
      </c>
      <c r="AP35" s="1297">
        <f t="shared" si="13"/>
        <v>141903.22000000003</v>
      </c>
      <c r="AQ35" s="1297">
        <f t="shared" si="13"/>
        <v>304958.82</v>
      </c>
      <c r="AR35" s="1297">
        <f t="shared" si="13"/>
        <v>312844.12</v>
      </c>
      <c r="AS35" s="1297">
        <f t="shared" si="13"/>
        <v>261271.03</v>
      </c>
      <c r="AT35" s="1297">
        <f t="shared" si="13"/>
        <v>275377.58999999997</v>
      </c>
      <c r="AU35" s="1297">
        <f t="shared" si="13"/>
        <v>183910.02000000002</v>
      </c>
      <c r="AV35" s="1297">
        <f t="shared" si="13"/>
        <v>114272.51</v>
      </c>
      <c r="AW35" s="1297">
        <f t="shared" si="13"/>
        <v>58112.649999999994</v>
      </c>
      <c r="AX35" s="1297">
        <f t="shared" si="13"/>
        <v>1834690.48</v>
      </c>
      <c r="CC35" s="1312" t="s">
        <v>676</v>
      </c>
      <c r="CD35" s="1308"/>
    </row>
    <row r="36" spans="1:82" ht="13.5" thickTop="1">
      <c r="BZ36" s="1311">
        <v>202207</v>
      </c>
      <c r="CC36" s="1308">
        <v>180140.3</v>
      </c>
      <c r="CD36" s="1308"/>
    </row>
    <row r="37" spans="1:82">
      <c r="X37"/>
      <c r="Y37"/>
      <c r="Z37"/>
      <c r="AA37"/>
      <c r="AB37"/>
      <c r="AC37"/>
      <c r="AD37"/>
      <c r="BZ37" s="1311">
        <v>202208</v>
      </c>
      <c r="CC37" s="1308">
        <v>152607.31</v>
      </c>
      <c r="CD37" s="1308"/>
    </row>
    <row r="38" spans="1:82">
      <c r="X38"/>
      <c r="Y38"/>
      <c r="Z38"/>
      <c r="AA38"/>
      <c r="AB38"/>
      <c r="AC38"/>
      <c r="AD38"/>
      <c r="BZ38" s="1311">
        <v>202209</v>
      </c>
      <c r="CC38" s="1308">
        <v>156281.82</v>
      </c>
      <c r="CD38" s="1308"/>
    </row>
    <row r="39" spans="1:82">
      <c r="X39"/>
      <c r="Y39"/>
      <c r="Z39"/>
      <c r="AA39"/>
      <c r="AB39"/>
      <c r="AC39"/>
      <c r="AD39"/>
      <c r="BZ39" s="1311">
        <v>202210</v>
      </c>
      <c r="CC39" s="1308">
        <v>181297.39</v>
      </c>
      <c r="CD39" s="1308"/>
    </row>
    <row r="40" spans="1:82">
      <c r="X40"/>
      <c r="Y40"/>
      <c r="Z40"/>
      <c r="AA40"/>
      <c r="AB40"/>
      <c r="AC40"/>
      <c r="AD40"/>
      <c r="BZ40" s="1311">
        <v>202211</v>
      </c>
      <c r="CC40" s="1308">
        <v>456996.89</v>
      </c>
      <c r="CD40" s="1308"/>
    </row>
    <row r="41" spans="1:82">
      <c r="X41"/>
      <c r="Y41"/>
      <c r="Z41"/>
      <c r="AA41"/>
      <c r="AB41"/>
      <c r="AC41"/>
      <c r="AD41"/>
      <c r="BZ41" s="1311">
        <v>202212</v>
      </c>
      <c r="CC41" s="1308">
        <v>897999.3</v>
      </c>
      <c r="CD41" s="1308"/>
    </row>
    <row r="42" spans="1:82">
      <c r="X42"/>
      <c r="Y42"/>
      <c r="Z42"/>
      <c r="AA42"/>
      <c r="AB42"/>
      <c r="AC42"/>
      <c r="AD42"/>
      <c r="AX42" s="997"/>
      <c r="BZ42" s="1311" t="s">
        <v>1053</v>
      </c>
      <c r="CC42" s="1308">
        <v>935778.42</v>
      </c>
      <c r="CD42" s="1308"/>
    </row>
    <row r="43" spans="1:82" ht="13.5" thickBot="1">
      <c r="X43"/>
      <c r="Y43"/>
      <c r="Z43"/>
      <c r="AA43"/>
      <c r="AB43"/>
      <c r="AC43"/>
      <c r="AD43"/>
      <c r="AX43" s="997"/>
      <c r="BZ43" s="1311">
        <v>202302</v>
      </c>
      <c r="CC43" s="1308">
        <v>747978.62</v>
      </c>
      <c r="CD43" s="1308"/>
    </row>
    <row r="44" spans="1:82">
      <c r="X44"/>
      <c r="Y44"/>
      <c r="Z44"/>
      <c r="AA44"/>
      <c r="AB44"/>
      <c r="AC44"/>
      <c r="AD44"/>
      <c r="AW44" s="1296"/>
      <c r="AX44" s="1295">
        <v>34893996.869999997</v>
      </c>
      <c r="BZ44" s="1311">
        <v>202303</v>
      </c>
      <c r="CC44" s="1308">
        <v>937698.09</v>
      </c>
      <c r="CD44" s="1308"/>
    </row>
    <row r="45" spans="1:82">
      <c r="X45"/>
      <c r="Y45"/>
      <c r="Z45"/>
      <c r="AA45"/>
      <c r="AB45"/>
      <c r="AC45"/>
      <c r="AD45"/>
      <c r="AW45" s="1294"/>
      <c r="AX45" s="1293">
        <v>34893996.870000005</v>
      </c>
      <c r="BZ45" s="1311">
        <v>202304</v>
      </c>
      <c r="CC45" s="1308">
        <v>642576.76</v>
      </c>
      <c r="CD45" s="1308"/>
    </row>
    <row r="46" spans="1:82" ht="13.5" thickBot="1">
      <c r="X46"/>
      <c r="Y46"/>
      <c r="Z46"/>
      <c r="AA46"/>
      <c r="AB46"/>
      <c r="AC46"/>
      <c r="AD46"/>
      <c r="AW46" s="1292" t="s">
        <v>82</v>
      </c>
      <c r="AX46" s="1291">
        <f>AX44-AX45</f>
        <v>0</v>
      </c>
      <c r="BZ46" s="1311">
        <v>202305</v>
      </c>
      <c r="CC46" s="1308">
        <v>430671.75</v>
      </c>
      <c r="CD46" s="1308"/>
    </row>
    <row r="47" spans="1:82">
      <c r="X47"/>
      <c r="Y47"/>
      <c r="Z47"/>
      <c r="AA47"/>
      <c r="AB47"/>
      <c r="AC47"/>
      <c r="AD47"/>
      <c r="BZ47" s="1311">
        <v>202306</v>
      </c>
      <c r="CC47" s="1308">
        <v>222036.26</v>
      </c>
      <c r="CD47" s="1308"/>
    </row>
    <row r="48" spans="1:82" ht="13.5" thickBot="1">
      <c r="X48"/>
      <c r="Y48"/>
      <c r="Z48"/>
      <c r="AA48"/>
      <c r="AB48"/>
      <c r="AC48"/>
      <c r="AD48"/>
      <c r="BZ48" s="1311"/>
      <c r="CC48" s="1310">
        <f>SUM(CC36:CC47)</f>
        <v>5942062.9100000001</v>
      </c>
      <c r="CD48" s="1308"/>
    </row>
    <row r="49" spans="24:80">
      <c r="X49"/>
      <c r="Y49"/>
      <c r="Z49"/>
      <c r="AA49"/>
      <c r="AB49"/>
      <c r="AC49"/>
      <c r="AD49"/>
      <c r="BZ49" s="1311"/>
    </row>
    <row r="50" spans="24:80">
      <c r="X50"/>
      <c r="Y50"/>
      <c r="Z50"/>
      <c r="AA50"/>
      <c r="AB50"/>
      <c r="AC50"/>
      <c r="AD50"/>
      <c r="BZ50" s="1311"/>
      <c r="CA50" s="1312" t="s">
        <v>681</v>
      </c>
      <c r="CB50" s="1312" t="s">
        <v>680</v>
      </c>
    </row>
    <row r="51" spans="24:80">
      <c r="X51"/>
      <c r="Y51"/>
      <c r="Z51"/>
      <c r="AA51"/>
      <c r="AB51"/>
      <c r="AC51"/>
      <c r="AD51"/>
      <c r="BZ51" s="1311"/>
      <c r="CA51" s="1312" t="s">
        <v>763</v>
      </c>
      <c r="CB51" s="1312" t="s">
        <v>763</v>
      </c>
    </row>
    <row r="52" spans="24:80">
      <c r="X52"/>
      <c r="Y52"/>
      <c r="Z52"/>
      <c r="AA52"/>
      <c r="AB52"/>
      <c r="AC52"/>
      <c r="AD52"/>
      <c r="BZ52" s="1311">
        <v>202207</v>
      </c>
      <c r="CA52" s="1308">
        <v>1562313.9</v>
      </c>
      <c r="CB52" s="1308">
        <v>219260.36</v>
      </c>
    </row>
    <row r="53" spans="24:80">
      <c r="X53"/>
      <c r="Y53"/>
      <c r="Z53"/>
      <c r="AA53"/>
      <c r="AB53"/>
      <c r="AC53"/>
      <c r="AD53"/>
      <c r="BZ53" s="1311">
        <v>202208</v>
      </c>
      <c r="CA53" s="1308">
        <v>1876961.25</v>
      </c>
      <c r="CB53" s="1308">
        <v>195478.83</v>
      </c>
    </row>
    <row r="54" spans="24:80">
      <c r="X54"/>
      <c r="Y54"/>
      <c r="Z54"/>
      <c r="AA54"/>
      <c r="AB54"/>
      <c r="AC54"/>
      <c r="AD54"/>
      <c r="BZ54" s="1311">
        <v>202209</v>
      </c>
      <c r="CA54" s="1308">
        <v>1770849.66</v>
      </c>
      <c r="CB54" s="1308">
        <v>329402.90999999997</v>
      </c>
    </row>
    <row r="55" spans="24:80">
      <c r="X55"/>
      <c r="Y55"/>
      <c r="Z55"/>
      <c r="AA55"/>
      <c r="AB55"/>
      <c r="AC55"/>
      <c r="AD55"/>
      <c r="BZ55" s="1311">
        <v>202210</v>
      </c>
      <c r="CA55" s="1308">
        <v>1447342.04</v>
      </c>
      <c r="CB55" s="1308">
        <v>133676.69</v>
      </c>
    </row>
    <row r="56" spans="24:80">
      <c r="X56"/>
      <c r="Y56"/>
      <c r="Z56"/>
      <c r="AA56"/>
      <c r="AB56"/>
      <c r="AC56"/>
      <c r="AD56"/>
      <c r="BZ56" s="1311">
        <v>202211</v>
      </c>
      <c r="CA56" s="1308">
        <v>1504423.52</v>
      </c>
      <c r="CB56" s="1308">
        <v>273047.13</v>
      </c>
    </row>
    <row r="57" spans="24:80">
      <c r="X57"/>
      <c r="Y57"/>
      <c r="Z57"/>
      <c r="AA57"/>
      <c r="AB57"/>
      <c r="AC57"/>
      <c r="AD57"/>
      <c r="BZ57" s="1311">
        <v>202212</v>
      </c>
      <c r="CA57" s="1308">
        <v>1996734.64</v>
      </c>
      <c r="CB57" s="1308">
        <v>1895544.21</v>
      </c>
    </row>
    <row r="58" spans="24:80">
      <c r="X58"/>
      <c r="Y58"/>
      <c r="Z58"/>
      <c r="AA58"/>
      <c r="AB58"/>
      <c r="AC58"/>
      <c r="AD58"/>
      <c r="BZ58" s="1311" t="s">
        <v>1053</v>
      </c>
      <c r="CA58" s="1308">
        <v>2294797.52</v>
      </c>
      <c r="CB58" s="1308">
        <v>1523666.05</v>
      </c>
    </row>
    <row r="59" spans="24:80">
      <c r="X59"/>
      <c r="Y59"/>
      <c r="Z59"/>
      <c r="AA59"/>
      <c r="AB59"/>
      <c r="AC59"/>
      <c r="AD59"/>
      <c r="BZ59" s="1311">
        <v>202302</v>
      </c>
      <c r="CA59" s="1308">
        <v>1551113.58</v>
      </c>
      <c r="CB59" s="1308">
        <v>1164171.8999999999</v>
      </c>
    </row>
    <row r="60" spans="24:80">
      <c r="X60"/>
      <c r="Y60"/>
      <c r="Z60"/>
      <c r="AA60"/>
      <c r="AB60"/>
      <c r="AC60"/>
      <c r="AD60"/>
      <c r="BZ60" s="1311">
        <v>202303</v>
      </c>
      <c r="CA60" s="1308">
        <v>2092329.92</v>
      </c>
      <c r="CB60" s="1308">
        <v>1299483.56</v>
      </c>
    </row>
    <row r="61" spans="24:80">
      <c r="X61" s="1265"/>
      <c r="Y61" s="1267"/>
      <c r="Z61" s="1266"/>
      <c r="AA61" s="1265"/>
      <c r="AB61" s="1264"/>
      <c r="AC61" s="1263"/>
      <c r="BZ61" s="1311">
        <v>202304</v>
      </c>
      <c r="CA61" s="1308">
        <v>1539664.01</v>
      </c>
      <c r="CB61" s="1308">
        <v>834791.73</v>
      </c>
    </row>
    <row r="62" spans="24:80">
      <c r="AC62" s="1261"/>
      <c r="BZ62" s="1311">
        <v>202305</v>
      </c>
      <c r="CA62" s="1308">
        <v>1632391.67</v>
      </c>
      <c r="CB62" s="1308">
        <v>551297.34</v>
      </c>
    </row>
    <row r="63" spans="24:80">
      <c r="X63" s="1262"/>
      <c r="AC63" s="1261"/>
      <c r="BZ63" s="1311">
        <v>202306</v>
      </c>
      <c r="CA63" s="1308">
        <v>1570328.71</v>
      </c>
      <c r="CB63" s="1308">
        <v>282989.73</v>
      </c>
    </row>
    <row r="64" spans="24:80" ht="13.5" thickBot="1">
      <c r="CA64" s="1310">
        <f>SUM(CA52:CA63)</f>
        <v>20839250.420000002</v>
      </c>
      <c r="CB64" s="1310">
        <f>SUM(CB52:CB63)</f>
        <v>8702810.4400000013</v>
      </c>
    </row>
    <row r="70" spans="24:24">
      <c r="X70" s="1260"/>
    </row>
    <row r="72" spans="24:24">
      <c r="X72" s="1260"/>
    </row>
    <row r="73" spans="24:24">
      <c r="X73" s="1260"/>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tabColor rgb="FFFFC000"/>
  </sheetPr>
  <dimension ref="A1:AW147"/>
  <sheetViews>
    <sheetView workbookViewId="0"/>
  </sheetViews>
  <sheetFormatPr defaultColWidth="8.81640625" defaultRowHeight="14.5"/>
  <cols>
    <col min="1" max="1" width="17.1796875" style="1348" customWidth="1"/>
    <col min="2" max="2" width="13.26953125" style="1349" bestFit="1" customWidth="1"/>
    <col min="3" max="3" width="10.54296875" style="1349" bestFit="1" customWidth="1"/>
    <col min="4" max="4" width="8.7265625" style="1349" bestFit="1" customWidth="1"/>
    <col min="5" max="5" width="10.54296875" style="1349" bestFit="1" customWidth="1"/>
    <col min="6" max="6" width="12.26953125" style="1349" customWidth="1"/>
    <col min="7" max="7" width="1.7265625" style="1349" customWidth="1"/>
    <col min="8" max="8" width="13.7265625" style="1349" customWidth="1"/>
    <col min="9" max="9" width="10.54296875" style="1349" bestFit="1" customWidth="1"/>
    <col min="10" max="10" width="12.7265625" style="1349" bestFit="1" customWidth="1"/>
    <col min="11" max="11" width="11.54296875" style="1349" bestFit="1" customWidth="1"/>
    <col min="12" max="12" width="6.7265625" style="1349" customWidth="1"/>
    <col min="13" max="14" width="11.54296875" style="1349" customWidth="1"/>
    <col min="15" max="15" width="6.7265625" style="1349" customWidth="1"/>
    <col min="16" max="16" width="1.7265625" style="995" customWidth="1"/>
    <col min="17" max="17" width="8.81640625" style="477"/>
    <col min="18" max="18" width="16.81640625" style="477" customWidth="1"/>
    <col min="19" max="19" width="34.26953125" style="477" bestFit="1" customWidth="1"/>
    <col min="20" max="20" width="7.26953125" style="477" bestFit="1" customWidth="1"/>
    <col min="21" max="24" width="12.81640625" style="477" bestFit="1" customWidth="1"/>
    <col min="25" max="25" width="11.453125" style="477" customWidth="1"/>
    <col min="26" max="26" width="2.26953125" style="477" customWidth="1"/>
    <col min="27" max="27" width="11.26953125" style="477" bestFit="1" customWidth="1"/>
    <col min="28" max="29" width="14" style="477" bestFit="1" customWidth="1"/>
    <col min="30" max="30" width="10.453125" style="477" customWidth="1"/>
    <col min="31" max="31" width="1.81640625" style="477" customWidth="1"/>
    <col min="32" max="32" width="11.453125" style="477" bestFit="1" customWidth="1"/>
    <col min="33" max="33" width="8.81640625" style="477"/>
    <col min="34" max="34" width="1.7265625" style="995" customWidth="1"/>
    <col min="35" max="35" width="8.7265625" style="477"/>
    <col min="36" max="36" width="46.1796875" style="477" customWidth="1"/>
    <col min="37" max="37" width="15.7265625" style="3713" bestFit="1" customWidth="1"/>
    <col min="38" max="38" width="5.7265625" style="4118" bestFit="1" customWidth="1"/>
    <col min="39" max="39" width="15.7265625" style="3713" bestFit="1" customWidth="1"/>
    <col min="40" max="40" width="6.1796875" style="4118" bestFit="1" customWidth="1"/>
    <col min="41" max="41" width="16" style="3713" bestFit="1" customWidth="1"/>
    <col min="42" max="42" width="6.7265625" style="4118" bestFit="1" customWidth="1"/>
    <col min="43" max="43" width="16" style="3713" bestFit="1" customWidth="1"/>
    <col min="44" max="44" width="6.54296875" style="3713" customWidth="1"/>
    <col min="45" max="49" width="16" style="3713" bestFit="1" customWidth="1"/>
    <col min="50" max="16384" width="8.81640625" style="477"/>
  </cols>
  <sheetData>
    <row r="1" spans="1:49" ht="16" thickBot="1">
      <c r="A1" s="2824" t="s">
        <v>3437</v>
      </c>
      <c r="R1" s="531" t="s">
        <v>1062</v>
      </c>
      <c r="AJ1" s="4129" t="s">
        <v>3554</v>
      </c>
      <c r="AK1" s="2824" t="s">
        <v>3553</v>
      </c>
      <c r="AM1" s="4118"/>
      <c r="AO1" s="4118"/>
      <c r="AQ1" s="4118"/>
      <c r="AR1" s="4118"/>
      <c r="AS1" s="4118"/>
      <c r="AT1" s="4118"/>
      <c r="AU1" s="4118"/>
      <c r="AV1" s="4118"/>
      <c r="AW1" s="4118"/>
    </row>
    <row r="2" spans="1:49" ht="16" thickBot="1">
      <c r="B2" s="3910" t="s">
        <v>1097</v>
      </c>
      <c r="C2" s="3911"/>
      <c r="D2" s="3911"/>
      <c r="E2" s="3911"/>
      <c r="F2" s="3912"/>
      <c r="H2" s="3910" t="s">
        <v>1061</v>
      </c>
      <c r="I2" s="3911"/>
      <c r="J2" s="3911"/>
      <c r="K2" s="3912"/>
      <c r="L2" s="3743"/>
      <c r="M2" s="3743"/>
      <c r="N2" s="3743"/>
      <c r="T2" s="3907" t="s">
        <v>681</v>
      </c>
      <c r="U2" s="3908"/>
      <c r="V2" s="3908"/>
      <c r="W2" s="3908"/>
      <c r="X2" s="3908"/>
      <c r="Y2" s="3909"/>
      <c r="Z2" s="1104"/>
      <c r="AA2" s="3907" t="s">
        <v>680</v>
      </c>
      <c r="AB2" s="3908"/>
      <c r="AC2" s="3908"/>
      <c r="AD2" s="3909"/>
      <c r="AE2" s="1104"/>
      <c r="AF2" s="1104" t="s">
        <v>978</v>
      </c>
      <c r="AJ2" s="4188"/>
      <c r="AK2" s="4118"/>
      <c r="AM2" s="4118"/>
      <c r="AO2" s="4118"/>
      <c r="AQ2" s="4118"/>
      <c r="AR2" s="4118"/>
      <c r="AS2" s="4118"/>
      <c r="AT2" s="4118"/>
      <c r="AU2" s="4118"/>
      <c r="AV2" s="4118"/>
      <c r="AW2" s="4118"/>
    </row>
    <row r="3" spans="1:49">
      <c r="B3" s="1326"/>
      <c r="C3" s="1326"/>
      <c r="D3" s="1326"/>
      <c r="E3" s="1326"/>
      <c r="F3" s="1326"/>
      <c r="H3" s="1382"/>
      <c r="I3" s="1382"/>
      <c r="J3" s="1382"/>
      <c r="R3" s="477" t="s">
        <v>1065</v>
      </c>
      <c r="S3" s="477" t="s">
        <v>1066</v>
      </c>
      <c r="T3" s="1104" t="s">
        <v>677</v>
      </c>
      <c r="U3" s="1104" t="s">
        <v>683</v>
      </c>
      <c r="V3" s="1104" t="s">
        <v>1067</v>
      </c>
      <c r="W3" s="1104" t="s">
        <v>676</v>
      </c>
      <c r="X3" s="1104" t="s">
        <v>763</v>
      </c>
      <c r="Y3" s="1104" t="s">
        <v>24</v>
      </c>
      <c r="Z3" s="1104"/>
      <c r="AA3" s="1104" t="s">
        <v>683</v>
      </c>
      <c r="AB3" s="1104" t="s">
        <v>676</v>
      </c>
      <c r="AC3" s="1104" t="s">
        <v>763</v>
      </c>
      <c r="AD3" s="1104" t="s">
        <v>24</v>
      </c>
      <c r="AE3" s="1104"/>
      <c r="AF3" s="1104"/>
      <c r="AJ3" s="4187"/>
      <c r="AK3" s="4185" t="s">
        <v>3552</v>
      </c>
      <c r="AL3" s="4186"/>
      <c r="AM3" s="4185" t="s">
        <v>3552</v>
      </c>
      <c r="AN3" s="4186"/>
      <c r="AO3" s="4185" t="s">
        <v>3552</v>
      </c>
      <c r="AP3" s="4186"/>
      <c r="AQ3" s="4185" t="s">
        <v>3552</v>
      </c>
      <c r="AR3" s="4185"/>
      <c r="AS3" s="4185" t="s">
        <v>3552</v>
      </c>
      <c r="AT3" s="4185" t="s">
        <v>3552</v>
      </c>
      <c r="AU3" s="4185" t="s">
        <v>3552</v>
      </c>
      <c r="AV3" s="4185" t="s">
        <v>3552</v>
      </c>
      <c r="AW3" s="4185" t="s">
        <v>3552</v>
      </c>
    </row>
    <row r="4" spans="1:49">
      <c r="A4" s="1327"/>
      <c r="B4" s="1327" t="s">
        <v>80</v>
      </c>
      <c r="C4" s="1327" t="s">
        <v>81</v>
      </c>
      <c r="D4" s="1327" t="s">
        <v>1063</v>
      </c>
      <c r="E4" s="1327" t="s">
        <v>1064</v>
      </c>
      <c r="F4" s="1327" t="s">
        <v>24</v>
      </c>
      <c r="G4" s="1327"/>
      <c r="H4" s="1327" t="s">
        <v>80</v>
      </c>
      <c r="I4" s="1327" t="s">
        <v>81</v>
      </c>
      <c r="J4" s="1327" t="s">
        <v>1064</v>
      </c>
      <c r="K4" s="1327" t="s">
        <v>24</v>
      </c>
      <c r="L4" s="1327"/>
      <c r="M4" s="1327"/>
      <c r="N4" s="1327"/>
      <c r="O4" s="1327"/>
      <c r="R4" s="477" t="s">
        <v>1069</v>
      </c>
      <c r="S4" s="477" t="s">
        <v>1070</v>
      </c>
      <c r="T4" s="1186">
        <v>0</v>
      </c>
      <c r="U4" s="1186">
        <v>705842</v>
      </c>
      <c r="V4" s="1186">
        <v>7105511</v>
      </c>
      <c r="W4" s="1186">
        <v>3243396</v>
      </c>
      <c r="X4" s="1186">
        <v>2365307</v>
      </c>
      <c r="Y4" s="1186">
        <f>SUM(T4:X4)</f>
        <v>13420056</v>
      </c>
      <c r="Z4" s="866"/>
      <c r="AA4" s="1186">
        <v>0</v>
      </c>
      <c r="AB4" s="1186">
        <v>0</v>
      </c>
      <c r="AC4" s="1186">
        <v>0</v>
      </c>
      <c r="AD4" s="1186">
        <f>SUM(AA4:AC4)</f>
        <v>0</v>
      </c>
      <c r="AE4" s="866"/>
      <c r="AF4" s="1186">
        <f>SUM(Y4,AD4)</f>
        <v>13420056</v>
      </c>
      <c r="AJ4" s="4182" t="s">
        <v>3551</v>
      </c>
      <c r="AK4" s="4182">
        <v>2019</v>
      </c>
      <c r="AL4" s="4184"/>
      <c r="AM4" s="4182">
        <f>AK4+1</f>
        <v>2020</v>
      </c>
      <c r="AN4" s="4184"/>
      <c r="AO4" s="4182">
        <f>AM4+1</f>
        <v>2021</v>
      </c>
      <c r="AP4" s="4184"/>
      <c r="AQ4" s="4182">
        <f>AO4+1</f>
        <v>2022</v>
      </c>
      <c r="AR4" s="4182"/>
      <c r="AS4" s="4182">
        <f>AQ4+1</f>
        <v>2023</v>
      </c>
      <c r="AT4" s="4182">
        <f>AS4+1</f>
        <v>2024</v>
      </c>
      <c r="AU4" s="4182">
        <f>AT4+1</f>
        <v>2025</v>
      </c>
      <c r="AV4" s="4182">
        <f>AU4+1</f>
        <v>2026</v>
      </c>
      <c r="AW4" s="4182">
        <f>AV4+1</f>
        <v>2027</v>
      </c>
    </row>
    <row r="5" spans="1:49">
      <c r="A5" s="1327" t="s">
        <v>1068</v>
      </c>
      <c r="B5" s="1327"/>
      <c r="C5" s="1327"/>
      <c r="D5" s="1327"/>
      <c r="E5" s="1327"/>
      <c r="F5" s="1327"/>
      <c r="G5" s="1327"/>
      <c r="H5" s="1327"/>
      <c r="I5" s="1327"/>
      <c r="J5" s="1327"/>
      <c r="K5" s="1327"/>
      <c r="L5" s="1327"/>
      <c r="M5" s="1327"/>
      <c r="N5" s="1327"/>
      <c r="O5" s="1327"/>
      <c r="R5" s="477" t="s">
        <v>1071</v>
      </c>
      <c r="S5" s="477" t="s">
        <v>1072</v>
      </c>
      <c r="T5" s="1186">
        <v>0</v>
      </c>
      <c r="U5" s="1186">
        <v>1788783</v>
      </c>
      <c r="V5" s="1186">
        <v>8422</v>
      </c>
      <c r="W5" s="1186">
        <v>0</v>
      </c>
      <c r="X5" s="1186">
        <v>5681346</v>
      </c>
      <c r="Y5" s="1186">
        <f>SUM(T5:X5)</f>
        <v>7478551</v>
      </c>
      <c r="Z5" s="866"/>
      <c r="AA5" s="1186">
        <v>968616</v>
      </c>
      <c r="AB5" s="1186">
        <v>5183204</v>
      </c>
      <c r="AC5" s="1186">
        <v>2759882</v>
      </c>
      <c r="AD5" s="1186">
        <f>SUM(AA5:AC5)</f>
        <v>8911702</v>
      </c>
      <c r="AE5" s="866"/>
      <c r="AF5" s="1186">
        <f>SUM(Y5,AD5)</f>
        <v>16390253</v>
      </c>
      <c r="AJ5" s="4182" t="s">
        <v>3550</v>
      </c>
      <c r="AK5" s="4182">
        <v>2020</v>
      </c>
      <c r="AL5" s="4184"/>
      <c r="AM5" s="4182">
        <f>AK5+1</f>
        <v>2021</v>
      </c>
      <c r="AN5" s="4184"/>
      <c r="AO5" s="4182">
        <f>AM5+1</f>
        <v>2022</v>
      </c>
      <c r="AP5" s="4184"/>
      <c r="AQ5" s="4182">
        <f>AO5+1</f>
        <v>2023</v>
      </c>
      <c r="AR5" s="4182"/>
      <c r="AS5" s="4182">
        <f>AQ5+1</f>
        <v>2024</v>
      </c>
      <c r="AT5" s="4182">
        <f>AS5+1</f>
        <v>2025</v>
      </c>
      <c r="AU5" s="4182">
        <f>AT5+1</f>
        <v>2026</v>
      </c>
      <c r="AV5" s="4182">
        <f>AU5+1</f>
        <v>2027</v>
      </c>
      <c r="AW5" s="4182">
        <f>AV5+1</f>
        <v>2028</v>
      </c>
    </row>
    <row r="6" spans="1:49">
      <c r="A6" s="1328" t="s">
        <v>1096</v>
      </c>
      <c r="R6" s="477" t="s">
        <v>1073</v>
      </c>
      <c r="S6" s="477" t="s">
        <v>1074</v>
      </c>
      <c r="T6" s="1186">
        <v>0</v>
      </c>
      <c r="U6" s="1186">
        <v>870849</v>
      </c>
      <c r="V6" s="1186">
        <v>1304881</v>
      </c>
      <c r="W6" s="1186">
        <v>12565</v>
      </c>
      <c r="X6" s="1186">
        <v>2282939</v>
      </c>
      <c r="Y6" s="1186">
        <f>SUM(T6:X6)</f>
        <v>4471234</v>
      </c>
      <c r="Z6" s="866"/>
      <c r="AA6" s="1186">
        <v>0</v>
      </c>
      <c r="AB6" s="1186">
        <v>0</v>
      </c>
      <c r="AC6" s="1186">
        <v>0</v>
      </c>
      <c r="AD6" s="1186">
        <f>SUM(AA6:AC6)</f>
        <v>0</v>
      </c>
      <c r="AE6" s="866"/>
      <c r="AF6" s="1186">
        <f>SUM(Y6,AD6)</f>
        <v>4471234</v>
      </c>
      <c r="AJ6" s="4183" t="s">
        <v>3549</v>
      </c>
      <c r="AK6" s="4183">
        <v>2020</v>
      </c>
      <c r="AL6" s="4184"/>
      <c r="AM6" s="4183">
        <f>AK6+1</f>
        <v>2021</v>
      </c>
      <c r="AN6" s="4184"/>
      <c r="AO6" s="4183">
        <f>AM6+1</f>
        <v>2022</v>
      </c>
      <c r="AP6" s="4184"/>
      <c r="AQ6" s="4183">
        <f>AO6+1</f>
        <v>2023</v>
      </c>
      <c r="AR6" s="4183"/>
      <c r="AS6" s="4183">
        <f>AQ6+1</f>
        <v>2024</v>
      </c>
      <c r="AT6" s="4183">
        <f>AS6+1</f>
        <v>2025</v>
      </c>
      <c r="AU6" s="4183">
        <f>AT6+1</f>
        <v>2026</v>
      </c>
      <c r="AV6" s="4183">
        <f>AU6+1</f>
        <v>2027</v>
      </c>
      <c r="AW6" s="4183">
        <f>AV6+1</f>
        <v>2028</v>
      </c>
    </row>
    <row r="7" spans="1:49">
      <c r="A7" s="1348">
        <v>408190</v>
      </c>
      <c r="B7" s="1386">
        <f>'G-2.02,3.11,5.04 Prop Tax'!AC7</f>
        <v>259863</v>
      </c>
      <c r="C7" s="1386"/>
      <c r="D7" s="1386"/>
      <c r="E7" s="1386"/>
      <c r="F7" s="1387">
        <f>SUM(B7:E7)</f>
        <v>259863</v>
      </c>
      <c r="G7" s="1385"/>
      <c r="H7" s="1387">
        <f>ROUND($F$7*H16,0)</f>
        <v>160711</v>
      </c>
      <c r="I7" s="1387">
        <f>ROUND($F$7*I16,0)</f>
        <v>74075</v>
      </c>
      <c r="J7" s="1387">
        <f>ROUND($F$7*J16,0)</f>
        <v>25077</v>
      </c>
      <c r="K7" s="1387">
        <f>SUM(H7:J7)</f>
        <v>259863</v>
      </c>
      <c r="L7" s="1387"/>
      <c r="M7" s="1387"/>
      <c r="N7" s="1387"/>
      <c r="R7" s="477" t="s">
        <v>1075</v>
      </c>
      <c r="S7" s="477" t="s">
        <v>1076</v>
      </c>
      <c r="T7" s="1186">
        <v>0</v>
      </c>
      <c r="U7" s="1186">
        <v>0</v>
      </c>
      <c r="V7" s="1186">
        <v>0</v>
      </c>
      <c r="W7" s="1186">
        <v>0</v>
      </c>
      <c r="X7" s="1186">
        <v>0</v>
      </c>
      <c r="Y7" s="1186">
        <f>SUM(T7:X7)</f>
        <v>0</v>
      </c>
      <c r="Z7" s="866"/>
      <c r="AA7" s="1186">
        <v>0</v>
      </c>
      <c r="AB7" s="1186">
        <v>0</v>
      </c>
      <c r="AC7" s="1186">
        <v>259863</v>
      </c>
      <c r="AD7" s="1186">
        <f>SUM(AA7:AC7)</f>
        <v>259863</v>
      </c>
      <c r="AE7" s="866"/>
      <c r="AF7" s="1186">
        <f>SUM(Y7,AD7)</f>
        <v>259863</v>
      </c>
      <c r="AJ7" s="4182" t="s">
        <v>3548</v>
      </c>
      <c r="AK7" s="4180" t="s">
        <v>3547</v>
      </c>
      <c r="AL7" s="4181"/>
      <c r="AM7" s="4180" t="s">
        <v>3546</v>
      </c>
      <c r="AN7" s="4181"/>
      <c r="AO7" s="4180" t="s">
        <v>3177</v>
      </c>
      <c r="AP7" s="4181"/>
      <c r="AQ7" s="4180" t="s">
        <v>3178</v>
      </c>
      <c r="AR7" s="4180"/>
      <c r="AS7" s="4180" t="s">
        <v>559</v>
      </c>
      <c r="AT7" s="4180" t="s">
        <v>559</v>
      </c>
      <c r="AU7" s="4180" t="s">
        <v>559</v>
      </c>
      <c r="AV7" s="4180" t="s">
        <v>2553</v>
      </c>
      <c r="AW7" s="4180" t="s">
        <v>3545</v>
      </c>
    </row>
    <row r="8" spans="1:49" ht="15" thickBot="1">
      <c r="B8" s="1386"/>
      <c r="C8" s="1386"/>
      <c r="D8" s="1386"/>
      <c r="E8" s="1386"/>
      <c r="R8" s="477" t="s">
        <v>978</v>
      </c>
      <c r="T8" s="1331">
        <f t="shared" ref="T8:Y8" si="0">SUM(T4:T7)</f>
        <v>0</v>
      </c>
      <c r="U8" s="1331">
        <f t="shared" si="0"/>
        <v>3365474</v>
      </c>
      <c r="V8" s="1331">
        <f t="shared" si="0"/>
        <v>8418814</v>
      </c>
      <c r="W8" s="1331">
        <f t="shared" si="0"/>
        <v>3255961</v>
      </c>
      <c r="X8" s="1331">
        <f t="shared" si="0"/>
        <v>10329592</v>
      </c>
      <c r="Y8" s="1332">
        <f t="shared" si="0"/>
        <v>25369841</v>
      </c>
      <c r="Z8" s="1330"/>
      <c r="AA8" s="1331">
        <f>SUM(AA4:AA7)</f>
        <v>968616</v>
      </c>
      <c r="AB8" s="1331">
        <f>SUM(AB4:AB7)</f>
        <v>5183204</v>
      </c>
      <c r="AC8" s="1331">
        <f>SUM(AC4:AC7)</f>
        <v>3019745</v>
      </c>
      <c r="AD8" s="1332">
        <f>SUM(AD4:AD7)</f>
        <v>9171565</v>
      </c>
      <c r="AE8" s="1330"/>
      <c r="AF8" s="1331">
        <f>SUM(AF4:AF7)</f>
        <v>34541406</v>
      </c>
      <c r="AJ8" s="4182"/>
      <c r="AK8" s="4180"/>
      <c r="AL8" s="4181"/>
      <c r="AM8" s="4180"/>
      <c r="AN8" s="4181"/>
      <c r="AO8" s="4180"/>
      <c r="AP8" s="4181"/>
      <c r="AQ8" s="4180"/>
      <c r="AR8" s="4180"/>
      <c r="AS8" s="4180"/>
      <c r="AT8" s="4180"/>
      <c r="AU8" s="4180"/>
      <c r="AV8" s="4180"/>
      <c r="AW8" s="4180"/>
    </row>
    <row r="9" spans="1:49">
      <c r="A9" s="1328" t="s">
        <v>1077</v>
      </c>
      <c r="B9" s="1386"/>
      <c r="C9" s="1386"/>
      <c r="D9" s="1386"/>
      <c r="E9" s="1386"/>
      <c r="AJ9" s="4122"/>
      <c r="AK9" s="477"/>
      <c r="AL9" s="477"/>
      <c r="AM9" s="477"/>
      <c r="AN9" s="477"/>
      <c r="AO9" s="477"/>
      <c r="AP9" s="477"/>
      <c r="AQ9" s="477"/>
      <c r="AR9" s="477"/>
      <c r="AS9" s="477"/>
      <c r="AT9" s="477"/>
      <c r="AU9" s="477"/>
      <c r="AV9" s="477"/>
      <c r="AW9" s="477"/>
    </row>
    <row r="10" spans="1:49" ht="16" thickBot="1">
      <c r="A10" s="1348">
        <v>408170</v>
      </c>
      <c r="B10" s="1360">
        <f>'G-2.02,3.11,5.04 Prop Tax'!AC5</f>
        <v>2759882</v>
      </c>
      <c r="C10" s="1360">
        <f>'G-2.02,3.11,5.04 Prop Tax'!AA5</f>
        <v>968616</v>
      </c>
      <c r="D10" s="1360"/>
      <c r="E10" s="1360">
        <f>'G-2.02,3.11,5.04 Prop Tax'!AB5</f>
        <v>5183204</v>
      </c>
      <c r="F10" s="1359">
        <f>SUM(B10:E10)</f>
        <v>8911702</v>
      </c>
      <c r="H10" s="1359">
        <f>B10</f>
        <v>2759882</v>
      </c>
      <c r="I10" s="1359">
        <f>C10</f>
        <v>968616</v>
      </c>
      <c r="J10" s="1359">
        <f>E10</f>
        <v>5183204</v>
      </c>
      <c r="K10" s="1359">
        <f>SUM(H10:J10)</f>
        <v>8911702</v>
      </c>
      <c r="L10" s="3744"/>
      <c r="M10" s="3744"/>
      <c r="N10" s="3744"/>
      <c r="R10" s="531" t="s">
        <v>1078</v>
      </c>
      <c r="AJ10" s="4146" t="s">
        <v>3544</v>
      </c>
      <c r="AK10" s="4176"/>
      <c r="AL10" s="4177"/>
      <c r="AM10" s="4176"/>
      <c r="AN10" s="4177"/>
      <c r="AO10" s="4176"/>
      <c r="AP10" s="4177"/>
      <c r="AQ10" s="4176"/>
      <c r="AR10" s="4176"/>
      <c r="AS10" s="4176"/>
      <c r="AT10" s="4176"/>
      <c r="AU10" s="4176"/>
      <c r="AV10" s="4176"/>
      <c r="AW10" s="4176"/>
    </row>
    <row r="11" spans="1:49" ht="16" thickBot="1">
      <c r="B11" s="1386"/>
      <c r="C11" s="1386"/>
      <c r="D11" s="1386"/>
      <c r="E11" s="1386"/>
      <c r="T11" s="3907" t="s">
        <v>681</v>
      </c>
      <c r="U11" s="3908"/>
      <c r="V11" s="3908"/>
      <c r="W11" s="3908"/>
      <c r="X11" s="3908"/>
      <c r="Y11" s="3909"/>
      <c r="Z11" s="1104"/>
      <c r="AA11" s="3907" t="s">
        <v>680</v>
      </c>
      <c r="AB11" s="3908"/>
      <c r="AC11" s="3908"/>
      <c r="AD11" s="3909"/>
      <c r="AE11" s="1104"/>
      <c r="AF11" s="1104" t="s">
        <v>978</v>
      </c>
      <c r="AK11" s="4130" t="s">
        <v>3517</v>
      </c>
      <c r="AL11" s="4131"/>
      <c r="AM11" s="4130" t="s">
        <v>3516</v>
      </c>
      <c r="AN11" s="4131"/>
      <c r="AO11" s="4130" t="s">
        <v>3515</v>
      </c>
      <c r="AP11" s="4131"/>
      <c r="AQ11" s="4130" t="s">
        <v>3522</v>
      </c>
      <c r="AR11" s="4130"/>
      <c r="AS11" s="4130" t="s">
        <v>3543</v>
      </c>
      <c r="AT11" s="4130" t="s">
        <v>3542</v>
      </c>
      <c r="AU11" s="4130" t="s">
        <v>3541</v>
      </c>
      <c r="AV11" s="4130" t="s">
        <v>3540</v>
      </c>
      <c r="AW11" s="4130" t="s">
        <v>3539</v>
      </c>
    </row>
    <row r="12" spans="1:49" ht="15" thickBot="1">
      <c r="A12" s="1328" t="s">
        <v>1068</v>
      </c>
      <c r="B12" s="1354">
        <f>SUM(B7:B10)</f>
        <v>3019745</v>
      </c>
      <c r="C12" s="1354">
        <f>SUM(C7:C10)</f>
        <v>968616</v>
      </c>
      <c r="D12" s="1354">
        <f>SUM(D7:D10)</f>
        <v>0</v>
      </c>
      <c r="E12" s="1354">
        <f>SUM(E7:E10)</f>
        <v>5183204</v>
      </c>
      <c r="F12" s="1354">
        <f>SUM(F7:F10)</f>
        <v>9171565</v>
      </c>
      <c r="G12" s="1355"/>
      <c r="H12" s="1354">
        <f>SUM(H7:H10)</f>
        <v>2920593</v>
      </c>
      <c r="I12" s="1354">
        <f>SUM(I7:I10)</f>
        <v>1042691</v>
      </c>
      <c r="J12" s="1354">
        <f>SUM(J7:J10)</f>
        <v>5208281</v>
      </c>
      <c r="K12" s="1354">
        <f>SUM(K7:K10)</f>
        <v>9171565</v>
      </c>
      <c r="L12" s="1355"/>
      <c r="M12" s="1355"/>
      <c r="N12" s="1355"/>
      <c r="R12" s="477" t="s">
        <v>1065</v>
      </c>
      <c r="S12" s="477" t="s">
        <v>1066</v>
      </c>
      <c r="T12" s="1104" t="s">
        <v>677</v>
      </c>
      <c r="U12" s="1104" t="s">
        <v>683</v>
      </c>
      <c r="V12" s="1104" t="s">
        <v>1067</v>
      </c>
      <c r="W12" s="1104" t="s">
        <v>676</v>
      </c>
      <c r="X12" s="1104" t="s">
        <v>763</v>
      </c>
      <c r="Y12" s="1104" t="s">
        <v>24</v>
      </c>
      <c r="Z12" s="1104"/>
      <c r="AA12" s="1104" t="s">
        <v>683</v>
      </c>
      <c r="AB12" s="1104" t="s">
        <v>676</v>
      </c>
      <c r="AC12" s="1104" t="s">
        <v>763</v>
      </c>
      <c r="AD12" s="1104" t="s">
        <v>24</v>
      </c>
      <c r="AE12" s="1104"/>
      <c r="AF12" s="1104"/>
      <c r="AJ12" s="4122" t="s">
        <v>3499</v>
      </c>
      <c r="AK12" s="4144">
        <v>2400000</v>
      </c>
      <c r="AL12" s="4145"/>
      <c r="AM12" s="4144">
        <v>2500000</v>
      </c>
      <c r="AN12" s="4145"/>
      <c r="AO12" s="4144">
        <v>2400000</v>
      </c>
      <c r="AP12" s="4145"/>
      <c r="AQ12" s="4144">
        <v>2100000</v>
      </c>
      <c r="AR12" s="4144"/>
      <c r="AS12" s="4144">
        <v>2200000</v>
      </c>
      <c r="AT12" s="4144">
        <v>2300000</v>
      </c>
      <c r="AU12" s="4144">
        <v>2400000</v>
      </c>
      <c r="AV12" s="4144">
        <v>2500000</v>
      </c>
      <c r="AW12" s="4144">
        <v>2600000</v>
      </c>
    </row>
    <row r="13" spans="1:49">
      <c r="R13" s="477" t="s">
        <v>1069</v>
      </c>
      <c r="S13" s="477" t="s">
        <v>1070</v>
      </c>
      <c r="T13" s="1186">
        <v>0</v>
      </c>
      <c r="U13" s="1186">
        <v>62.55</v>
      </c>
      <c r="V13" s="1186">
        <f>6399.37+4295.81</f>
        <v>10695.18</v>
      </c>
      <c r="W13" s="1186">
        <v>0</v>
      </c>
      <c r="X13" s="1186">
        <f>-50.23-26.31-197.33</f>
        <v>-273.87</v>
      </c>
      <c r="Y13" s="1186">
        <f>SUM(T13:X13)</f>
        <v>10483.859999999999</v>
      </c>
      <c r="Z13" s="1330"/>
      <c r="AA13" s="1186">
        <v>0</v>
      </c>
      <c r="AB13" s="1186">
        <v>0</v>
      </c>
      <c r="AC13" s="1186">
        <v>0</v>
      </c>
      <c r="AD13" s="1186">
        <f>SUM(AA13:AC13)</f>
        <v>0</v>
      </c>
      <c r="AE13" s="1330"/>
      <c r="AF13" s="1186">
        <f>SUM(Y13,AD13)</f>
        <v>10483.859999999999</v>
      </c>
      <c r="AJ13" s="4122" t="s">
        <v>3513</v>
      </c>
      <c r="AK13" s="4163">
        <v>0.9588379188630457</v>
      </c>
      <c r="AL13" s="4145"/>
      <c r="AM13" s="4163">
        <v>0.95486952252008761</v>
      </c>
      <c r="AN13" s="4145"/>
      <c r="AO13" s="4163">
        <v>0.97832567256095737</v>
      </c>
      <c r="AP13" s="4145"/>
      <c r="AQ13" s="4163">
        <v>0.98192066911386788</v>
      </c>
      <c r="AR13" s="4163"/>
      <c r="AS13" s="4163">
        <v>0.98388907226616229</v>
      </c>
      <c r="AT13" s="4163">
        <v>0.98388907226616229</v>
      </c>
      <c r="AU13" s="4163">
        <v>0.98388907226616229</v>
      </c>
      <c r="AV13" s="4163">
        <v>0.98388907226616229</v>
      </c>
      <c r="AW13" s="4163">
        <v>0.98388907226616229</v>
      </c>
    </row>
    <row r="14" spans="1:49">
      <c r="G14" s="1385"/>
      <c r="H14" s="1384" t="s">
        <v>1095</v>
      </c>
      <c r="R14" s="477" t="s">
        <v>1071</v>
      </c>
      <c r="S14" s="477" t="s">
        <v>1072</v>
      </c>
      <c r="T14" s="1186">
        <v>0</v>
      </c>
      <c r="U14" s="1186">
        <v>0</v>
      </c>
      <c r="V14" s="1186">
        <v>12.67</v>
      </c>
      <c r="W14" s="1186">
        <v>0</v>
      </c>
      <c r="X14" s="1186">
        <v>-657.78</v>
      </c>
      <c r="Y14" s="1186">
        <f>SUM(T14:X14)</f>
        <v>-645.11</v>
      </c>
      <c r="Z14" s="1330"/>
      <c r="AA14" s="1186">
        <v>-2.2200000000000002</v>
      </c>
      <c r="AB14" s="1186">
        <v>0</v>
      </c>
      <c r="AC14" s="1186">
        <v>844.89</v>
      </c>
      <c r="AD14" s="1186">
        <f>SUM(AA14:AC14)</f>
        <v>842.67</v>
      </c>
      <c r="AE14" s="1330"/>
      <c r="AF14" s="1186">
        <f>SUM(Y14,AD14)</f>
        <v>197.55999999999995</v>
      </c>
      <c r="AJ14" s="4122" t="s">
        <v>927</v>
      </c>
      <c r="AK14" s="4151">
        <v>0.56982299999999997</v>
      </c>
      <c r="AL14" s="4150"/>
      <c r="AM14" s="4151">
        <v>0.57598400000000005</v>
      </c>
      <c r="AN14" s="4150"/>
      <c r="AO14" s="4151">
        <v>0.57902500000000001</v>
      </c>
      <c r="AP14" s="4150"/>
      <c r="AQ14" s="4151">
        <v>0.58194107046672416</v>
      </c>
      <c r="AR14" s="4151"/>
      <c r="AS14" s="4151">
        <v>0.57827917289532638</v>
      </c>
      <c r="AT14" s="4151">
        <v>0.58984475635323286</v>
      </c>
      <c r="AU14" s="4151">
        <v>0.60164165148029747</v>
      </c>
      <c r="AV14" s="4151">
        <v>0.61367448450990336</v>
      </c>
      <c r="AW14" s="4151">
        <v>0.6259479742001014</v>
      </c>
    </row>
    <row r="15" spans="1:49">
      <c r="H15" s="1327" t="s">
        <v>80</v>
      </c>
      <c r="I15" s="1327" t="s">
        <v>81</v>
      </c>
      <c r="J15" s="1327" t="s">
        <v>1064</v>
      </c>
      <c r="R15" s="477" t="s">
        <v>1073</v>
      </c>
      <c r="S15" s="477" t="s">
        <v>1074</v>
      </c>
      <c r="T15" s="1186">
        <v>0</v>
      </c>
      <c r="U15" s="1186">
        <v>0</v>
      </c>
      <c r="V15" s="1186">
        <v>1964.16</v>
      </c>
      <c r="W15" s="1186">
        <v>0</v>
      </c>
      <c r="X15" s="1186">
        <v>0</v>
      </c>
      <c r="Y15" s="1186">
        <f>SUM(T15:X15)</f>
        <v>1964.16</v>
      </c>
      <c r="Z15" s="1330"/>
      <c r="AA15" s="1186">
        <v>0</v>
      </c>
      <c r="AB15" s="1186">
        <v>0</v>
      </c>
      <c r="AC15" s="1186">
        <v>0</v>
      </c>
      <c r="AD15" s="1186">
        <f>SUM(AA15:AC15)</f>
        <v>0</v>
      </c>
      <c r="AE15" s="1330"/>
      <c r="AF15" s="1186">
        <f>SUM(Y15,AD15)</f>
        <v>1964.16</v>
      </c>
      <c r="AJ15" s="4122" t="s">
        <v>3512</v>
      </c>
      <c r="AK15" s="4144">
        <v>1311282.9586567134</v>
      </c>
      <c r="AL15" s="4145"/>
      <c r="AM15" s="4144">
        <f>SUM(AM12:AM12)*AM13*AM14</f>
        <v>1374973.9176480256</v>
      </c>
      <c r="AN15" s="4145"/>
      <c r="AO15" s="4144">
        <f>SUM(AO12:AO12)*AO13*AO14</f>
        <v>1359540.0541310601</v>
      </c>
      <c r="AP15" s="4145"/>
      <c r="AQ15" s="4144">
        <f>SUM(AQ12:AQ12)*AQ13*AQ14</f>
        <v>1199981.9271248053</v>
      </c>
      <c r="AR15" s="4144"/>
      <c r="AS15" s="4144">
        <f>SUM(AS12:AS12)*AS13*AS14</f>
        <v>1251717.6296478179</v>
      </c>
      <c r="AT15" s="4144">
        <f>SUM(AT12:AT12)*AT13*AT14</f>
        <v>1334786.1632517185</v>
      </c>
      <c r="AU15" s="4144">
        <f>SUM(AU12:AU12)*AU13*AU14</f>
        <v>1420676.7511479158</v>
      </c>
      <c r="AV15" s="4144">
        <f>SUM(AV12:AV12)*AV13*AV14</f>
        <v>1509469.0480946607</v>
      </c>
      <c r="AW15" s="4144">
        <f>SUM(AW12:AW12)*AW13*AW14</f>
        <v>1601244.7662188157</v>
      </c>
    </row>
    <row r="16" spans="1:49">
      <c r="H16" s="1383">
        <f>(0.6845*0.9035)</f>
        <v>0.61844575000000002</v>
      </c>
      <c r="I16" s="1383">
        <f>0.9035-H16</f>
        <v>0.28505424999999995</v>
      </c>
      <c r="J16" s="1383">
        <f>0.0965</f>
        <v>9.6500000000000002E-2</v>
      </c>
      <c r="R16" s="477" t="s">
        <v>1075</v>
      </c>
      <c r="S16" s="477" t="s">
        <v>1076</v>
      </c>
      <c r="T16" s="1186">
        <v>0</v>
      </c>
      <c r="U16" s="1186">
        <v>0</v>
      </c>
      <c r="V16" s="1186">
        <v>0</v>
      </c>
      <c r="W16" s="1186">
        <v>0</v>
      </c>
      <c r="X16" s="1186">
        <v>-264.31</v>
      </c>
      <c r="Y16" s="1186">
        <f>SUM(T16:X16)</f>
        <v>-264.31</v>
      </c>
      <c r="Z16" s="1330"/>
      <c r="AA16" s="1186">
        <v>0</v>
      </c>
      <c r="AB16" s="1186">
        <v>0</v>
      </c>
      <c r="AC16" s="1186">
        <v>0</v>
      </c>
      <c r="AD16" s="1186">
        <f>SUM(AA16:AC16)</f>
        <v>0</v>
      </c>
      <c r="AE16" s="1330"/>
      <c r="AF16" s="1186">
        <f>SUM(Y16,AD16)</f>
        <v>-264.31</v>
      </c>
      <c r="AJ16" s="4122" t="s">
        <v>3538</v>
      </c>
      <c r="AK16" s="4149">
        <v>345.346</v>
      </c>
      <c r="AL16" s="4150"/>
      <c r="AM16" s="4149">
        <v>754.19666726394212</v>
      </c>
      <c r="AN16" s="4150"/>
      <c r="AO16" s="4149">
        <v>634.08000000000004</v>
      </c>
      <c r="AP16" s="4150"/>
      <c r="AQ16" s="4149">
        <v>559.87609254201959</v>
      </c>
      <c r="AR16" s="4149"/>
      <c r="AS16" s="4149">
        <v>382.70020693776502</v>
      </c>
      <c r="AT16" s="4149">
        <v>382.70020693776502</v>
      </c>
      <c r="AU16" s="4149">
        <v>382.70020693776502</v>
      </c>
      <c r="AV16" s="4149">
        <v>382.70020693776502</v>
      </c>
      <c r="AW16" s="4149">
        <v>382.70020693776502</v>
      </c>
    </row>
    <row r="17" spans="1:49" ht="15" thickBot="1">
      <c r="H17" s="1382"/>
      <c r="I17" s="1382"/>
      <c r="J17" s="1382"/>
      <c r="R17" s="477" t="s">
        <v>978</v>
      </c>
      <c r="T17" s="1331">
        <f t="shared" ref="T17:Y17" si="1">SUM(T13:T16)</f>
        <v>0</v>
      </c>
      <c r="U17" s="1331">
        <f t="shared" si="1"/>
        <v>62.55</v>
      </c>
      <c r="V17" s="1331">
        <f t="shared" si="1"/>
        <v>12672.01</v>
      </c>
      <c r="W17" s="1331">
        <f t="shared" si="1"/>
        <v>0</v>
      </c>
      <c r="X17" s="1331">
        <f t="shared" si="1"/>
        <v>-1195.96</v>
      </c>
      <c r="Y17" s="1331">
        <f t="shared" si="1"/>
        <v>11538.599999999999</v>
      </c>
      <c r="Z17" s="1330"/>
      <c r="AA17" s="1331">
        <f>SUM(AA13:AA16)</f>
        <v>-2.2200000000000002</v>
      </c>
      <c r="AB17" s="1331">
        <f>SUM(AB13:AB16)</f>
        <v>0</v>
      </c>
      <c r="AC17" s="1331">
        <f>SUM(AC13:AC16)</f>
        <v>844.89</v>
      </c>
      <c r="AD17" s="1331">
        <f>SUM(AD13:AD16)</f>
        <v>842.67</v>
      </c>
      <c r="AE17" s="1330"/>
      <c r="AF17" s="1331">
        <f>SUM(AF13:AF16)</f>
        <v>12381.269999999999</v>
      </c>
      <c r="AJ17" s="4122" t="s">
        <v>3537</v>
      </c>
      <c r="AK17" s="4144">
        <v>1311628.3046567133</v>
      </c>
      <c r="AL17" s="4145"/>
      <c r="AM17" s="4144">
        <f>SUM(AM15:AM16)</f>
        <v>1375728.1143152895</v>
      </c>
      <c r="AN17" s="4145"/>
      <c r="AO17" s="4144">
        <f>SUM(AO15:AO16)</f>
        <v>1360174.1341310602</v>
      </c>
      <c r="AP17" s="4145"/>
      <c r="AQ17" s="4144">
        <f>SUM(AQ15:AQ16)</f>
        <v>1200541.8032173472</v>
      </c>
      <c r="AR17" s="4144"/>
      <c r="AS17" s="4144">
        <f>SUM(AS15:AS16)</f>
        <v>1252100.3298547557</v>
      </c>
      <c r="AT17" s="4144">
        <f>SUM(AT15:AT16)</f>
        <v>1335168.8634586562</v>
      </c>
      <c r="AU17" s="4144">
        <f>SUM(AU15:AU16)</f>
        <v>1421059.4513548536</v>
      </c>
      <c r="AV17" s="4144">
        <f>SUM(AV15:AV16)</f>
        <v>1509851.7483015985</v>
      </c>
      <c r="AW17" s="4144">
        <f>SUM(AW15:AW16)</f>
        <v>1601627.4664257534</v>
      </c>
    </row>
    <row r="18" spans="1:49" ht="29.5" thickBot="1">
      <c r="A18" s="1333" t="s">
        <v>1079</v>
      </c>
      <c r="B18" s="1380">
        <f>B26</f>
        <v>3327434.0449999999</v>
      </c>
      <c r="C18" s="1380">
        <f>C26</f>
        <v>1162629.47</v>
      </c>
      <c r="D18" s="1380">
        <f>D26</f>
        <v>0</v>
      </c>
      <c r="E18" s="1380">
        <f>E26</f>
        <v>5193355.96</v>
      </c>
      <c r="F18" s="1380">
        <f>SUM(B18:E18)</f>
        <v>9683419.4749999996</v>
      </c>
      <c r="G18" s="1379"/>
      <c r="H18" s="1379"/>
      <c r="I18" s="1379"/>
      <c r="J18" s="1379"/>
      <c r="K18" s="1378"/>
      <c r="AJ18" s="4122" t="s">
        <v>3521</v>
      </c>
      <c r="AK18" s="4144">
        <v>1249029.8940000001</v>
      </c>
      <c r="AL18" s="4145"/>
      <c r="AM18" s="4144">
        <f>1311205.59-3523.848</f>
        <v>1307681.7420000001</v>
      </c>
      <c r="AN18" s="4145"/>
      <c r="AO18" s="4144">
        <f>1284164.09-3472.451</f>
        <v>1280691.6390000002</v>
      </c>
      <c r="AP18" s="4145"/>
      <c r="AQ18" s="4144">
        <f>1125142.129989-3021.448</f>
        <v>1122120.6819889999</v>
      </c>
      <c r="AR18" s="4144"/>
      <c r="AS18" s="4144"/>
      <c r="AT18" s="4144"/>
      <c r="AU18" s="4144"/>
      <c r="AV18" s="4144"/>
      <c r="AW18" s="4144"/>
    </row>
    <row r="19" spans="1:49" ht="15" thickBot="1">
      <c r="A19" s="1372"/>
      <c r="B19" s="1371"/>
      <c r="C19" s="1371"/>
      <c r="D19" s="1371"/>
      <c r="E19" s="1371"/>
      <c r="F19" s="1371"/>
      <c r="G19" s="1371"/>
      <c r="H19" s="1371"/>
      <c r="I19" s="1371"/>
      <c r="J19" s="1371"/>
      <c r="K19" s="1370"/>
      <c r="R19" s="531" t="s">
        <v>1080</v>
      </c>
      <c r="AJ19" s="4122" t="s">
        <v>3520</v>
      </c>
      <c r="AK19" s="4158">
        <v>0.95227427584898239</v>
      </c>
      <c r="AL19" s="4150"/>
      <c r="AM19" s="4158">
        <f>AM18/AM17</f>
        <v>0.95053792125985836</v>
      </c>
      <c r="AN19" s="4150"/>
      <c r="AO19" s="4158">
        <f>AO18/AO17</f>
        <v>0.94156447094780482</v>
      </c>
      <c r="AP19" s="4150"/>
      <c r="AQ19" s="4158">
        <f>AQ18/AQ17</f>
        <v>0.93467855844903902</v>
      </c>
      <c r="AR19" s="4158"/>
      <c r="AS19" s="4158">
        <f>AQ19</f>
        <v>0.93467855844903902</v>
      </c>
      <c r="AT19" s="4158">
        <f>AS19</f>
        <v>0.93467855844903902</v>
      </c>
      <c r="AU19" s="4158">
        <f>AT19</f>
        <v>0.93467855844903902</v>
      </c>
      <c r="AV19" s="4158">
        <f>AU19</f>
        <v>0.93467855844903902</v>
      </c>
      <c r="AW19" s="4158">
        <f>AV19</f>
        <v>0.93467855844903902</v>
      </c>
    </row>
    <row r="20" spans="1:49" ht="15" thickBot="1">
      <c r="A20" s="1372" t="s">
        <v>1094</v>
      </c>
      <c r="B20" s="1371"/>
      <c r="C20" s="1371"/>
      <c r="D20" s="1371"/>
      <c r="E20" s="1371"/>
      <c r="F20" s="1371"/>
      <c r="G20" s="1371"/>
      <c r="H20" s="1371"/>
      <c r="I20" s="1371"/>
      <c r="J20" s="1371"/>
      <c r="K20" s="1370"/>
      <c r="T20" s="3907" t="s">
        <v>681</v>
      </c>
      <c r="U20" s="3908"/>
      <c r="V20" s="3908"/>
      <c r="W20" s="3908"/>
      <c r="X20" s="3908"/>
      <c r="Y20" s="3909"/>
      <c r="Z20" s="1104"/>
      <c r="AA20" s="3907" t="s">
        <v>680</v>
      </c>
      <c r="AB20" s="3908"/>
      <c r="AC20" s="3908"/>
      <c r="AD20" s="3909"/>
      <c r="AE20" s="1104"/>
      <c r="AF20" s="1104" t="s">
        <v>978</v>
      </c>
      <c r="AJ20" s="4122" t="s">
        <v>3519</v>
      </c>
      <c r="AK20" s="4144">
        <v>1249029.8940000001</v>
      </c>
      <c r="AL20" s="4145"/>
      <c r="AM20" s="4144">
        <f>SUM(AM17*AM19)</f>
        <v>1307681.7420000001</v>
      </c>
      <c r="AN20" s="4145"/>
      <c r="AO20" s="4144">
        <f>SUM(AO17*AO19)</f>
        <v>1280691.6390000002</v>
      </c>
      <c r="AP20" s="4145"/>
      <c r="AQ20" s="4144">
        <f>SUM(AQ17*AQ19)</f>
        <v>1122120.6819889999</v>
      </c>
      <c r="AR20" s="4144"/>
      <c r="AS20" s="4144">
        <f>SUM(AS17*AS19)</f>
        <v>1170311.3313422094</v>
      </c>
      <c r="AT20" s="4144">
        <f>SUM(AT17*AT19)</f>
        <v>1247953.7085835787</v>
      </c>
      <c r="AU20" s="4144">
        <f>SUM(AU17*AU19)</f>
        <v>1328233.7994627368</v>
      </c>
      <c r="AV20" s="4144">
        <f>SUM(AV17*AV19)</f>
        <v>1411226.0555742993</v>
      </c>
      <c r="AW20" s="4144">
        <f>SUM(AW17*AW19)</f>
        <v>1497006.8514912098</v>
      </c>
    </row>
    <row r="21" spans="1:49">
      <c r="A21" s="1372">
        <v>408190</v>
      </c>
      <c r="B21" s="1369">
        <f>'G-2.02,3.11,5.04 Prop Tax'!AC43</f>
        <v>311170.39</v>
      </c>
      <c r="C21" s="1369"/>
      <c r="D21" s="1369"/>
      <c r="E21" s="1369"/>
      <c r="F21" s="1369">
        <f>SUM(B21:E21)</f>
        <v>311170.39</v>
      </c>
      <c r="G21" s="1371"/>
      <c r="H21" s="1377">
        <f>ROUND($F$21*H16,0)</f>
        <v>192442</v>
      </c>
      <c r="I21" s="1377">
        <f>ROUND($F$21*I16,0)</f>
        <v>88700</v>
      </c>
      <c r="J21" s="1377">
        <f>ROUND($F$21*J16,0)</f>
        <v>30028</v>
      </c>
      <c r="K21" s="1376">
        <f>SUM(H21:J21)</f>
        <v>311170</v>
      </c>
      <c r="R21" s="477" t="s">
        <v>1065</v>
      </c>
      <c r="S21" s="477" t="s">
        <v>1066</v>
      </c>
      <c r="T21" s="1104" t="s">
        <v>677</v>
      </c>
      <c r="U21" s="1104" t="s">
        <v>683</v>
      </c>
      <c r="V21" s="1104" t="s">
        <v>1067</v>
      </c>
      <c r="W21" s="1104" t="s">
        <v>676</v>
      </c>
      <c r="X21" s="1104" t="s">
        <v>763</v>
      </c>
      <c r="Y21" s="1104" t="s">
        <v>24</v>
      </c>
      <c r="Z21" s="1104"/>
      <c r="AA21" s="1104" t="s">
        <v>683</v>
      </c>
      <c r="AB21" s="1104" t="s">
        <v>676</v>
      </c>
      <c r="AC21" s="1104" t="s">
        <v>763</v>
      </c>
      <c r="AD21" s="1104" t="s">
        <v>24</v>
      </c>
      <c r="AE21" s="1104"/>
      <c r="AF21" s="1104"/>
      <c r="AJ21" s="4122" t="s">
        <v>3498</v>
      </c>
      <c r="AK21" s="4142">
        <v>1.1185731572250102E-2</v>
      </c>
      <c r="AL21" s="4143">
        <f>SUM((AM21-AK21)/AK21)</f>
        <v>-2.5288891457493787E-2</v>
      </c>
      <c r="AM21" s="4142">
        <f>14257466.8/1307681742</f>
        <v>1.0902856820646808E-2</v>
      </c>
      <c r="AN21" s="4143">
        <f>SUM((AO21-AM21)/AM21)</f>
        <v>-0.12070662345039844</v>
      </c>
      <c r="AO21" s="4142">
        <f>12277747.14/1280691639</f>
        <v>9.5868097878633856E-3</v>
      </c>
      <c r="AP21" s="4143">
        <f>SUM((AQ21-AO21)/AO21)</f>
        <v>-1.8126756625218454E-2</v>
      </c>
      <c r="AQ21" s="4142">
        <f>10562557.91/1122120682</f>
        <v>9.4130320200265238E-3</v>
      </c>
      <c r="AR21" s="4143">
        <v>1.4999999999999999E-2</v>
      </c>
      <c r="AS21" s="4142">
        <f>SUM(AQ21*(1+$AR$21))</f>
        <v>9.5542275003269207E-3</v>
      </c>
      <c r="AT21" s="4142">
        <f>SUM(AS21*(1+$AR$21))</f>
        <v>9.6975409128318233E-3</v>
      </c>
      <c r="AU21" s="4142">
        <f>SUM(AT21*(1+$AR$21))</f>
        <v>9.8430040265242991E-3</v>
      </c>
      <c r="AV21" s="4142">
        <f>SUM(AU21*(1+$AR$21))</f>
        <v>9.9906490869221629E-3</v>
      </c>
      <c r="AW21" s="4142">
        <f>SUM(AV21*(1+$AR$21))</f>
        <v>1.0140508823225994E-2</v>
      </c>
    </row>
    <row r="22" spans="1:49" ht="15" thickBot="1">
      <c r="A22" s="1372"/>
      <c r="B22" s="1369"/>
      <c r="C22" s="1369"/>
      <c r="D22" s="1369"/>
      <c r="E22" s="1369"/>
      <c r="F22" s="1369"/>
      <c r="G22" s="1371"/>
      <c r="H22" s="1371"/>
      <c r="I22" s="1371"/>
      <c r="J22" s="1371"/>
      <c r="K22" s="1370"/>
      <c r="R22" s="477" t="s">
        <v>1069</v>
      </c>
      <c r="S22" s="477" t="s">
        <v>1070</v>
      </c>
      <c r="T22" s="1186">
        <v>0</v>
      </c>
      <c r="U22" s="1186">
        <f>-133886.5-44344.5</f>
        <v>-178231</v>
      </c>
      <c r="V22" s="1186">
        <f>-95049-63805</f>
        <v>-158854</v>
      </c>
      <c r="W22" s="1186">
        <f>-218988.5+119448.5</f>
        <v>-99540</v>
      </c>
      <c r="X22" s="1186">
        <f>-20625-5250-2750-174510.6-23268.04-44420.8</f>
        <v>-270824.44</v>
      </c>
      <c r="Y22" s="1186">
        <f>SUM(T22:X22)</f>
        <v>-707449.44</v>
      </c>
      <c r="Z22" s="1330"/>
      <c r="AA22" s="1186">
        <v>0</v>
      </c>
      <c r="AB22" s="1186">
        <v>0</v>
      </c>
      <c r="AC22" s="1186">
        <v>0</v>
      </c>
      <c r="AD22" s="1186">
        <f>SUM(AA22:AC22)</f>
        <v>0</v>
      </c>
      <c r="AE22" s="1330"/>
      <c r="AF22" s="1186">
        <f>SUM(Y22,AD22)</f>
        <v>-707449.44</v>
      </c>
      <c r="AJ22" s="4122" t="s">
        <v>3497</v>
      </c>
      <c r="AK22" s="4140">
        <v>13971.313119999999</v>
      </c>
      <c r="AL22" s="4141"/>
      <c r="AM22" s="4140">
        <f>SUM(AM20*AM21)</f>
        <v>14257.4668</v>
      </c>
      <c r="AN22" s="4141"/>
      <c r="AO22" s="4140">
        <f>SUM(AO20*AO21)</f>
        <v>12277.747140000003</v>
      </c>
      <c r="AP22" s="4141"/>
      <c r="AQ22" s="4178">
        <f>SUM(AQ20*AQ21)</f>
        <v>10562.557909896457</v>
      </c>
      <c r="AR22" s="4140"/>
      <c r="AS22" s="4178">
        <f>SUM(AS20*AS21)</f>
        <v>11181.420705853947</v>
      </c>
      <c r="AT22" s="4179">
        <f>SUM(AT20*AT21)</f>
        <v>12102.082146309456</v>
      </c>
      <c r="AU22" s="4179">
        <f>SUM(AU20*AU21)</f>
        <v>13073.810636277387</v>
      </c>
      <c r="AV22" s="4178">
        <f>SUM(AV20*AV21)</f>
        <v>14099.064303564139</v>
      </c>
      <c r="AW22" s="4178">
        <f>SUM(AW20*AW21)</f>
        <v>15180.411185976378</v>
      </c>
    </row>
    <row r="23" spans="1:49" ht="15" thickTop="1">
      <c r="A23" s="1372" t="s">
        <v>1077</v>
      </c>
      <c r="B23" s="1369"/>
      <c r="C23" s="1369"/>
      <c r="D23" s="1369"/>
      <c r="E23" s="1369"/>
      <c r="F23" s="1369"/>
      <c r="G23" s="1371"/>
      <c r="H23" s="1371"/>
      <c r="I23" s="1371"/>
      <c r="J23" s="1371"/>
      <c r="K23" s="1370"/>
      <c r="R23" s="477" t="s">
        <v>1071</v>
      </c>
      <c r="S23" s="477" t="s">
        <v>1072</v>
      </c>
      <c r="T23" s="1186">
        <v>0</v>
      </c>
      <c r="U23" s="1186">
        <v>-453680</v>
      </c>
      <c r="V23" s="1186">
        <v>-188</v>
      </c>
      <c r="W23" s="1186">
        <v>0</v>
      </c>
      <c r="X23" s="1186">
        <f>-68750-581700.855</f>
        <v>-650450.85499999998</v>
      </c>
      <c r="Y23" s="1186">
        <f>SUM(T23:X23)</f>
        <v>-1104318.855</v>
      </c>
      <c r="Z23" s="1330"/>
      <c r="AA23" s="1186">
        <v>-285378.5</v>
      </c>
      <c r="AB23" s="1186">
        <f>-54773+29877.5</f>
        <v>-24895.5</v>
      </c>
      <c r="AC23" s="1186">
        <v>-257226.54500000001</v>
      </c>
      <c r="AD23" s="1186">
        <f>SUM(AA23:AC23)</f>
        <v>-567500.54500000004</v>
      </c>
      <c r="AE23" s="1330"/>
      <c r="AF23" s="1186">
        <f>SUM(Y23,AD23)</f>
        <v>-1671819.4</v>
      </c>
      <c r="AJ23" s="4122"/>
      <c r="AN23" s="4119"/>
      <c r="AO23" s="4139"/>
      <c r="AP23" s="4119"/>
      <c r="AQ23" s="4139"/>
      <c r="AR23" s="4139"/>
      <c r="AS23" s="4120">
        <f>(AS22-AQ22)/AQ22</f>
        <v>5.8590239337542836E-2</v>
      </c>
      <c r="AT23" s="4120">
        <f>(AT22-AS22)/AS22</f>
        <v>8.2338502832068935E-2</v>
      </c>
      <c r="AU23" s="4120">
        <f>(AU22-AT22)/AT22</f>
        <v>8.029432276364612E-2</v>
      </c>
      <c r="AV23" s="4120">
        <f>(AV22-AU22)/AU22</f>
        <v>7.8420415884093042E-2</v>
      </c>
      <c r="AW23" s="4120">
        <f>(AW22-AV22)/AV22</f>
        <v>7.6696357937659929E-2</v>
      </c>
    </row>
    <row r="24" spans="1:49">
      <c r="A24" s="1372">
        <v>408170</v>
      </c>
      <c r="B24" s="1375">
        <f>'G-2.02,3.11,5.04 Prop Tax'!AC41</f>
        <v>3016263.6549999998</v>
      </c>
      <c r="C24" s="1375">
        <f>'G-2.02,3.11,5.04 Prop Tax'!AA41</f>
        <v>1162629.47</v>
      </c>
      <c r="D24" s="1375"/>
      <c r="E24" s="1375">
        <f>'G-2.02,3.11,5.04 Prop Tax'!AB41</f>
        <v>5193355.96</v>
      </c>
      <c r="F24" s="1375">
        <f>SUM(B24:E24)</f>
        <v>9372249.0850000009</v>
      </c>
      <c r="G24" s="1371"/>
      <c r="H24" s="1374">
        <f>B24</f>
        <v>3016263.6549999998</v>
      </c>
      <c r="I24" s="1374">
        <f>C24</f>
        <v>1162629.47</v>
      </c>
      <c r="J24" s="1374">
        <f>E24</f>
        <v>5193355.96</v>
      </c>
      <c r="K24" s="1373">
        <f>SUM(H24:J24)</f>
        <v>9372249.0850000009</v>
      </c>
      <c r="R24" s="477" t="s">
        <v>1073</v>
      </c>
      <c r="S24" s="477" t="s">
        <v>1074</v>
      </c>
      <c r="T24" s="1186">
        <v>0</v>
      </c>
      <c r="U24" s="1186">
        <v>-220870.5</v>
      </c>
      <c r="V24" s="1186">
        <v>-29173.5</v>
      </c>
      <c r="W24" s="1186">
        <f>240-129.5</f>
        <v>110.5</v>
      </c>
      <c r="X24" s="1186">
        <f>-27625-233737.985</f>
        <v>-261362.98499999999</v>
      </c>
      <c r="Y24" s="1186">
        <f>SUM(T24:X24)</f>
        <v>-511296.48499999999</v>
      </c>
      <c r="Z24" s="1330"/>
      <c r="AA24" s="1186">
        <v>0</v>
      </c>
      <c r="AB24" s="1186">
        <v>0</v>
      </c>
      <c r="AC24" s="1186">
        <v>0</v>
      </c>
      <c r="AD24" s="1186">
        <f>SUM(AA24:AC24)</f>
        <v>0</v>
      </c>
      <c r="AE24" s="1330"/>
      <c r="AF24" s="1186">
        <f>SUM(Y24,AD24)</f>
        <v>-511296.48499999999</v>
      </c>
      <c r="AJ24" s="4122"/>
      <c r="AN24" s="4119"/>
      <c r="AO24" s="4139"/>
      <c r="AP24" s="4119"/>
      <c r="AQ24" s="4139"/>
      <c r="AR24" s="4139"/>
      <c r="AS24" s="4139"/>
      <c r="AT24" s="4139"/>
      <c r="AU24" s="4139"/>
      <c r="AV24" s="4139"/>
      <c r="AW24" s="4139"/>
    </row>
    <row r="25" spans="1:49">
      <c r="A25" s="1372"/>
      <c r="B25" s="1369"/>
      <c r="C25" s="1369"/>
      <c r="D25" s="1369"/>
      <c r="E25" s="1369"/>
      <c r="F25" s="1369"/>
      <c r="G25" s="1371"/>
      <c r="H25" s="1371"/>
      <c r="I25" s="1371"/>
      <c r="J25" s="1371"/>
      <c r="K25" s="1370"/>
      <c r="R25" s="477" t="s">
        <v>1075</v>
      </c>
      <c r="S25" s="477" t="s">
        <v>1076</v>
      </c>
      <c r="T25" s="1186">
        <v>0</v>
      </c>
      <c r="U25" s="1186">
        <v>0</v>
      </c>
      <c r="V25" s="1186">
        <v>0</v>
      </c>
      <c r="W25" s="1186">
        <v>0</v>
      </c>
      <c r="X25" s="1186">
        <v>0</v>
      </c>
      <c r="Y25" s="1186">
        <f>SUM(T25:X25)</f>
        <v>0</v>
      </c>
      <c r="Z25" s="1330"/>
      <c r="AA25" s="1186">
        <v>0</v>
      </c>
      <c r="AB25" s="1186">
        <v>0</v>
      </c>
      <c r="AC25" s="1186">
        <v>-51307.39</v>
      </c>
      <c r="AD25" s="1186">
        <f>SUM(AA25:AC25)</f>
        <v>-51307.39</v>
      </c>
      <c r="AE25" s="1330"/>
      <c r="AF25" s="1186">
        <f>SUM(Y25,AD25)</f>
        <v>-51307.39</v>
      </c>
      <c r="AJ25" s="4122"/>
      <c r="AN25" s="4119"/>
      <c r="AO25" s="4139"/>
      <c r="AP25" s="4119"/>
      <c r="AQ25" s="4139"/>
      <c r="AR25" s="4139"/>
      <c r="AS25" s="4120"/>
      <c r="AT25" s="4120"/>
      <c r="AU25" s="4120"/>
      <c r="AV25" s="4120"/>
      <c r="AW25" s="4120"/>
    </row>
    <row r="26" spans="1:49" ht="15" thickBot="1">
      <c r="A26" s="1366"/>
      <c r="B26" s="1368">
        <f>SUM(B21:B24)</f>
        <v>3327434.0449999999</v>
      </c>
      <c r="C26" s="1368">
        <f>SUM(C21:C24)</f>
        <v>1162629.47</v>
      </c>
      <c r="D26" s="1368">
        <f>SUM(D21:D24)</f>
        <v>0</v>
      </c>
      <c r="E26" s="1368">
        <f>SUM(E21:E24)</f>
        <v>5193355.96</v>
      </c>
      <c r="F26" s="1368">
        <f>SUM(F21:F24)</f>
        <v>9683419.4750000015</v>
      </c>
      <c r="G26" s="1369"/>
      <c r="H26" s="1368">
        <f>SUM(H21:H24)</f>
        <v>3208705.6549999998</v>
      </c>
      <c r="I26" s="1368">
        <f>SUM(I21:I24)</f>
        <v>1251329.47</v>
      </c>
      <c r="J26" s="1368">
        <f>SUM(J21:J24)</f>
        <v>5223383.96</v>
      </c>
      <c r="K26" s="1367">
        <f>SUM(K21:K24)</f>
        <v>9683419.0850000009</v>
      </c>
      <c r="R26" s="477" t="s">
        <v>978</v>
      </c>
      <c r="T26" s="1331">
        <f t="shared" ref="T26:Y26" si="2">SUM(T22:T25)</f>
        <v>0</v>
      </c>
      <c r="U26" s="1331">
        <f t="shared" si="2"/>
        <v>-852781.5</v>
      </c>
      <c r="V26" s="1331">
        <f t="shared" si="2"/>
        <v>-188215.5</v>
      </c>
      <c r="W26" s="1331">
        <f t="shared" si="2"/>
        <v>-99429.5</v>
      </c>
      <c r="X26" s="1331">
        <f t="shared" si="2"/>
        <v>-1182638.2799999998</v>
      </c>
      <c r="Y26" s="1331">
        <f t="shared" si="2"/>
        <v>-2323064.7799999998</v>
      </c>
      <c r="Z26" s="1330"/>
      <c r="AA26" s="1331">
        <f>SUM(AA22:AA25)</f>
        <v>-285378.5</v>
      </c>
      <c r="AB26" s="1331">
        <f>SUM(AB22:AB25)</f>
        <v>-24895.5</v>
      </c>
      <c r="AC26" s="1331">
        <f>SUM(AC22:AC25)</f>
        <v>-308533.935</v>
      </c>
      <c r="AD26" s="1331">
        <f>SUM(AD22:AD25)</f>
        <v>-618807.93500000006</v>
      </c>
      <c r="AE26" s="1330"/>
      <c r="AF26" s="1331">
        <f>SUM(AF22:AF25)</f>
        <v>-2941872.7149999999</v>
      </c>
      <c r="AJ26" s="4122"/>
      <c r="AN26" s="4119"/>
      <c r="AO26" s="4121"/>
      <c r="AP26" s="4119"/>
      <c r="AQ26" s="4121"/>
      <c r="AR26" s="4121"/>
      <c r="AS26" s="4121"/>
      <c r="AT26" s="4121"/>
      <c r="AU26" s="4121"/>
      <c r="AV26" s="4121"/>
      <c r="AW26" s="4121"/>
    </row>
    <row r="27" spans="1:49" ht="16" thickBot="1">
      <c r="A27" s="1366"/>
      <c r="B27" s="1365"/>
      <c r="C27" s="1365"/>
      <c r="D27" s="1365"/>
      <c r="E27" s="1365"/>
      <c r="F27" s="1365"/>
      <c r="G27" s="1365"/>
      <c r="H27" s="1365"/>
      <c r="I27" s="1365"/>
      <c r="J27" s="1365"/>
      <c r="K27" s="1364"/>
      <c r="AJ27" s="4146" t="s">
        <v>3536</v>
      </c>
    </row>
    <row r="28" spans="1:49" ht="16" thickBot="1">
      <c r="R28" s="531" t="s">
        <v>1081</v>
      </c>
      <c r="AJ28" s="4122"/>
      <c r="AK28" s="4130" t="s">
        <v>3517</v>
      </c>
      <c r="AL28" s="4131"/>
      <c r="AM28" s="4130" t="s">
        <v>3516</v>
      </c>
      <c r="AN28" s="4131"/>
      <c r="AO28" s="4130" t="s">
        <v>3515</v>
      </c>
      <c r="AP28" s="4131"/>
      <c r="AQ28" s="4130" t="s">
        <v>3514</v>
      </c>
      <c r="AR28" s="4130"/>
      <c r="AS28" s="4130" t="str">
        <f>AS$11</f>
        <v>2024 Estimate</v>
      </c>
      <c r="AT28" s="4130" t="str">
        <f>AT$11</f>
        <v>2025 Estimate</v>
      </c>
      <c r="AU28" s="4130" t="str">
        <f>AU$11</f>
        <v>2026 Estimate</v>
      </c>
      <c r="AV28" s="4130" t="str">
        <f>AV$11</f>
        <v>2027 Estimate</v>
      </c>
      <c r="AW28" s="4130" t="str">
        <f>AW$11</f>
        <v>2028 Estimate</v>
      </c>
    </row>
    <row r="29" spans="1:49" ht="15" thickBot="1">
      <c r="A29" s="1334" t="s">
        <v>1082</v>
      </c>
      <c r="B29" s="1363"/>
      <c r="C29" s="1363"/>
      <c r="D29" s="1363"/>
      <c r="E29" s="1363"/>
      <c r="F29" s="1363"/>
      <c r="G29" s="1363"/>
      <c r="H29" s="1363"/>
      <c r="I29" s="1363"/>
      <c r="J29" s="1363"/>
      <c r="K29" s="1362"/>
      <c r="T29" s="3907" t="s">
        <v>681</v>
      </c>
      <c r="U29" s="3908"/>
      <c r="V29" s="3908"/>
      <c r="W29" s="3908"/>
      <c r="X29" s="3908"/>
      <c r="Y29" s="3909"/>
      <c r="Z29" s="1104"/>
      <c r="AA29" s="3907" t="s">
        <v>680</v>
      </c>
      <c r="AB29" s="3908"/>
      <c r="AC29" s="3908"/>
      <c r="AD29" s="3909"/>
      <c r="AE29" s="1104"/>
      <c r="AF29" s="1104" t="s">
        <v>978</v>
      </c>
      <c r="AJ29" s="4122" t="s">
        <v>3499</v>
      </c>
      <c r="AK29" s="4144">
        <v>2699998.3259999999</v>
      </c>
      <c r="AL29" s="4145"/>
      <c r="AM29" s="4144">
        <v>2801651.7014000001</v>
      </c>
      <c r="AN29" s="4145"/>
      <c r="AO29" s="4144">
        <v>2892778.3388888007</v>
      </c>
      <c r="AP29" s="4145"/>
      <c r="AQ29" s="4144">
        <v>2691498.3583082887</v>
      </c>
      <c r="AR29" s="4144"/>
      <c r="AS29" s="4144">
        <v>2873925</v>
      </c>
      <c r="AT29" s="4144">
        <v>2997579</v>
      </c>
      <c r="AU29" s="4144">
        <v>3136566</v>
      </c>
      <c r="AV29" s="4144">
        <v>3266729</v>
      </c>
      <c r="AW29" s="4144">
        <v>3030546</v>
      </c>
    </row>
    <row r="30" spans="1:49">
      <c r="A30" s="1356" t="s">
        <v>1094</v>
      </c>
      <c r="K30" s="1357"/>
      <c r="R30" s="477" t="s">
        <v>1065</v>
      </c>
      <c r="S30" s="477" t="s">
        <v>1066</v>
      </c>
      <c r="T30" s="1104" t="s">
        <v>677</v>
      </c>
      <c r="U30" s="1104" t="s">
        <v>683</v>
      </c>
      <c r="V30" s="1104" t="s">
        <v>1067</v>
      </c>
      <c r="W30" s="1104" t="s">
        <v>676</v>
      </c>
      <c r="X30" s="1104" t="s">
        <v>763</v>
      </c>
      <c r="Y30" s="1104" t="s">
        <v>24</v>
      </c>
      <c r="Z30" s="1104"/>
      <c r="AA30" s="1104" t="s">
        <v>683</v>
      </c>
      <c r="AB30" s="1104" t="s">
        <v>676</v>
      </c>
      <c r="AC30" s="1104" t="s">
        <v>763</v>
      </c>
      <c r="AD30" s="1104" t="s">
        <v>24</v>
      </c>
      <c r="AE30" s="1104"/>
      <c r="AF30" s="1104"/>
      <c r="AJ30" s="4122" t="s">
        <v>3535</v>
      </c>
      <c r="AK30" s="4144">
        <v>-34687.041671800005</v>
      </c>
      <c r="AL30" s="4145"/>
      <c r="AM30" s="4144">
        <v>-37038.028277093545</v>
      </c>
      <c r="AN30" s="4145"/>
      <c r="AO30" s="4144">
        <v>-36372.416975641107</v>
      </c>
      <c r="AP30" s="4145"/>
      <c r="AQ30" s="4144">
        <v>-32529.804935703767</v>
      </c>
      <c r="AR30" s="4144"/>
      <c r="AS30" s="4144">
        <v>-31947</v>
      </c>
      <c r="AT30" s="4144">
        <v>-31947</v>
      </c>
      <c r="AU30" s="4144">
        <v>-31947</v>
      </c>
      <c r="AV30" s="4144">
        <v>-31947</v>
      </c>
      <c r="AW30" s="4144">
        <v>-31947</v>
      </c>
    </row>
    <row r="31" spans="1:49">
      <c r="A31" s="1356">
        <v>408190</v>
      </c>
      <c r="B31" s="1355">
        <f>B21-B7</f>
        <v>51307.390000000014</v>
      </c>
      <c r="C31" s="1355">
        <f>C21-C7</f>
        <v>0</v>
      </c>
      <c r="D31" s="1355">
        <f>D21-D7</f>
        <v>0</v>
      </c>
      <c r="E31" s="1355">
        <f>E21-E7</f>
        <v>0</v>
      </c>
      <c r="F31" s="1355">
        <f>SUM(B31:E31)</f>
        <v>51307.390000000014</v>
      </c>
      <c r="H31" s="1355">
        <f>H21-H7</f>
        <v>31731</v>
      </c>
      <c r="I31" s="1355">
        <f>I21-I7</f>
        <v>14625</v>
      </c>
      <c r="J31" s="1355">
        <f>J21-J7</f>
        <v>4951</v>
      </c>
      <c r="K31" s="1361">
        <f>SUM(H31:J31)</f>
        <v>51307</v>
      </c>
      <c r="R31" s="477" t="s">
        <v>1069</v>
      </c>
      <c r="S31" s="477" t="s">
        <v>1070</v>
      </c>
      <c r="T31" s="1186">
        <v>0</v>
      </c>
      <c r="U31" s="1186">
        <f>-15901.04-48008.91</f>
        <v>-63909.950000000004</v>
      </c>
      <c r="V31" s="1186">
        <v>0</v>
      </c>
      <c r="W31" s="1186">
        <v>34307.4</v>
      </c>
      <c r="X31" s="1186">
        <v>0</v>
      </c>
      <c r="Y31" s="1186">
        <f>SUM(T31:X31)</f>
        <v>-29602.550000000003</v>
      </c>
      <c r="Z31" s="1330"/>
      <c r="AA31" s="1186">
        <v>0</v>
      </c>
      <c r="AB31" s="1186">
        <v>0</v>
      </c>
      <c r="AC31" s="1186">
        <v>0</v>
      </c>
      <c r="AD31" s="1186">
        <f>SUM(AA31:AC31)</f>
        <v>0</v>
      </c>
      <c r="AE31" s="1330"/>
      <c r="AF31" s="1186">
        <f>SUM(Y31,AD31)</f>
        <v>-29602.550000000003</v>
      </c>
      <c r="AJ31" s="4122" t="s">
        <v>3513</v>
      </c>
      <c r="AK31" s="4151">
        <v>0.25290000000000001</v>
      </c>
      <c r="AL31" s="4150"/>
      <c r="AM31" s="4160">
        <v>0.25776756161856695</v>
      </c>
      <c r="AN31" s="4158"/>
      <c r="AO31" s="4160">
        <v>0.25095527438525272</v>
      </c>
      <c r="AP31" s="4158"/>
      <c r="AQ31" s="4160">
        <v>0.25546351516423016</v>
      </c>
      <c r="AR31" s="4160"/>
      <c r="AS31" s="4160">
        <v>0.22826859195426369</v>
      </c>
      <c r="AT31" s="4160">
        <v>0.22826859195426369</v>
      </c>
      <c r="AU31" s="4160">
        <v>0.22826859195426369</v>
      </c>
      <c r="AV31" s="4160">
        <v>0.22826859195426369</v>
      </c>
      <c r="AW31" s="4160">
        <v>0.22826859195426369</v>
      </c>
    </row>
    <row r="32" spans="1:49">
      <c r="A32" s="1356"/>
      <c r="B32" s="1355"/>
      <c r="C32" s="1355"/>
      <c r="D32" s="1355"/>
      <c r="E32" s="1355"/>
      <c r="F32" s="1355"/>
      <c r="K32" s="1357"/>
      <c r="R32" s="477" t="s">
        <v>1071</v>
      </c>
      <c r="S32" s="477" t="s">
        <v>1072</v>
      </c>
      <c r="T32" s="1186">
        <v>0</v>
      </c>
      <c r="U32" s="1186">
        <f>-162679.88+962.1</f>
        <v>-161717.78</v>
      </c>
      <c r="V32" s="1186">
        <v>0</v>
      </c>
      <c r="W32" s="1186">
        <v>0</v>
      </c>
      <c r="X32" s="1186">
        <v>0</v>
      </c>
      <c r="Y32" s="1186">
        <f>SUM(T32:X32)</f>
        <v>-161717.78</v>
      </c>
      <c r="Z32" s="1330"/>
      <c r="AA32" s="1186">
        <v>-91367.25</v>
      </c>
      <c r="AB32" s="1186">
        <v>-14743.54</v>
      </c>
      <c r="AC32" s="1186">
        <v>0</v>
      </c>
      <c r="AD32" s="1186">
        <f>SUM(AA32:AC32)</f>
        <v>-106110.79000000001</v>
      </c>
      <c r="AE32" s="1330"/>
      <c r="AF32" s="1186">
        <f>SUM(Y32,AD32)</f>
        <v>-267828.57</v>
      </c>
      <c r="AJ32" s="4122" t="s">
        <v>3512</v>
      </c>
      <c r="AK32" s="4144">
        <v>674056.22380660183</v>
      </c>
      <c r="AL32" s="4145"/>
      <c r="AM32" s="4144">
        <f>SUM(AM29:AM30)*AM31</f>
        <v>712627.72533824155</v>
      </c>
      <c r="AN32" s="4145"/>
      <c r="AO32" s="4144">
        <f>SUM(AO29:AO30)*AO31</f>
        <v>716830.13188937772</v>
      </c>
      <c r="AP32" s="4145"/>
      <c r="AQ32" s="4144">
        <f>SUM(AQ29:AQ30)*AQ31</f>
        <v>679269.45335570839</v>
      </c>
      <c r="AR32" s="4144"/>
      <c r="AS32" s="4144">
        <f>SUM(AS29:AS30)*AS31</f>
        <v>648734.31642499438</v>
      </c>
      <c r="AT32" s="4144">
        <f>SUM(AT29:AT30)*AT31</f>
        <v>676960.64089450694</v>
      </c>
      <c r="AU32" s="4144">
        <f>SUM(AU29:AU30)*AU31</f>
        <v>708687.00768445421</v>
      </c>
      <c r="AV32" s="4144">
        <f>SUM(AV29:AV30)*AV31</f>
        <v>738399.132418997</v>
      </c>
      <c r="AW32" s="4144">
        <f>SUM(AW29:AW30)*AW31</f>
        <v>684485.97156546311</v>
      </c>
    </row>
    <row r="33" spans="1:49">
      <c r="A33" s="1356" t="s">
        <v>1077</v>
      </c>
      <c r="B33" s="1355"/>
      <c r="C33" s="1355"/>
      <c r="D33" s="1355"/>
      <c r="E33" s="1355"/>
      <c r="F33" s="1355"/>
      <c r="K33" s="1357"/>
      <c r="R33" s="477" t="s">
        <v>1073</v>
      </c>
      <c r="S33" s="477" t="s">
        <v>1074</v>
      </c>
      <c r="T33" s="1186">
        <v>0</v>
      </c>
      <c r="U33" s="1186">
        <v>-79199.42</v>
      </c>
      <c r="V33" s="1186">
        <v>0</v>
      </c>
      <c r="W33" s="1186">
        <v>-114.59</v>
      </c>
      <c r="X33" s="1186">
        <v>0</v>
      </c>
      <c r="Y33" s="1186">
        <f>SUM(T33:X33)</f>
        <v>-79314.009999999995</v>
      </c>
      <c r="Z33" s="1330"/>
      <c r="AA33" s="1186">
        <v>0</v>
      </c>
      <c r="AB33" s="1186">
        <v>0</v>
      </c>
      <c r="AC33" s="1186">
        <v>0</v>
      </c>
      <c r="AD33" s="1186">
        <f>SUM(AA33:AC33)</f>
        <v>0</v>
      </c>
      <c r="AE33" s="1330"/>
      <c r="AF33" s="1186">
        <f>SUM(Y33,AD33)</f>
        <v>-79314.009999999995</v>
      </c>
      <c r="AJ33" s="4122" t="s">
        <v>3534</v>
      </c>
      <c r="AK33" s="4149">
        <v>-14038.767</v>
      </c>
      <c r="AL33" s="4150"/>
      <c r="AM33" s="4149">
        <v>-13876.532685971251</v>
      </c>
      <c r="AN33" s="4150"/>
      <c r="AO33" s="4149">
        <v>-14499.80671515225</v>
      </c>
      <c r="AP33" s="4150"/>
      <c r="AQ33" s="4149">
        <v>-13174.474743264862</v>
      </c>
      <c r="AR33" s="4149"/>
      <c r="AS33" s="4149">
        <v>-13115</v>
      </c>
      <c r="AT33" s="4149">
        <v>-13115</v>
      </c>
      <c r="AU33" s="4149">
        <v>-13115</v>
      </c>
      <c r="AV33" s="4149">
        <v>-13115</v>
      </c>
      <c r="AW33" s="4149">
        <v>-13115</v>
      </c>
    </row>
    <row r="34" spans="1:49">
      <c r="A34" s="1356">
        <v>408170</v>
      </c>
      <c r="B34" s="1360">
        <f>B24-B10</f>
        <v>256381.6549999998</v>
      </c>
      <c r="C34" s="1360">
        <f>C24-C10</f>
        <v>194013.46999999997</v>
      </c>
      <c r="D34" s="1360">
        <f>D24-D10</f>
        <v>0</v>
      </c>
      <c r="E34" s="1360">
        <f>E24-E10</f>
        <v>10151.959999999963</v>
      </c>
      <c r="F34" s="1360">
        <f>SUM(B34:E34)</f>
        <v>460547.08499999973</v>
      </c>
      <c r="H34" s="1359">
        <f>H24-H10</f>
        <v>256381.6549999998</v>
      </c>
      <c r="I34" s="1359">
        <f>I24-I10</f>
        <v>194013.46999999997</v>
      </c>
      <c r="J34" s="1359">
        <f>J24-J10</f>
        <v>10151.959999999963</v>
      </c>
      <c r="K34" s="1358">
        <f>SUM(H34:J34)</f>
        <v>460547.08499999973</v>
      </c>
      <c r="R34" s="477" t="s">
        <v>1075</v>
      </c>
      <c r="S34" s="477" t="s">
        <v>1076</v>
      </c>
      <c r="T34" s="1186">
        <v>0</v>
      </c>
      <c r="U34" s="1186">
        <v>0</v>
      </c>
      <c r="V34" s="1186">
        <v>0</v>
      </c>
      <c r="W34" s="1186">
        <v>0</v>
      </c>
      <c r="X34" s="1186">
        <v>0</v>
      </c>
      <c r="Y34" s="1186">
        <f>SUM(T34:X34)</f>
        <v>0</v>
      </c>
      <c r="Z34" s="1330"/>
      <c r="AA34" s="1186">
        <v>0</v>
      </c>
      <c r="AB34" s="1186">
        <v>0</v>
      </c>
      <c r="AC34" s="1186">
        <v>0</v>
      </c>
      <c r="AD34" s="1186">
        <f>SUM(AA34:AC34)</f>
        <v>0</v>
      </c>
      <c r="AE34" s="1330"/>
      <c r="AF34" s="1186">
        <f>SUM(Y34,AD34)</f>
        <v>0</v>
      </c>
      <c r="AJ34" s="4122" t="s">
        <v>3510</v>
      </c>
      <c r="AK34" s="4144">
        <v>660017.45680660184</v>
      </c>
      <c r="AL34" s="4145"/>
      <c r="AM34" s="4144">
        <f>SUM(AM32:AM33)</f>
        <v>698751.19265227031</v>
      </c>
      <c r="AN34" s="4145"/>
      <c r="AO34" s="4144">
        <f>SUM(AO32:AO33)</f>
        <v>702330.32517422549</v>
      </c>
      <c r="AP34" s="4145"/>
      <c r="AQ34" s="4144">
        <f>SUM(AQ32:AQ33)</f>
        <v>666094.97861244355</v>
      </c>
      <c r="AR34" s="4144"/>
      <c r="AS34" s="4144">
        <f>SUM(AS32:AS33)</f>
        <v>635619.31642499438</v>
      </c>
      <c r="AT34" s="4144">
        <f>SUM(AT32:AT33)</f>
        <v>663845.64089450694</v>
      </c>
      <c r="AU34" s="4144">
        <f>SUM(AU32:AU33)</f>
        <v>695572.00768445421</v>
      </c>
      <c r="AV34" s="4144">
        <f>SUM(AV32:AV33)</f>
        <v>725284.132418997</v>
      </c>
      <c r="AW34" s="4144">
        <f>SUM(AW32:AW33)</f>
        <v>671370.97156546311</v>
      </c>
    </row>
    <row r="35" spans="1:49" ht="15" thickBot="1">
      <c r="A35" s="1356"/>
      <c r="B35" s="1355"/>
      <c r="C35" s="1355"/>
      <c r="D35" s="1355"/>
      <c r="E35" s="1355"/>
      <c r="F35" s="1355"/>
      <c r="H35" s="1381"/>
      <c r="K35" s="1357"/>
      <c r="R35" s="477" t="s">
        <v>978</v>
      </c>
      <c r="T35" s="1331">
        <f t="shared" ref="T35:Y35" si="3">SUM(T31:T34)</f>
        <v>0</v>
      </c>
      <c r="U35" s="1331">
        <f t="shared" si="3"/>
        <v>-304827.15000000002</v>
      </c>
      <c r="V35" s="1331">
        <f t="shared" si="3"/>
        <v>0</v>
      </c>
      <c r="W35" s="1331">
        <f t="shared" si="3"/>
        <v>34192.810000000005</v>
      </c>
      <c r="X35" s="1331">
        <f t="shared" si="3"/>
        <v>0</v>
      </c>
      <c r="Y35" s="1331">
        <f t="shared" si="3"/>
        <v>-270634.34000000003</v>
      </c>
      <c r="Z35" s="1330"/>
      <c r="AA35" s="1331">
        <f>SUM(AA31:AA34)</f>
        <v>-91367.25</v>
      </c>
      <c r="AB35" s="1331">
        <f>SUM(AB31:AB34)</f>
        <v>-14743.54</v>
      </c>
      <c r="AC35" s="1331">
        <f>SUM(AC31:AC34)</f>
        <v>0</v>
      </c>
      <c r="AD35" s="1331">
        <f>SUM(AD31:AD34)</f>
        <v>-106110.79000000001</v>
      </c>
      <c r="AE35" s="1330"/>
      <c r="AF35" s="1331">
        <f>SUM(AF31:AF34)</f>
        <v>-376745.13</v>
      </c>
      <c r="AJ35" s="1217" t="s">
        <v>3509</v>
      </c>
      <c r="AK35" s="4149"/>
      <c r="AL35" s="4150"/>
      <c r="AM35" s="4149"/>
      <c r="AN35" s="4150"/>
      <c r="AO35" s="4149"/>
      <c r="AP35" s="4150"/>
      <c r="AQ35" s="4149">
        <v>-111437.686408562</v>
      </c>
      <c r="AR35" s="4149"/>
      <c r="AS35" s="4149"/>
      <c r="AT35" s="4149"/>
      <c r="AU35" s="4149"/>
      <c r="AV35" s="4149"/>
      <c r="AW35" s="4149"/>
    </row>
    <row r="36" spans="1:49" ht="15.5" thickTop="1" thickBot="1">
      <c r="A36" s="1356"/>
      <c r="B36" s="1354">
        <f>SUM(B31:B34)</f>
        <v>307689.04499999981</v>
      </c>
      <c r="C36" s="1354">
        <f>SUM(C31:C34)</f>
        <v>194013.46999999997</v>
      </c>
      <c r="D36" s="1354">
        <f>SUM(D31:D34)</f>
        <v>0</v>
      </c>
      <c r="E36" s="1354">
        <f>SUM(E31:E34)</f>
        <v>10151.959999999963</v>
      </c>
      <c r="F36" s="1354">
        <f>SUM(F31:F34)</f>
        <v>511854.47499999974</v>
      </c>
      <c r="G36" s="1355"/>
      <c r="H36" s="1335">
        <f>SUM(H31:H34)</f>
        <v>288112.6549999998</v>
      </c>
      <c r="I36" s="1354">
        <f>SUM(I31:I34)</f>
        <v>208638.46999999997</v>
      </c>
      <c r="J36" s="1354">
        <f>SUM(J31:J34)</f>
        <v>15102.959999999963</v>
      </c>
      <c r="K36" s="1353">
        <f>SUM(K31:K34)</f>
        <v>511854.08499999973</v>
      </c>
      <c r="AJ36" s="1217" t="s">
        <v>3508</v>
      </c>
      <c r="AK36" s="4144">
        <f>AK34+AK35</f>
        <v>660017.45680660184</v>
      </c>
      <c r="AL36" s="4145"/>
      <c r="AM36" s="4144">
        <f>AM34+AM35</f>
        <v>698751.19265227031</v>
      </c>
      <c r="AN36" s="4145"/>
      <c r="AO36" s="4144">
        <f>AO34+AO35</f>
        <v>702330.32517422549</v>
      </c>
      <c r="AP36" s="4145"/>
      <c r="AQ36" s="4144">
        <f>AQ34+AQ35</f>
        <v>554657.29220388154</v>
      </c>
      <c r="AR36" s="4144"/>
      <c r="AS36" s="4144">
        <f>AS34+AS35</f>
        <v>635619.31642499438</v>
      </c>
      <c r="AT36" s="4144">
        <f>AT34+AT35</f>
        <v>663845.64089450694</v>
      </c>
      <c r="AU36" s="4144">
        <f>AU34+AU35</f>
        <v>695572.00768445421</v>
      </c>
      <c r="AV36" s="4144">
        <f>AV34+AV35</f>
        <v>725284.132418997</v>
      </c>
      <c r="AW36" s="4144">
        <f>AW34+AW35</f>
        <v>671370.97156546311</v>
      </c>
    </row>
    <row r="37" spans="1:49" ht="15" thickBot="1">
      <c r="A37" s="1352"/>
      <c r="B37" s="1351"/>
      <c r="C37" s="1351"/>
      <c r="D37" s="1351"/>
      <c r="E37" s="1351"/>
      <c r="F37" s="1351"/>
      <c r="G37" s="1351"/>
      <c r="H37" s="1351"/>
      <c r="I37" s="1351"/>
      <c r="J37" s="1351"/>
      <c r="K37" s="1350"/>
      <c r="R37" s="531" t="s">
        <v>1083</v>
      </c>
      <c r="AJ37" s="4122" t="s">
        <v>3498</v>
      </c>
      <c r="AK37" s="4142">
        <v>9.3285678530229052E-3</v>
      </c>
      <c r="AL37" s="4143">
        <f>(AM37-AK37)/AK37</f>
        <v>-5.9631507587980137E-2</v>
      </c>
      <c r="AM37" s="4142">
        <f>6129.649/AM36</f>
        <v>8.7722912883103823E-3</v>
      </c>
      <c r="AN37" s="4143">
        <f>(AO37-AM37)/AM37</f>
        <v>-0.28502014885478538</v>
      </c>
      <c r="AO37" s="4142">
        <f>4405.02389/AO36</f>
        <v>6.27201151951862E-3</v>
      </c>
      <c r="AP37" s="4118">
        <f>(AQ37-AO37)/AO37</f>
        <v>-9.7577979324568784E-2</v>
      </c>
      <c r="AQ37" s="4142">
        <f>3139.361/AQ36</f>
        <v>5.6600013091435749E-3</v>
      </c>
      <c r="AR37" s="4118">
        <v>0</v>
      </c>
      <c r="AS37" s="4142">
        <f>SUM(AQ37*(1+$AR$37))</f>
        <v>5.6600013091435749E-3</v>
      </c>
      <c r="AT37" s="4142">
        <f>SUM(AS37*(1+$AR$37))</f>
        <v>5.6600013091435749E-3</v>
      </c>
      <c r="AU37" s="4142">
        <f>SUM(AT37*(1+$AR$37))</f>
        <v>5.6600013091435749E-3</v>
      </c>
      <c r="AV37" s="4142">
        <f>SUM(AU37*(1+$AR$37))</f>
        <v>5.6600013091435749E-3</v>
      </c>
      <c r="AW37" s="4142">
        <f>SUM(AV37*(1+$AR$37))</f>
        <v>5.6600013091435749E-3</v>
      </c>
    </row>
    <row r="38" spans="1:49" ht="15" thickBot="1">
      <c r="T38" s="3907" t="s">
        <v>681</v>
      </c>
      <c r="U38" s="3908"/>
      <c r="V38" s="3908"/>
      <c r="W38" s="3908"/>
      <c r="X38" s="3908"/>
      <c r="Y38" s="3909"/>
      <c r="Z38" s="1104"/>
      <c r="AA38" s="3907" t="s">
        <v>680</v>
      </c>
      <c r="AB38" s="3908"/>
      <c r="AC38" s="3908"/>
      <c r="AD38" s="3909"/>
      <c r="AE38" s="1104"/>
      <c r="AF38" s="1104" t="s">
        <v>978</v>
      </c>
      <c r="AJ38" s="4122" t="s">
        <v>3497</v>
      </c>
      <c r="AK38" s="4140">
        <v>6157.0176299999994</v>
      </c>
      <c r="AL38" s="4141"/>
      <c r="AM38" s="4140">
        <f>SUM(AM36*AM37)</f>
        <v>6129.6490000000003</v>
      </c>
      <c r="AN38" s="4141"/>
      <c r="AO38" s="4140">
        <f>SUM(AO36*AO37)</f>
        <v>4405.0238900000004</v>
      </c>
      <c r="AP38" s="4141"/>
      <c r="AQ38" s="4140">
        <f>SUM(AQ36*AQ37)</f>
        <v>3139.3609999999999</v>
      </c>
      <c r="AR38" s="4140"/>
      <c r="AS38" s="4140">
        <f>SUM(AS36*AS37)</f>
        <v>3597.6061630824124</v>
      </c>
      <c r="AT38" s="4140">
        <f>SUM(AT36*AT37)</f>
        <v>3757.3671965321646</v>
      </c>
      <c r="AU38" s="4140">
        <f>SUM(AU36*AU37)</f>
        <v>3936.9384740976357</v>
      </c>
      <c r="AV38" s="4140">
        <f>SUM(AV36*AV37)</f>
        <v>4105.109138992585</v>
      </c>
      <c r="AW38" s="4140">
        <f>SUM(AW36*AW37)</f>
        <v>3799.9605779815151</v>
      </c>
    </row>
    <row r="39" spans="1:49" ht="15" thickBot="1">
      <c r="R39" s="477" t="s">
        <v>1065</v>
      </c>
      <c r="S39" s="477" t="s">
        <v>1066</v>
      </c>
      <c r="T39" s="1104" t="s">
        <v>677</v>
      </c>
      <c r="U39" s="1104" t="s">
        <v>683</v>
      </c>
      <c r="V39" s="1104" t="s">
        <v>1067</v>
      </c>
      <c r="W39" s="1104" t="s">
        <v>676</v>
      </c>
      <c r="X39" s="1104" t="s">
        <v>763</v>
      </c>
      <c r="Y39" s="1104" t="s">
        <v>24</v>
      </c>
      <c r="Z39" s="1104"/>
      <c r="AA39" s="1104" t="s">
        <v>683</v>
      </c>
      <c r="AB39" s="1104" t="s">
        <v>676</v>
      </c>
      <c r="AC39" s="1104" t="s">
        <v>763</v>
      </c>
      <c r="AD39" s="1104" t="s">
        <v>24</v>
      </c>
      <c r="AE39" s="1104"/>
      <c r="AF39" s="1104"/>
      <c r="AJ39" s="4132"/>
      <c r="AO39" s="4147"/>
      <c r="AP39" s="4147"/>
      <c r="AQ39" s="4147"/>
      <c r="AR39" s="4147"/>
      <c r="AS39" s="4120">
        <f>(AS38-AQ38)/AQ38</f>
        <v>0.14596765490888514</v>
      </c>
      <c r="AT39" s="4120">
        <f>(AT38-AS38)/AS38</f>
        <v>4.4407593885393407E-2</v>
      </c>
      <c r="AU39" s="4120">
        <f>(AU38-AT38)/AT38</f>
        <v>4.7791782962071185E-2</v>
      </c>
      <c r="AV39" s="4120">
        <f>(AV38-AU38)/AU38</f>
        <v>4.2716101864785902E-2</v>
      </c>
      <c r="AW39" s="4120">
        <f>(AW38-AV38)/AV38</f>
        <v>-7.4333848548044923E-2</v>
      </c>
    </row>
    <row r="40" spans="1:49" ht="29.5" thickBot="1">
      <c r="A40" s="1333" t="s">
        <v>1084</v>
      </c>
      <c r="B40" s="1380">
        <f>AT89*1000</f>
        <v>4223938.8920319695</v>
      </c>
      <c r="C40" s="1380">
        <f>AT104*1000</f>
        <v>1314269.0345824808</v>
      </c>
      <c r="D40" s="1380">
        <v>0</v>
      </c>
      <c r="E40" s="1380">
        <f>AT113*1000</f>
        <v>6395624.7971179849</v>
      </c>
      <c r="F40" s="1380">
        <f>SUM(B40:E40)</f>
        <v>11933832.723732434</v>
      </c>
      <c r="G40" s="1379"/>
      <c r="H40" s="1379"/>
      <c r="I40" s="1379"/>
      <c r="J40" s="1379"/>
      <c r="K40" s="1378"/>
      <c r="R40" s="477" t="s">
        <v>1069</v>
      </c>
      <c r="S40" s="477" t="s">
        <v>1070</v>
      </c>
      <c r="T40" s="1186">
        <f>SUM(T4,-T13,T31)</f>
        <v>0</v>
      </c>
      <c r="U40" s="1186">
        <f t="shared" ref="U40:X43" si="4">SUM(U4,-U13,-U22,U31)</f>
        <v>820100.5</v>
      </c>
      <c r="V40" s="1186">
        <f t="shared" si="4"/>
        <v>7253669.8200000003</v>
      </c>
      <c r="W40" s="1186">
        <f t="shared" si="4"/>
        <v>3377243.4</v>
      </c>
      <c r="X40" s="1186">
        <f t="shared" si="4"/>
        <v>2636405.31</v>
      </c>
      <c r="Y40" s="1186">
        <f>SUM(T40:X40)</f>
        <v>14087419.030000001</v>
      </c>
      <c r="Z40" s="1330"/>
      <c r="AA40" s="1186">
        <f t="shared" ref="AA40:AD43" si="5">SUM(AA4,-AA13,-AA22,AA31)</f>
        <v>0</v>
      </c>
      <c r="AB40" s="1186">
        <f t="shared" si="5"/>
        <v>0</v>
      </c>
      <c r="AC40" s="1186">
        <f t="shared" si="5"/>
        <v>0</v>
      </c>
      <c r="AD40" s="1186">
        <f t="shared" si="5"/>
        <v>0</v>
      </c>
      <c r="AE40" s="1330"/>
      <c r="AF40" s="1186">
        <f>SUM(Y40,AD40)</f>
        <v>14087419.030000001</v>
      </c>
      <c r="AJ40" s="4132"/>
      <c r="AO40" s="4147"/>
      <c r="AP40" s="4147"/>
      <c r="AQ40" s="4147"/>
      <c r="AR40" s="4147"/>
      <c r="AS40" s="4147"/>
      <c r="AT40" s="4147"/>
      <c r="AU40" s="4147"/>
      <c r="AV40" s="4147"/>
      <c r="AW40" s="4147"/>
    </row>
    <row r="41" spans="1:49">
      <c r="A41" s="1372"/>
      <c r="B41" s="1371"/>
      <c r="C41" s="1371"/>
      <c r="D41" s="1371"/>
      <c r="E41" s="1371"/>
      <c r="F41" s="1371"/>
      <c r="G41" s="1371"/>
      <c r="H41" s="1371"/>
      <c r="I41" s="1371"/>
      <c r="J41" s="1371"/>
      <c r="K41" s="1370"/>
      <c r="R41" s="477" t="s">
        <v>1071</v>
      </c>
      <c r="S41" s="477" t="s">
        <v>1072</v>
      </c>
      <c r="T41" s="1186">
        <f>SUM(T5,-T14,T32)</f>
        <v>0</v>
      </c>
      <c r="U41" s="1186">
        <f t="shared" si="4"/>
        <v>2080745.22</v>
      </c>
      <c r="V41" s="1186">
        <f t="shared" si="4"/>
        <v>8597.33</v>
      </c>
      <c r="W41" s="1186">
        <f t="shared" si="4"/>
        <v>0</v>
      </c>
      <c r="X41" s="1186">
        <f t="shared" si="4"/>
        <v>6332454.6349999998</v>
      </c>
      <c r="Y41" s="1186">
        <f>SUM(T41:X41)</f>
        <v>8421797.1850000005</v>
      </c>
      <c r="Z41" s="1330"/>
      <c r="AA41" s="1186">
        <f t="shared" si="5"/>
        <v>1162629.47</v>
      </c>
      <c r="AB41" s="1186">
        <f t="shared" si="5"/>
        <v>5193355.96</v>
      </c>
      <c r="AC41" s="1186">
        <f t="shared" si="5"/>
        <v>3016263.6549999998</v>
      </c>
      <c r="AD41" s="1186">
        <f t="shared" si="5"/>
        <v>9372249.0850000009</v>
      </c>
      <c r="AE41" s="1330"/>
      <c r="AF41" s="1186">
        <f>SUM(Y41,AD41)</f>
        <v>17794046.270000003</v>
      </c>
      <c r="AJ41" s="4132"/>
      <c r="AO41" s="4147"/>
      <c r="AP41" s="4147"/>
      <c r="AQ41" s="4147"/>
      <c r="AR41" s="4147"/>
      <c r="AS41" s="4147"/>
      <c r="AT41" s="4147"/>
      <c r="AU41" s="4147"/>
      <c r="AV41" s="4147"/>
      <c r="AW41" s="4147"/>
    </row>
    <row r="42" spans="1:49">
      <c r="A42" s="1372" t="s">
        <v>1094</v>
      </c>
      <c r="B42" s="1371"/>
      <c r="C42" s="1371"/>
      <c r="D42" s="1371"/>
      <c r="E42" s="1371"/>
      <c r="F42" s="1371"/>
      <c r="G42" s="1371"/>
      <c r="H42" s="1371"/>
      <c r="I42" s="1371"/>
      <c r="J42" s="1371"/>
      <c r="K42" s="1370"/>
      <c r="R42" s="477" t="s">
        <v>1073</v>
      </c>
      <c r="S42" s="477" t="s">
        <v>1074</v>
      </c>
      <c r="T42" s="1186">
        <f>SUM(T6,-T15,T33)</f>
        <v>0</v>
      </c>
      <c r="U42" s="1186">
        <f t="shared" si="4"/>
        <v>1012520.08</v>
      </c>
      <c r="V42" s="1186">
        <f t="shared" si="4"/>
        <v>1332090.3400000001</v>
      </c>
      <c r="W42" s="1186">
        <f t="shared" si="4"/>
        <v>12339.91</v>
      </c>
      <c r="X42" s="1186">
        <f t="shared" si="4"/>
        <v>2544301.9849999999</v>
      </c>
      <c r="Y42" s="1186">
        <f>SUM(T42:X42)</f>
        <v>4901252.3149999995</v>
      </c>
      <c r="Z42" s="1330"/>
      <c r="AA42" s="1186">
        <f t="shared" si="5"/>
        <v>0</v>
      </c>
      <c r="AB42" s="1186">
        <f t="shared" si="5"/>
        <v>0</v>
      </c>
      <c r="AC42" s="1186">
        <f t="shared" si="5"/>
        <v>0</v>
      </c>
      <c r="AD42" s="1186">
        <f t="shared" si="5"/>
        <v>0</v>
      </c>
      <c r="AE42" s="1330"/>
      <c r="AF42" s="1186">
        <f>SUM(Y42,AD42)</f>
        <v>4901252.3149999995</v>
      </c>
      <c r="AJ42" s="4132"/>
      <c r="AO42" s="4147"/>
      <c r="AP42" s="4147"/>
      <c r="AQ42" s="4147"/>
      <c r="AR42" s="4147"/>
      <c r="AS42" s="4147"/>
      <c r="AT42" s="4147"/>
      <c r="AU42" s="4147"/>
      <c r="AV42" s="4147"/>
      <c r="AW42" s="4147"/>
    </row>
    <row r="43" spans="1:49" ht="15.5">
      <c r="A43" s="1372">
        <v>408190</v>
      </c>
      <c r="B43" s="1369">
        <f>B40*$B$21/$B$26</f>
        <v>395008.49441172194</v>
      </c>
      <c r="C43" s="1369"/>
      <c r="D43" s="1369"/>
      <c r="E43" s="1369"/>
      <c r="F43" s="1369">
        <f>SUM(B43:E43)</f>
        <v>395008.49441172194</v>
      </c>
      <c r="G43" s="1371"/>
      <c r="H43" s="1377">
        <f>ROUND(F43*H16,0)</f>
        <v>244291</v>
      </c>
      <c r="I43" s="1377">
        <f>ROUND(F43*I16,0)</f>
        <v>112599</v>
      </c>
      <c r="J43" s="1377">
        <f>ROUND(F43*J16,0)</f>
        <v>38118</v>
      </c>
      <c r="K43" s="1376">
        <f>SUM(H43:J43)</f>
        <v>395008</v>
      </c>
      <c r="R43" s="477" t="s">
        <v>1075</v>
      </c>
      <c r="S43" s="477" t="s">
        <v>1076</v>
      </c>
      <c r="T43" s="1186">
        <f>SUM(T7,-T16,T34)</f>
        <v>0</v>
      </c>
      <c r="U43" s="1186">
        <f t="shared" si="4"/>
        <v>0</v>
      </c>
      <c r="V43" s="1186">
        <f t="shared" si="4"/>
        <v>0</v>
      </c>
      <c r="W43" s="1186">
        <f t="shared" si="4"/>
        <v>0</v>
      </c>
      <c r="X43" s="1186">
        <f t="shared" si="4"/>
        <v>264.31</v>
      </c>
      <c r="Y43" s="1186">
        <f>SUM(T43:X43)</f>
        <v>264.31</v>
      </c>
      <c r="Z43" s="1330"/>
      <c r="AA43" s="1186">
        <f t="shared" si="5"/>
        <v>0</v>
      </c>
      <c r="AB43" s="1186">
        <f t="shared" si="5"/>
        <v>0</v>
      </c>
      <c r="AC43" s="1186">
        <f t="shared" si="5"/>
        <v>311170.39</v>
      </c>
      <c r="AD43" s="1186">
        <f t="shared" si="5"/>
        <v>311170.39</v>
      </c>
      <c r="AE43" s="1330"/>
      <c r="AF43" s="1186">
        <f>SUM(Y43,AD43)</f>
        <v>311434.7</v>
      </c>
      <c r="AJ43" s="4146" t="s">
        <v>3533</v>
      </c>
      <c r="AO43" s="4147"/>
      <c r="AP43" s="4147"/>
      <c r="AQ43" s="4147"/>
      <c r="AR43" s="4147"/>
      <c r="AS43" s="4147"/>
      <c r="AT43" s="4147"/>
      <c r="AU43" s="4147"/>
      <c r="AV43" s="4147"/>
      <c r="AW43" s="4147"/>
    </row>
    <row r="44" spans="1:49" ht="16" thickBot="1">
      <c r="A44" s="1372"/>
      <c r="B44" s="1369"/>
      <c r="C44" s="1369"/>
      <c r="D44" s="1369"/>
      <c r="E44" s="1369"/>
      <c r="F44" s="1369"/>
      <c r="G44" s="1371"/>
      <c r="H44" s="1371"/>
      <c r="I44" s="1371"/>
      <c r="J44" s="1371"/>
      <c r="K44" s="1370"/>
      <c r="R44" s="477" t="s">
        <v>978</v>
      </c>
      <c r="T44" s="1331">
        <f t="shared" ref="T44:Y44" si="6">SUM(T40:T43)</f>
        <v>0</v>
      </c>
      <c r="U44" s="1331">
        <f t="shared" si="6"/>
        <v>3913365.8</v>
      </c>
      <c r="V44" s="1331">
        <f t="shared" si="6"/>
        <v>8594357.4900000002</v>
      </c>
      <c r="W44" s="1331">
        <f t="shared" si="6"/>
        <v>3389583.31</v>
      </c>
      <c r="X44" s="1331">
        <f t="shared" si="6"/>
        <v>11513426.24</v>
      </c>
      <c r="Y44" s="1332">
        <f t="shared" si="6"/>
        <v>27410732.84</v>
      </c>
      <c r="Z44" s="1330"/>
      <c r="AA44" s="1331">
        <f>SUM(AA40:AA43)</f>
        <v>1162629.47</v>
      </c>
      <c r="AB44" s="1331">
        <f>SUM(AB40:AB43)</f>
        <v>5193355.96</v>
      </c>
      <c r="AC44" s="1331">
        <f>SUM(AC40:AC43)</f>
        <v>3327434.0449999999</v>
      </c>
      <c r="AD44" s="1332">
        <f>SUM(AD40:AD43)</f>
        <v>9683419.4750000015</v>
      </c>
      <c r="AE44" s="1330"/>
      <c r="AF44" s="1331">
        <f>SUM(AF40:AF43)</f>
        <v>37094152.315000005</v>
      </c>
      <c r="AJ44" s="4122"/>
      <c r="AK44" s="4130" t="s">
        <v>3517</v>
      </c>
      <c r="AL44" s="4131"/>
      <c r="AM44" s="4130" t="s">
        <v>3516</v>
      </c>
      <c r="AN44" s="4131"/>
      <c r="AO44" s="4130" t="s">
        <v>3515</v>
      </c>
      <c r="AP44" s="4131"/>
      <c r="AQ44" s="4130" t="str">
        <f>AQ$11</f>
        <v>2023 Estimate</v>
      </c>
      <c r="AR44" s="4130"/>
      <c r="AS44" s="4130" t="str">
        <f>AS$11</f>
        <v>2024 Estimate</v>
      </c>
      <c r="AT44" s="4130" t="str">
        <f>AT$11</f>
        <v>2025 Estimate</v>
      </c>
      <c r="AU44" s="4130" t="str">
        <f>AU$11</f>
        <v>2026 Estimate</v>
      </c>
      <c r="AV44" s="4130" t="str">
        <f>AV$11</f>
        <v>2027 Estimate</v>
      </c>
      <c r="AW44" s="4130" t="str">
        <f>AW$11</f>
        <v>2028 Estimate</v>
      </c>
    </row>
    <row r="45" spans="1:49">
      <c r="A45" s="1372" t="s">
        <v>1077</v>
      </c>
      <c r="B45" s="1369"/>
      <c r="C45" s="1369"/>
      <c r="D45" s="1369"/>
      <c r="E45" s="1369"/>
      <c r="F45" s="1369"/>
      <c r="G45" s="1371"/>
      <c r="H45" s="1371"/>
      <c r="I45" s="1371"/>
      <c r="J45" s="1371"/>
      <c r="K45" s="1370"/>
      <c r="AK45" s="4176" t="s">
        <v>3532</v>
      </c>
      <c r="AL45" s="4177"/>
      <c r="AM45" s="4176" t="s">
        <v>3532</v>
      </c>
      <c r="AN45" s="4177"/>
      <c r="AO45" s="4176" t="s">
        <v>3532</v>
      </c>
      <c r="AP45" s="4177"/>
      <c r="AQ45" s="4176" t="s">
        <v>3532</v>
      </c>
      <c r="AR45" s="4176"/>
      <c r="AS45" s="4176" t="s">
        <v>3532</v>
      </c>
      <c r="AT45" s="4176" t="s">
        <v>3532</v>
      </c>
      <c r="AU45" s="4176" t="s">
        <v>3532</v>
      </c>
      <c r="AV45" s="4176" t="s">
        <v>3532</v>
      </c>
      <c r="AW45" s="4176" t="s">
        <v>3532</v>
      </c>
    </row>
    <row r="46" spans="1:49">
      <c r="A46" s="1372">
        <v>408170</v>
      </c>
      <c r="B46" s="1375">
        <f>B40-B43</f>
        <v>3828930.3976202477</v>
      </c>
      <c r="C46" s="1375">
        <f>C40</f>
        <v>1314269.0345824808</v>
      </c>
      <c r="D46" s="1375">
        <f>(D32/$C$12)*D40</f>
        <v>0</v>
      </c>
      <c r="E46" s="1375">
        <f>E40</f>
        <v>6395624.7971179849</v>
      </c>
      <c r="F46" s="1375">
        <f>SUM(B46:E46)</f>
        <v>11538824.229320712</v>
      </c>
      <c r="G46" s="1371"/>
      <c r="H46" s="1374">
        <f>B46</f>
        <v>3828930.3976202477</v>
      </c>
      <c r="I46" s="1374">
        <f>C46</f>
        <v>1314269.0345824808</v>
      </c>
      <c r="J46" s="1374">
        <f>E46</f>
        <v>6395624.7971179849</v>
      </c>
      <c r="K46" s="1373">
        <f>SUM(H46:J46)</f>
        <v>11538824.229320712</v>
      </c>
      <c r="AF46" s="875"/>
      <c r="AJ46" s="4175" t="s">
        <v>3531</v>
      </c>
      <c r="AK46" s="4139">
        <v>4711000</v>
      </c>
      <c r="AM46" s="4174">
        <v>4045000</v>
      </c>
      <c r="AO46" s="4174">
        <v>4536000</v>
      </c>
      <c r="AQ46" s="4174">
        <v>4046000</v>
      </c>
      <c r="AR46" s="4174"/>
      <c r="AS46" s="4174">
        <v>4569000</v>
      </c>
      <c r="AT46" s="4174">
        <v>4569000</v>
      </c>
      <c r="AU46" s="4174">
        <v>4948000</v>
      </c>
      <c r="AV46" s="4174">
        <v>4948000</v>
      </c>
      <c r="AW46" s="4174">
        <v>5164000</v>
      </c>
    </row>
    <row r="47" spans="1:49">
      <c r="A47" s="1372"/>
      <c r="B47" s="1369"/>
      <c r="C47" s="1369"/>
      <c r="D47" s="1369"/>
      <c r="E47" s="1369"/>
      <c r="F47" s="1369"/>
      <c r="G47" s="1371"/>
      <c r="H47" s="1371"/>
      <c r="I47" s="1371"/>
      <c r="J47" s="1371"/>
      <c r="K47" s="1370"/>
      <c r="AJ47" s="4122" t="s">
        <v>3530</v>
      </c>
      <c r="AK47" s="4149">
        <v>4240000</v>
      </c>
      <c r="AL47" s="4150"/>
      <c r="AM47" s="4172">
        <v>3640000</v>
      </c>
      <c r="AN47" s="4150"/>
      <c r="AO47" s="4172">
        <v>4082000</v>
      </c>
      <c r="AP47" s="4150"/>
      <c r="AQ47" s="4172">
        <v>3641000</v>
      </c>
      <c r="AR47" s="4172"/>
      <c r="AS47" s="4172">
        <v>4113000</v>
      </c>
      <c r="AT47" s="4172">
        <v>4113000</v>
      </c>
      <c r="AU47" s="4172">
        <v>4453000</v>
      </c>
      <c r="AV47" s="4172">
        <v>4453000</v>
      </c>
      <c r="AW47" s="4172">
        <v>4647000</v>
      </c>
    </row>
    <row r="48" spans="1:49" ht="15" thickBot="1">
      <c r="A48" s="1366"/>
      <c r="B48" s="1368">
        <f>SUM(B43:B46)</f>
        <v>4223938.8920319695</v>
      </c>
      <c r="C48" s="1368">
        <f>SUM(C43:C46)</f>
        <v>1314269.0345824808</v>
      </c>
      <c r="D48" s="1368">
        <f>SUM(D43:D46)</f>
        <v>0</v>
      </c>
      <c r="E48" s="1368">
        <f>SUM(E43:E46)</f>
        <v>6395624.7971179849</v>
      </c>
      <c r="F48" s="1368">
        <f>SUM(F43:F46)</f>
        <v>11933832.723732434</v>
      </c>
      <c r="G48" s="1369"/>
      <c r="H48" s="1368">
        <f>SUM(H43:H46)</f>
        <v>4073221.3976202477</v>
      </c>
      <c r="I48" s="1368">
        <f>SUM(I43:I46)</f>
        <v>1426868.0345824808</v>
      </c>
      <c r="J48" s="1368">
        <f>SUM(J43:J46)</f>
        <v>6433742.7971179849</v>
      </c>
      <c r="K48" s="1367">
        <f>SUM(K43:K46)</f>
        <v>11933832.229320712</v>
      </c>
      <c r="AJ48" s="4122" t="s">
        <v>3529</v>
      </c>
      <c r="AK48" s="4144">
        <v>4240000</v>
      </c>
      <c r="AL48" s="4145"/>
      <c r="AM48" s="4169">
        <f>SUM(AM47:AM47)</f>
        <v>3640000</v>
      </c>
      <c r="AN48" s="4145"/>
      <c r="AO48" s="4169">
        <f>SUM(AO47:AO47)</f>
        <v>4082000</v>
      </c>
      <c r="AP48" s="4145"/>
      <c r="AQ48" s="4169">
        <f>SUM(AQ47:AQ47)</f>
        <v>3641000</v>
      </c>
      <c r="AR48" s="4169"/>
      <c r="AS48" s="4169">
        <f>SUM(AS47:AS47)</f>
        <v>4113000</v>
      </c>
      <c r="AT48" s="4169">
        <f>SUM(AT47:AT47)</f>
        <v>4113000</v>
      </c>
      <c r="AU48" s="4169">
        <f>SUM(AU47:AU47)</f>
        <v>4453000</v>
      </c>
      <c r="AV48" s="4169">
        <f>SUM(AV47:AV47)</f>
        <v>4453000</v>
      </c>
      <c r="AW48" s="4169">
        <f>SUM(AW47:AW47)</f>
        <v>4647000</v>
      </c>
    </row>
    <row r="49" spans="1:49" ht="15" thickBot="1">
      <c r="A49" s="1366"/>
      <c r="B49" s="1365"/>
      <c r="C49" s="1365"/>
      <c r="D49" s="1365"/>
      <c r="E49" s="1365"/>
      <c r="F49" s="1365"/>
      <c r="G49" s="1365"/>
      <c r="H49" s="1365"/>
      <c r="I49" s="1365"/>
      <c r="J49" s="1365"/>
      <c r="K49" s="1364"/>
      <c r="M49" s="3746" t="s">
        <v>3425</v>
      </c>
      <c r="N49" s="3747"/>
      <c r="S49" s="1337" t="s">
        <v>82</v>
      </c>
      <c r="T49" s="1338"/>
      <c r="U49" s="1338"/>
      <c r="V49" s="1338"/>
      <c r="W49" s="1339"/>
      <c r="AJ49" s="4122" t="s">
        <v>3513</v>
      </c>
      <c r="AK49" s="4151">
        <v>0.11532112098199999</v>
      </c>
      <c r="AL49" s="4150"/>
      <c r="AM49" s="4173">
        <v>9.6287566374001335E-2</v>
      </c>
      <c r="AN49" s="4150"/>
      <c r="AO49" s="4173">
        <v>8.835127436892759E-2</v>
      </c>
      <c r="AP49" s="4150"/>
      <c r="AQ49" s="4173">
        <v>7.602593378679412E-2</v>
      </c>
      <c r="AR49" s="4173"/>
      <c r="AS49" s="4173">
        <v>6.4926001555310253E-2</v>
      </c>
      <c r="AT49" s="4173">
        <v>5.671960814109709E-2</v>
      </c>
      <c r="AU49" s="4173">
        <v>4.851321472688392E-2</v>
      </c>
      <c r="AV49" s="4173">
        <v>4.851321472688392E-2</v>
      </c>
      <c r="AW49" s="4173">
        <v>4.851321472688392E-2</v>
      </c>
    </row>
    <row r="50" spans="1:49" ht="15" thickBot="1">
      <c r="M50" s="1327" t="s">
        <v>80</v>
      </c>
      <c r="N50" s="3747" t="s">
        <v>3424</v>
      </c>
      <c r="S50" s="1340"/>
      <c r="V50" s="477" t="s">
        <v>1085</v>
      </c>
      <c r="W50" s="1015" t="s">
        <v>1086</v>
      </c>
      <c r="AJ50" s="4122" t="s">
        <v>3512</v>
      </c>
      <c r="AK50" s="4144">
        <v>488961.55296367995</v>
      </c>
      <c r="AL50" s="4145"/>
      <c r="AM50" s="4169">
        <f>SUM(AM48*AM49)</f>
        <v>350486.74160136486</v>
      </c>
      <c r="AN50" s="4145"/>
      <c r="AO50" s="4169">
        <f>SUM(AO48*AO49)</f>
        <v>360649.90197396243</v>
      </c>
      <c r="AP50" s="4145"/>
      <c r="AQ50" s="4169">
        <f>SUM(AQ48*AQ49)</f>
        <v>276810.42491771741</v>
      </c>
      <c r="AR50" s="4169"/>
      <c r="AS50" s="4169">
        <f>SUM(AS48*AS49)</f>
        <v>267040.64439699106</v>
      </c>
      <c r="AT50" s="4169">
        <f>SUM(AT48*AT49)</f>
        <v>233287.74828433234</v>
      </c>
      <c r="AU50" s="4169">
        <f>SUM(AU48*AU49)</f>
        <v>216029.34517881411</v>
      </c>
      <c r="AV50" s="4169">
        <f>SUM(AV48*AV49)</f>
        <v>216029.34517881411</v>
      </c>
      <c r="AW50" s="4169">
        <f>SUM(AW48*AW49)</f>
        <v>225440.90883582958</v>
      </c>
    </row>
    <row r="51" spans="1:49">
      <c r="A51" s="1334" t="s">
        <v>1090</v>
      </c>
      <c r="B51" s="1363"/>
      <c r="C51" s="1363"/>
      <c r="D51" s="1363"/>
      <c r="E51" s="1363"/>
      <c r="F51" s="1363"/>
      <c r="G51" s="1363"/>
      <c r="H51" s="1363"/>
      <c r="I51" s="1363"/>
      <c r="J51" s="1363"/>
      <c r="K51" s="1362"/>
      <c r="M51" s="3747"/>
      <c r="N51" s="3747"/>
      <c r="S51" s="1340"/>
      <c r="U51" s="877" t="s">
        <v>1087</v>
      </c>
      <c r="V51" s="1330">
        <v>39587672</v>
      </c>
      <c r="W51" s="1341">
        <f>V51/2</f>
        <v>19793836</v>
      </c>
      <c r="AJ51" s="4122" t="s">
        <v>3528</v>
      </c>
      <c r="AK51" s="4149">
        <v>-410.86500000000001</v>
      </c>
      <c r="AL51" s="4150"/>
      <c r="AM51" s="4172">
        <v>-339.85477127263619</v>
      </c>
      <c r="AN51" s="4150"/>
      <c r="AO51" s="4172">
        <v>-152.48091022051906</v>
      </c>
      <c r="AP51" s="4150"/>
      <c r="AQ51" s="4172">
        <v>-125.7742797051075</v>
      </c>
      <c r="AR51" s="4172"/>
      <c r="AS51" s="4172">
        <v>-125.7742797051075</v>
      </c>
      <c r="AT51" s="4172">
        <v>-125.7742797051075</v>
      </c>
      <c r="AU51" s="4172">
        <v>-125.7742797051075</v>
      </c>
      <c r="AV51" s="4172">
        <v>-125.7742797051075</v>
      </c>
      <c r="AW51" s="4172">
        <v>-125.7742797051075</v>
      </c>
    </row>
    <row r="52" spans="1:49">
      <c r="A52" s="1356" t="s">
        <v>1094</v>
      </c>
      <c r="K52" s="1357"/>
      <c r="M52" s="3747"/>
      <c r="N52" s="3747"/>
      <c r="S52" s="1340"/>
      <c r="U52" s="877" t="s">
        <v>1088</v>
      </c>
      <c r="V52" s="1329">
        <v>34582003</v>
      </c>
      <c r="W52" s="1342">
        <f>V52/2</f>
        <v>17291001.5</v>
      </c>
      <c r="AJ52" s="1217" t="s">
        <v>3508</v>
      </c>
      <c r="AK52" s="4144">
        <v>488550.68796367996</v>
      </c>
      <c r="AL52" s="4145"/>
      <c r="AM52" s="4169">
        <f>SUM(AM50:AM51)</f>
        <v>350146.88683009223</v>
      </c>
      <c r="AN52" s="4145"/>
      <c r="AO52" s="4169">
        <f>SUM(AO50:AO51)</f>
        <v>360497.4210637419</v>
      </c>
      <c r="AP52" s="4145"/>
      <c r="AQ52" s="4169">
        <f>SUM(AQ50:AQ51)</f>
        <v>276684.65063801227</v>
      </c>
      <c r="AR52" s="4169"/>
      <c r="AS52" s="4169">
        <f>SUM(AS50:AS51)</f>
        <v>266914.87011728593</v>
      </c>
      <c r="AT52" s="4169">
        <f>SUM(AT50:AT51)</f>
        <v>233161.97400462723</v>
      </c>
      <c r="AU52" s="4169">
        <f>SUM(AU50:AU51)</f>
        <v>215903.57089910901</v>
      </c>
      <c r="AV52" s="4169">
        <f>SUM(AV50:AV51)</f>
        <v>215903.57089910901</v>
      </c>
      <c r="AW52" s="4169">
        <f>SUM(AW50:AW51)</f>
        <v>225315.13455612448</v>
      </c>
    </row>
    <row r="53" spans="1:49">
      <c r="A53" s="1356">
        <v>408190</v>
      </c>
      <c r="B53" s="1355">
        <f>B43-B21</f>
        <v>83838.104411721928</v>
      </c>
      <c r="C53" s="1355">
        <f>C43-C29</f>
        <v>0</v>
      </c>
      <c r="D53" s="1355">
        <f>D43-D29</f>
        <v>0</v>
      </c>
      <c r="E53" s="1355">
        <f>E43-E29</f>
        <v>0</v>
      </c>
      <c r="F53" s="1355">
        <f>SUM(B53:E53)</f>
        <v>83838.104411721928</v>
      </c>
      <c r="H53" s="1355">
        <f>$F$53*H16</f>
        <v>51849.319361485679</v>
      </c>
      <c r="I53" s="1355">
        <f>$F$53*I16</f>
        <v>23898.40797450508</v>
      </c>
      <c r="J53" s="1355">
        <f>$F$53*J16</f>
        <v>8090.3770757311659</v>
      </c>
      <c r="K53" s="1361">
        <f>SUM(H53:J53)</f>
        <v>83838.104411721928</v>
      </c>
      <c r="M53" s="3748">
        <v>56710.642924238498</v>
      </c>
      <c r="N53" s="3683">
        <f>H53-M53</f>
        <v>-4861.3235627528193</v>
      </c>
      <c r="S53" s="1340"/>
      <c r="U53" s="877" t="s">
        <v>1089</v>
      </c>
      <c r="V53" s="1330"/>
      <c r="W53" s="1343">
        <f>W52+W51</f>
        <v>37084837.5</v>
      </c>
      <c r="AJ53" s="4122" t="s">
        <v>3527</v>
      </c>
      <c r="AK53" s="4171">
        <v>6.5483324019755262E-2</v>
      </c>
      <c r="AL53" s="4166">
        <f>(AM53-AK53)/AK53</f>
        <v>1.4923075919509674E-2</v>
      </c>
      <c r="AM53" s="4170">
        <f>23270.95/AM52</f>
        <v>6.6460536635563922E-2</v>
      </c>
      <c r="AN53" s="4166">
        <f>(AO53-AM53)/AM53</f>
        <v>-4.051365206961431E-3</v>
      </c>
      <c r="AO53" s="4170">
        <f>23861.786/AO52</f>
        <v>6.6191280729802612E-2</v>
      </c>
      <c r="AP53" s="4150"/>
      <c r="AQ53" s="4170">
        <f>SUM(AO53)</f>
        <v>6.6191280729802612E-2</v>
      </c>
      <c r="AR53" s="4170"/>
      <c r="AS53" s="4170">
        <f>SUM(AQ53)</f>
        <v>6.6191280729802612E-2</v>
      </c>
      <c r="AT53" s="4170">
        <f>SUM(AS53)</f>
        <v>6.6191280729802612E-2</v>
      </c>
      <c r="AU53" s="4170">
        <f>SUM(AT53)</f>
        <v>6.6191280729802612E-2</v>
      </c>
      <c r="AV53" s="4170">
        <f>SUM(AU53)</f>
        <v>6.6191280729802612E-2</v>
      </c>
      <c r="AW53" s="4170">
        <f>SUM(AV53)</f>
        <v>6.6191280729802612E-2</v>
      </c>
    </row>
    <row r="54" spans="1:49">
      <c r="A54" s="1356"/>
      <c r="B54" s="1355"/>
      <c r="C54" s="1355"/>
      <c r="D54" s="1355"/>
      <c r="E54" s="1355"/>
      <c r="F54" s="1355"/>
      <c r="K54" s="1357"/>
      <c r="M54" s="3748"/>
      <c r="N54" s="3747"/>
      <c r="S54" s="1340"/>
      <c r="U54" s="877" t="s">
        <v>1091</v>
      </c>
      <c r="V54" s="1330"/>
      <c r="W54" s="1344">
        <f>AF44</f>
        <v>37094152.315000005</v>
      </c>
      <c r="AJ54" s="4122" t="s">
        <v>3510</v>
      </c>
      <c r="AK54" s="4144">
        <v>31991.923000000003</v>
      </c>
      <c r="AL54" s="4145"/>
      <c r="AM54" s="4169">
        <f>SUM(AM52*AM53)</f>
        <v>23270.95</v>
      </c>
      <c r="AN54" s="4145"/>
      <c r="AO54" s="4169">
        <f>SUM(AO52*AO53)</f>
        <v>23861.785999999996</v>
      </c>
      <c r="AP54" s="4145"/>
      <c r="AQ54" s="4169">
        <f>SUM(AQ52*AQ53)</f>
        <v>18314.111384008029</v>
      </c>
      <c r="AR54" s="4169"/>
      <c r="AS54" s="4169">
        <f>SUM(AS52*AS53)</f>
        <v>17667.437098892075</v>
      </c>
      <c r="AT54" s="4169">
        <f>SUM(AT52*AT53)</f>
        <v>15433.28967685522</v>
      </c>
      <c r="AU54" s="4169">
        <f>SUM(AU52*AU53)</f>
        <v>14290.933871949766</v>
      </c>
      <c r="AV54" s="4169">
        <f>SUM(AV52*AV53)</f>
        <v>14290.933871949766</v>
      </c>
      <c r="AW54" s="4169">
        <f>SUM(AW52*AW53)</f>
        <v>14913.897324077685</v>
      </c>
    </row>
    <row r="55" spans="1:49" ht="15" thickBot="1">
      <c r="A55" s="1356" t="s">
        <v>1077</v>
      </c>
      <c r="B55" s="1355"/>
      <c r="C55" s="1355"/>
      <c r="D55" s="1355"/>
      <c r="E55" s="1355"/>
      <c r="F55" s="1355"/>
      <c r="K55" s="1357"/>
      <c r="M55" s="3748"/>
      <c r="N55" s="3747"/>
      <c r="S55" s="1345"/>
      <c r="T55" s="1346"/>
      <c r="U55" s="1347" t="s">
        <v>1092</v>
      </c>
      <c r="V55" s="1347"/>
      <c r="W55" s="1336">
        <f>W53-W54</f>
        <v>-9314.8150000050664</v>
      </c>
      <c r="AJ55" s="4122" t="s">
        <v>3498</v>
      </c>
      <c r="AK55" s="4142">
        <v>0.369363199580094</v>
      </c>
      <c r="AL55" s="4166">
        <f>(AM55-AK55)/AK55</f>
        <v>0.1066546093494319</v>
      </c>
      <c r="AM55" s="4168">
        <f>(9540.737-10.99547-17.56648)/AM54</f>
        <v>0.40875748733936518</v>
      </c>
      <c r="AN55" s="4166">
        <f>(AO55-AM55)/AM55</f>
        <v>-7.4669438863746145E-3</v>
      </c>
      <c r="AO55" s="4168">
        <f>(9706.40926-9.96184-15.59394)/AO54</f>
        <v>0.40570531811826666</v>
      </c>
      <c r="AP55" s="4166">
        <v>1.4999999999999999E-2</v>
      </c>
      <c r="AQ55" s="4168">
        <f>SUM(AO55*(1+$AP$55))</f>
        <v>0.41179089789004064</v>
      </c>
      <c r="AR55" s="4166">
        <v>1.4999999999999999E-2</v>
      </c>
      <c r="AS55" s="4168">
        <f>SUM(AQ55*(1+$AR$55))</f>
        <v>0.4179677613583912</v>
      </c>
      <c r="AT55" s="4168">
        <f>SUM(AS55*(1+$AR$55))</f>
        <v>0.42423727777876702</v>
      </c>
      <c r="AU55" s="4168">
        <f>SUM(AT55*(1+$AR$55))</f>
        <v>0.43060083694544848</v>
      </c>
      <c r="AV55" s="4168">
        <f>SUM(AU55*(1+$AR$55))</f>
        <v>0.43705984949963017</v>
      </c>
      <c r="AW55" s="4168">
        <f>SUM(AV55*(1+$AR$55))</f>
        <v>0.4436157472421246</v>
      </c>
    </row>
    <row r="56" spans="1:49" ht="15" thickBot="1">
      <c r="A56" s="1356">
        <v>408170</v>
      </c>
      <c r="B56" s="1360">
        <f>B46-B24</f>
        <v>812666.74262024788</v>
      </c>
      <c r="C56" s="1360">
        <f>C46-C24</f>
        <v>151639.56458248082</v>
      </c>
      <c r="D56" s="1360">
        <f>D46-D24</f>
        <v>0</v>
      </c>
      <c r="E56" s="1360">
        <f>E46-E24</f>
        <v>1202268.8371179849</v>
      </c>
      <c r="F56" s="1360">
        <f>SUM(B56:E56)</f>
        <v>2166575.1443207134</v>
      </c>
      <c r="H56" s="1359">
        <f>B56</f>
        <v>812666.74262024788</v>
      </c>
      <c r="I56" s="1359">
        <f>C56</f>
        <v>151639.56458248082</v>
      </c>
      <c r="J56" s="1359">
        <f>E56</f>
        <v>1202268.8371179849</v>
      </c>
      <c r="K56" s="1358">
        <f>SUM(H56:J56)</f>
        <v>2166575.1443207134</v>
      </c>
      <c r="M56" s="3748">
        <v>888861.30087514222</v>
      </c>
      <c r="N56" s="3683">
        <f>H56-M56</f>
        <v>-76194.558254894335</v>
      </c>
      <c r="AJ56" s="4122" t="s">
        <v>3497</v>
      </c>
      <c r="AK56" s="4140">
        <v>11816.63904</v>
      </c>
      <c r="AL56" s="4141"/>
      <c r="AM56" s="4140">
        <f>SUM(AM54*AM55)</f>
        <v>9512.1750499999998</v>
      </c>
      <c r="AN56" s="4141"/>
      <c r="AO56" s="4140">
        <f>SUM(AO54*AO55)</f>
        <v>9680.8534799999998</v>
      </c>
      <c r="AP56" s="4141"/>
      <c r="AQ56" s="4140">
        <f>SUM(AQ54*AQ55)</f>
        <v>7541.5843708788807</v>
      </c>
      <c r="AR56" s="4140"/>
      <c r="AS56" s="4140">
        <f>SUM(AS54*AS55)</f>
        <v>7384.4191331641096</v>
      </c>
      <c r="AT56" s="4140">
        <f>SUM(AT54*AT55)</f>
        <v>6547.3767996802053</v>
      </c>
      <c r="AU56" s="4140">
        <f>SUM(AU54*AU55)</f>
        <v>6153.6880859936282</v>
      </c>
      <c r="AV56" s="4140">
        <f>SUM(AV54*AV55)</f>
        <v>6245.9934072835322</v>
      </c>
      <c r="AW56" s="4140">
        <f>SUM(AW54*AW55)</f>
        <v>6616.0397057130449</v>
      </c>
    </row>
    <row r="57" spans="1:49" ht="15.5" thickTop="1" thickBot="1">
      <c r="A57" s="1356"/>
      <c r="B57" s="1355"/>
      <c r="C57" s="1355"/>
      <c r="D57" s="1355"/>
      <c r="E57" s="1355"/>
      <c r="F57" s="1355"/>
      <c r="K57" s="1357"/>
      <c r="M57" s="3748"/>
      <c r="N57" s="3747"/>
      <c r="AJ57" s="4132"/>
      <c r="AK57" s="4138"/>
      <c r="AL57" s="4156"/>
      <c r="AM57" s="4167"/>
      <c r="AN57" s="4156"/>
      <c r="AO57" s="4138"/>
      <c r="AP57" s="4156"/>
      <c r="AQ57" s="4138"/>
      <c r="AR57" s="4138"/>
      <c r="AS57" s="4120">
        <f>(AS56-AQ56)/AQ56</f>
        <v>-2.0839816938420783E-2</v>
      </c>
      <c r="AT57" s="4120">
        <f>(AT56-AS56)/AS56</f>
        <v>-0.1133524950831501</v>
      </c>
      <c r="AU57" s="4120">
        <f>(AU56-AT56)/AT56</f>
        <v>-6.0129228198048126E-2</v>
      </c>
      <c r="AV57" s="4120">
        <f>(AV56-AU56)/AU56</f>
        <v>1.4999999999999928E-2</v>
      </c>
      <c r="AW57" s="4120">
        <f>(AW56-AV56)/AV56</f>
        <v>5.9245387290674537E-2</v>
      </c>
    </row>
    <row r="58" spans="1:49" ht="15.5" thickTop="1" thickBot="1">
      <c r="A58" s="1356"/>
      <c r="B58" s="1354">
        <f>SUM(B53:B56)</f>
        <v>896504.84703196981</v>
      </c>
      <c r="C58" s="1354">
        <f>SUM(C53:C56)</f>
        <v>151639.56458248082</v>
      </c>
      <c r="D58" s="1354">
        <f>SUM(D53:D56)</f>
        <v>0</v>
      </c>
      <c r="E58" s="1354">
        <f>SUM(E53:E56)</f>
        <v>1202268.8371179849</v>
      </c>
      <c r="F58" s="1354">
        <f>SUM(F53:F56)</f>
        <v>2250413.2487324355</v>
      </c>
      <c r="G58" s="1355"/>
      <c r="H58" s="1335">
        <f>SUM(H53:H56)</f>
        <v>864516.06198173354</v>
      </c>
      <c r="I58" s="1354">
        <f>SUM(I53:I56)</f>
        <v>175537.97255698589</v>
      </c>
      <c r="J58" s="1354">
        <f>SUM(J53:J56)</f>
        <v>1210359.2141937159</v>
      </c>
      <c r="K58" s="1353">
        <f>SUM(K53:K56)</f>
        <v>2250413.2487324355</v>
      </c>
      <c r="M58" s="1335">
        <v>945571.94379938103</v>
      </c>
      <c r="N58" s="3749">
        <f>H58-M58</f>
        <v>-81055.881817647489</v>
      </c>
      <c r="AJ58" s="4132"/>
      <c r="AK58" s="4138"/>
      <c r="AL58" s="4156"/>
      <c r="AM58" s="4167"/>
      <c r="AN58" s="4156"/>
      <c r="AO58" s="4138"/>
      <c r="AP58" s="4156"/>
      <c r="AQ58" s="4138"/>
      <c r="AR58" s="4138"/>
      <c r="AS58" s="4120"/>
      <c r="AT58" s="4120"/>
      <c r="AU58" s="4120"/>
      <c r="AV58" s="4120"/>
      <c r="AW58" s="4120"/>
    </row>
    <row r="59" spans="1:49" ht="15" thickBot="1">
      <c r="A59" s="1352"/>
      <c r="B59" s="1351"/>
      <c r="C59" s="1351"/>
      <c r="D59" s="1351"/>
      <c r="E59" s="1351"/>
      <c r="F59" s="1351"/>
      <c r="G59" s="1351"/>
      <c r="H59" s="1351"/>
      <c r="I59" s="1351"/>
      <c r="J59" s="1351"/>
      <c r="K59" s="1350"/>
      <c r="AJ59" s="4132"/>
      <c r="AK59" s="4138"/>
      <c r="AL59" s="4156"/>
      <c r="AM59" s="4167"/>
      <c r="AN59" s="4156"/>
      <c r="AO59" s="4138"/>
      <c r="AP59" s="4156"/>
      <c r="AQ59" s="4138"/>
      <c r="AR59" s="4138"/>
      <c r="AS59" s="4120"/>
      <c r="AT59" s="4120"/>
      <c r="AU59" s="4120"/>
      <c r="AV59" s="4120"/>
      <c r="AW59" s="4120"/>
    </row>
    <row r="60" spans="1:49">
      <c r="AJ60" s="4132"/>
      <c r="AK60" s="4138"/>
      <c r="AL60" s="4156"/>
      <c r="AM60" s="4167"/>
      <c r="AN60" s="4156"/>
      <c r="AO60" s="4138"/>
      <c r="AP60" s="4156"/>
      <c r="AQ60" s="4138"/>
      <c r="AR60" s="4138"/>
      <c r="AS60" s="4120"/>
      <c r="AT60" s="4120"/>
      <c r="AU60" s="4120"/>
      <c r="AV60" s="4120"/>
      <c r="AW60" s="4120"/>
    </row>
    <row r="61" spans="1:49" ht="16" thickBot="1">
      <c r="AJ61" s="4146" t="s">
        <v>3526</v>
      </c>
      <c r="AO61" s="4147"/>
      <c r="AP61" s="4147"/>
      <c r="AQ61" s="4147"/>
      <c r="AR61" s="4147"/>
      <c r="AS61" s="4147"/>
      <c r="AT61" s="4147"/>
      <c r="AU61" s="4147"/>
      <c r="AV61" s="4147"/>
      <c r="AW61" s="4147"/>
    </row>
    <row r="62" spans="1:49" ht="29.5" thickBot="1">
      <c r="A62" s="1333" t="s">
        <v>1093</v>
      </c>
      <c r="B62" s="1380">
        <f>AU89*1000</f>
        <v>4254049.5421337401</v>
      </c>
      <c r="C62" s="1380">
        <f>AU104*1000</f>
        <v>1240137.9887918879</v>
      </c>
      <c r="D62" s="1380">
        <v>0</v>
      </c>
      <c r="E62" s="1380">
        <f>AU113*1000</f>
        <v>6491559.1690747542</v>
      </c>
      <c r="F62" s="1380">
        <f>SUM(B62:E62)</f>
        <v>11985746.700000383</v>
      </c>
      <c r="G62" s="1379"/>
      <c r="H62" s="1379"/>
      <c r="I62" s="1379"/>
      <c r="J62" s="1379"/>
      <c r="K62" s="1378"/>
      <c r="AJ62" s="4122"/>
      <c r="AK62" s="4130" t="s">
        <v>3506</v>
      </c>
      <c r="AL62" s="4131"/>
      <c r="AM62" s="4130" t="s">
        <v>3505</v>
      </c>
      <c r="AN62" s="4131"/>
      <c r="AO62" s="4130" t="s">
        <v>3504</v>
      </c>
      <c r="AP62" s="4131"/>
      <c r="AQ62" s="4130" t="s">
        <v>3503</v>
      </c>
      <c r="AR62" s="4130"/>
      <c r="AS62" s="4130" t="s">
        <v>3502</v>
      </c>
      <c r="AT62" s="4130" t="s">
        <v>3501</v>
      </c>
      <c r="AU62" s="4130" t="s">
        <v>3500</v>
      </c>
      <c r="AV62" s="4130" t="s">
        <v>3500</v>
      </c>
      <c r="AW62" s="4130" t="s">
        <v>3500</v>
      </c>
    </row>
    <row r="63" spans="1:49">
      <c r="A63" s="1372"/>
      <c r="B63" s="1371"/>
      <c r="C63" s="1371"/>
      <c r="D63" s="1371"/>
      <c r="E63" s="1371"/>
      <c r="F63" s="1371"/>
      <c r="G63" s="1371"/>
      <c r="H63" s="1371"/>
      <c r="I63" s="1371"/>
      <c r="J63" s="1371"/>
      <c r="K63" s="1370"/>
      <c r="AJ63" s="4122" t="s">
        <v>3499</v>
      </c>
      <c r="AK63" s="4144">
        <v>1450</v>
      </c>
      <c r="AL63" s="4145"/>
      <c r="AM63" s="4144">
        <f>SUM(AK63)</f>
        <v>1450</v>
      </c>
      <c r="AN63" s="4145"/>
      <c r="AO63" s="4144">
        <f>SUM(AM63)</f>
        <v>1450</v>
      </c>
      <c r="AP63" s="4145"/>
      <c r="AQ63" s="4144">
        <f>SUM(AO63)</f>
        <v>1450</v>
      </c>
      <c r="AR63" s="4144"/>
      <c r="AS63" s="4144">
        <f>SUM(AQ63)</f>
        <v>1450</v>
      </c>
      <c r="AT63" s="4144">
        <f>SUM(AS63)</f>
        <v>1450</v>
      </c>
      <c r="AU63" s="4144">
        <f>SUM(AT63)</f>
        <v>1450</v>
      </c>
      <c r="AV63" s="4144">
        <f>SUM(AU63)</f>
        <v>1450</v>
      </c>
      <c r="AW63" s="4144">
        <f>SUM(AV63)</f>
        <v>1450</v>
      </c>
    </row>
    <row r="64" spans="1:49">
      <c r="A64" s="1372" t="s">
        <v>1094</v>
      </c>
      <c r="B64" s="1371"/>
      <c r="C64" s="1371"/>
      <c r="D64" s="1371"/>
      <c r="E64" s="1371"/>
      <c r="F64" s="1371"/>
      <c r="G64" s="1371"/>
      <c r="H64" s="1371"/>
      <c r="I64" s="1371"/>
      <c r="J64" s="1371"/>
      <c r="K64" s="1370"/>
      <c r="AJ64" s="4122" t="s">
        <v>3498</v>
      </c>
      <c r="AK64" s="4142">
        <v>9.1555517241379315E-3</v>
      </c>
      <c r="AL64" s="4166">
        <f>(AM64-AK64)/AK64</f>
        <v>-4.7613846507301071E-2</v>
      </c>
      <c r="AM64" s="4142">
        <f>12.64345/AM63</f>
        <v>8.7196206896551724E-3</v>
      </c>
      <c r="AN64" s="4166">
        <f>(AO64-AM64)/AM64</f>
        <v>-6.211912096777468E-3</v>
      </c>
      <c r="AO64" s="4162">
        <f>12.56491/AO63</f>
        <v>8.6654551724137923E-3</v>
      </c>
      <c r="AP64" s="4166">
        <v>1.4999999999999999E-2</v>
      </c>
      <c r="AQ64" s="4162">
        <f>SUM(AO64*(1+AP64))</f>
        <v>8.795436999999998E-3</v>
      </c>
      <c r="AR64" s="4166">
        <v>1.4999999999999999E-2</v>
      </c>
      <c r="AS64" s="4162">
        <f>SUM(AQ64*(1+$AR$64))</f>
        <v>8.9273685549999971E-3</v>
      </c>
      <c r="AT64" s="4162">
        <f>SUM(AS64*(1+$AR$64))</f>
        <v>9.0612790833249964E-3</v>
      </c>
      <c r="AU64" s="4162">
        <f>SUM(AT64*(1+$AR$64))</f>
        <v>9.1971982695748713E-3</v>
      </c>
      <c r="AV64" s="4162">
        <f>SUM(AU64*(1+$AR$64))</f>
        <v>9.3351562436184941E-3</v>
      </c>
      <c r="AW64" s="4162">
        <f>SUM(AV64*(1+$AR$64))</f>
        <v>9.4751835872727702E-3</v>
      </c>
    </row>
    <row r="65" spans="1:49" ht="15" thickBot="1">
      <c r="A65" s="1372">
        <v>408190</v>
      </c>
      <c r="B65" s="1369">
        <f>B62*$B$21/$B$26</f>
        <v>397824.34067902836</v>
      </c>
      <c r="C65" s="1369"/>
      <c r="D65" s="1369"/>
      <c r="E65" s="1369"/>
      <c r="F65" s="1369">
        <f>SUM(B65:E65)</f>
        <v>397824.34067902836</v>
      </c>
      <c r="G65" s="1371"/>
      <c r="H65" s="1377">
        <f>ROUND(F65*H16,0)</f>
        <v>246033</v>
      </c>
      <c r="I65" s="1377">
        <f>ROUND(F65*I16,0)</f>
        <v>113402</v>
      </c>
      <c r="J65" s="1377">
        <f>ROUND(F65*J16,0)</f>
        <v>38390</v>
      </c>
      <c r="K65" s="1376">
        <f>SUM(H65:J65)</f>
        <v>397825</v>
      </c>
      <c r="AJ65" s="4122" t="s">
        <v>3497</v>
      </c>
      <c r="AK65" s="4140">
        <v>13.275550000000001</v>
      </c>
      <c r="AL65" s="4141"/>
      <c r="AM65" s="4140">
        <f>SUM(AM63*AM64)</f>
        <v>12.64345</v>
      </c>
      <c r="AN65" s="4165"/>
      <c r="AO65" s="4140">
        <f>SUM(AO63*AO64)</f>
        <v>12.564909999999999</v>
      </c>
      <c r="AP65" s="4165"/>
      <c r="AQ65" s="4140">
        <f>SUM(AQ63*AQ64)</f>
        <v>12.753383649999996</v>
      </c>
      <c r="AR65" s="4140"/>
      <c r="AS65" s="4140">
        <f>SUM(AS63*AS64)</f>
        <v>12.944684404749996</v>
      </c>
      <c r="AT65" s="4140">
        <f>SUM(AT63*AT64)</f>
        <v>13.138854670821244</v>
      </c>
      <c r="AU65" s="4140">
        <f>SUM(AU63*AU64)</f>
        <v>13.335937490883563</v>
      </c>
      <c r="AV65" s="4140">
        <f>SUM(AV63*AV64)</f>
        <v>13.535976553246817</v>
      </c>
      <c r="AW65" s="4140">
        <f>SUM(AW63*AW64)</f>
        <v>13.739016201545518</v>
      </c>
    </row>
    <row r="66" spans="1:49" ht="15" thickTop="1">
      <c r="A66" s="1372"/>
      <c r="B66" s="1369"/>
      <c r="C66" s="1369"/>
      <c r="D66" s="1369"/>
      <c r="E66" s="1369"/>
      <c r="F66" s="1369"/>
      <c r="G66" s="1371"/>
      <c r="H66" s="1371"/>
      <c r="I66" s="1371"/>
      <c r="J66" s="1371"/>
      <c r="K66" s="1370"/>
      <c r="AJ66" s="4132"/>
      <c r="AK66" s="4137"/>
      <c r="AL66" s="4136"/>
      <c r="AM66" s="4137"/>
      <c r="AN66" s="4136"/>
      <c r="AO66" s="4135"/>
      <c r="AP66" s="4136"/>
      <c r="AQ66" s="4135"/>
      <c r="AR66" s="4135"/>
      <c r="AS66" s="4135"/>
      <c r="AT66" s="4135"/>
      <c r="AU66" s="4135"/>
      <c r="AV66" s="4135"/>
      <c r="AW66" s="4135"/>
    </row>
    <row r="67" spans="1:49" ht="15.5">
      <c r="A67" s="1372" t="s">
        <v>1077</v>
      </c>
      <c r="B67" s="1369"/>
      <c r="C67" s="1369"/>
      <c r="D67" s="1369"/>
      <c r="E67" s="1369"/>
      <c r="F67" s="1369"/>
      <c r="G67" s="1371"/>
      <c r="H67" s="1371"/>
      <c r="I67" s="1371"/>
      <c r="J67" s="1371"/>
      <c r="K67" s="1370"/>
      <c r="AJ67" s="4146" t="s">
        <v>3525</v>
      </c>
      <c r="AO67" s="4147"/>
      <c r="AP67" s="4147"/>
      <c r="AQ67" s="4147"/>
      <c r="AR67" s="4147"/>
      <c r="AS67" s="4147"/>
      <c r="AT67" s="4147"/>
      <c r="AU67" s="4147"/>
      <c r="AV67" s="4147"/>
      <c r="AW67" s="4147"/>
    </row>
    <row r="68" spans="1:49" ht="15.5">
      <c r="A68" s="1372">
        <v>408170</v>
      </c>
      <c r="B68" s="1375">
        <f>B62-B65</f>
        <v>3856225.2014547116</v>
      </c>
      <c r="C68" s="1375">
        <f>C62</f>
        <v>1240137.9887918879</v>
      </c>
      <c r="D68" s="1375">
        <f>(D54/$C$12)*D62</f>
        <v>0</v>
      </c>
      <c r="E68" s="1375">
        <f>E62</f>
        <v>6491559.1690747542</v>
      </c>
      <c r="F68" s="1375">
        <f>SUM(B68:E68)</f>
        <v>11587922.359321354</v>
      </c>
      <c r="G68" s="1371"/>
      <c r="H68" s="1374">
        <f>B68</f>
        <v>3856225.2014547116</v>
      </c>
      <c r="I68" s="1374">
        <f>C68</f>
        <v>1240137.9887918879</v>
      </c>
      <c r="J68" s="1374">
        <f>E68</f>
        <v>6491559.1690747542</v>
      </c>
      <c r="K68" s="1373">
        <f>SUM(H68:J68)</f>
        <v>11587922.359321354</v>
      </c>
      <c r="AJ68" s="4122"/>
      <c r="AK68" s="4130" t="s">
        <v>3506</v>
      </c>
      <c r="AL68" s="4131"/>
      <c r="AM68" s="4130" t="str">
        <f>AM62</f>
        <v>21/22 Final</v>
      </c>
      <c r="AN68" s="4131"/>
      <c r="AO68" s="4130" t="str">
        <f>AO62</f>
        <v>22/23 Final</v>
      </c>
      <c r="AP68" s="4131"/>
      <c r="AQ68" s="4130" t="str">
        <f>AQ62</f>
        <v>23/24 Estimate</v>
      </c>
      <c r="AR68" s="4130"/>
      <c r="AS68" s="4130" t="str">
        <f>AS62</f>
        <v>24/25 Estimate</v>
      </c>
      <c r="AT68" s="4130" t="str">
        <f>AT62</f>
        <v>25/26 Estimate</v>
      </c>
      <c r="AU68" s="4130" t="str">
        <f>AU62</f>
        <v>26/27 Estimate</v>
      </c>
      <c r="AV68" s="4130" t="str">
        <f>AV62</f>
        <v>26/27 Estimate</v>
      </c>
      <c r="AW68" s="4130" t="str">
        <f>AW62</f>
        <v>26/27 Estimate</v>
      </c>
    </row>
    <row r="69" spans="1:49">
      <c r="A69" s="1372"/>
      <c r="B69" s="1369"/>
      <c r="C69" s="1369"/>
      <c r="D69" s="1369"/>
      <c r="E69" s="1369"/>
      <c r="F69" s="1369"/>
      <c r="G69" s="1371"/>
      <c r="H69" s="1371"/>
      <c r="I69" s="1371"/>
      <c r="J69" s="1371"/>
      <c r="K69" s="1370"/>
      <c r="AJ69" s="4122" t="s">
        <v>3499</v>
      </c>
      <c r="AK69" s="4164">
        <v>208550</v>
      </c>
      <c r="AM69" s="4164">
        <v>208350</v>
      </c>
      <c r="AO69" s="4164">
        <v>207150</v>
      </c>
      <c r="AQ69" s="4164">
        <v>197550</v>
      </c>
      <c r="AR69" s="4164"/>
      <c r="AS69" s="4164">
        <v>219650</v>
      </c>
      <c r="AT69" s="4164">
        <v>219650</v>
      </c>
      <c r="AU69" s="4164">
        <v>224850</v>
      </c>
      <c r="AV69" s="4164">
        <v>224850</v>
      </c>
      <c r="AW69" s="4164">
        <v>224850</v>
      </c>
    </row>
    <row r="70" spans="1:49" ht="15" thickBot="1">
      <c r="A70" s="1366"/>
      <c r="B70" s="1368">
        <f>SUM(B65:B68)</f>
        <v>4254049.5421337401</v>
      </c>
      <c r="C70" s="1368">
        <f>SUM(C65:C68)</f>
        <v>1240137.9887918879</v>
      </c>
      <c r="D70" s="1368">
        <f>SUM(D65:D68)</f>
        <v>0</v>
      </c>
      <c r="E70" s="1368">
        <f>SUM(E65:E68)</f>
        <v>6491559.1690747542</v>
      </c>
      <c r="F70" s="1368">
        <f>SUM(F65:F68)</f>
        <v>11985746.700000383</v>
      </c>
      <c r="G70" s="1369"/>
      <c r="H70" s="1368">
        <f>SUM(H65:H68)</f>
        <v>4102258.2014547116</v>
      </c>
      <c r="I70" s="1368">
        <f>SUM(I65:I68)</f>
        <v>1353539.9887918879</v>
      </c>
      <c r="J70" s="1368">
        <f>SUM(J65:J68)</f>
        <v>6529949.1690747542</v>
      </c>
      <c r="K70" s="1367">
        <f>SUM(K65:K68)</f>
        <v>11985747.359321354</v>
      </c>
      <c r="AJ70" s="4122" t="s">
        <v>3498</v>
      </c>
      <c r="AK70" s="4142">
        <v>1.686442009110525E-2</v>
      </c>
      <c r="AL70" s="4143">
        <f>(AM70-AK70)/AK70</f>
        <v>2.8608409630573498E-2</v>
      </c>
      <c r="AM70" s="4142">
        <f>3614.22335/AM69</f>
        <v>1.7346884329253662E-2</v>
      </c>
      <c r="AN70" s="4143">
        <f>(AO70-AM70)/AM70</f>
        <v>-9.7403628410301701E-2</v>
      </c>
      <c r="AO70" s="4142">
        <f>3243.3962/AO69</f>
        <v>1.5657234853970553E-2</v>
      </c>
      <c r="AP70" s="4143">
        <v>1.4999999999999999E-2</v>
      </c>
      <c r="AQ70" s="4142">
        <f>SUM(AO70*(1+AP70))</f>
        <v>1.589209337678011E-2</v>
      </c>
      <c r="AR70" s="4143">
        <v>1.4999999999999999E-2</v>
      </c>
      <c r="AS70" s="4142">
        <f>SUM(AQ70*(1+$AR$70))</f>
        <v>1.6130474777431809E-2</v>
      </c>
      <c r="AT70" s="4142">
        <f>SUM(AS70*(1+$AR$70))</f>
        <v>1.6372431899093286E-2</v>
      </c>
      <c r="AU70" s="4142">
        <f>SUM(AT70*(1+$AR$70))</f>
        <v>1.6618018377579685E-2</v>
      </c>
      <c r="AV70" s="4142">
        <f>SUM(AU70*(1+$AR$70))</f>
        <v>1.6867288653243377E-2</v>
      </c>
      <c r="AW70" s="4142">
        <f>SUM(AV70*(1+$AR$70))</f>
        <v>1.7120297983042026E-2</v>
      </c>
    </row>
    <row r="71" spans="1:49" ht="15" thickBot="1">
      <c r="A71" s="1366"/>
      <c r="B71" s="1365"/>
      <c r="C71" s="1365"/>
      <c r="D71" s="1365"/>
      <c r="E71" s="1365"/>
      <c r="F71" s="1365"/>
      <c r="G71" s="1365"/>
      <c r="H71" s="1365"/>
      <c r="I71" s="1365"/>
      <c r="J71" s="1365"/>
      <c r="K71" s="1364"/>
      <c r="M71" s="3746" t="s">
        <v>3425</v>
      </c>
      <c r="N71" s="3747"/>
      <c r="AJ71" s="4122" t="s">
        <v>3497</v>
      </c>
      <c r="AK71" s="4140">
        <v>3517.0748100000001</v>
      </c>
      <c r="AL71" s="4141"/>
      <c r="AM71" s="4140">
        <f>SUM(AM69:AM69)*AM70</f>
        <v>3614.2233500000007</v>
      </c>
      <c r="AN71" s="4141"/>
      <c r="AO71" s="4140">
        <f>SUM(AO69:AO69)*AO70</f>
        <v>3243.3962000000001</v>
      </c>
      <c r="AP71" s="4141"/>
      <c r="AQ71" s="4140">
        <f>SUM(AQ69:AQ69)*AQ70</f>
        <v>3139.4830465829109</v>
      </c>
      <c r="AR71" s="4140"/>
      <c r="AS71" s="4140">
        <f>SUM(AS69:AS69)*AS70</f>
        <v>3543.0587848628966</v>
      </c>
      <c r="AT71" s="4140">
        <f>SUM(AT69:AT69)*AT70</f>
        <v>3596.2046666358401</v>
      </c>
      <c r="AU71" s="4140">
        <f>SUM(AU69:AU69)*AU70</f>
        <v>3736.5614321987919</v>
      </c>
      <c r="AV71" s="4140">
        <f>SUM(AV69:AV69)*AV70</f>
        <v>3792.6098536817735</v>
      </c>
      <c r="AW71" s="4140">
        <f>SUM(AW69:AW69)*AW70</f>
        <v>3849.4990014869995</v>
      </c>
    </row>
    <row r="72" spans="1:49" ht="15" thickBot="1">
      <c r="M72" s="1327" t="s">
        <v>80</v>
      </c>
      <c r="N72" s="3747" t="s">
        <v>3424</v>
      </c>
      <c r="AJ72" s="4132"/>
      <c r="AK72" s="4137"/>
      <c r="AL72" s="4136"/>
      <c r="AM72" s="4137"/>
      <c r="AN72" s="4136"/>
      <c r="AO72" s="4137"/>
      <c r="AP72" s="4136"/>
      <c r="AQ72" s="4137"/>
      <c r="AR72" s="4137"/>
      <c r="AS72" s="4137"/>
      <c r="AT72" s="4137"/>
      <c r="AU72" s="4137"/>
      <c r="AV72" s="4137"/>
      <c r="AW72" s="4137"/>
    </row>
    <row r="73" spans="1:49" ht="16" thickBot="1">
      <c r="A73" s="1334" t="s">
        <v>1090</v>
      </c>
      <c r="B73" s="1363"/>
      <c r="C73" s="1363"/>
      <c r="D73" s="1363"/>
      <c r="E73" s="1363"/>
      <c r="F73" s="1363"/>
      <c r="G73" s="1363"/>
      <c r="H73" s="1363"/>
      <c r="I73" s="1363"/>
      <c r="J73" s="1363"/>
      <c r="K73" s="1362"/>
      <c r="L73" s="3745"/>
      <c r="M73" s="3747"/>
      <c r="N73" s="3747"/>
      <c r="AJ73" s="4146" t="s">
        <v>3524</v>
      </c>
      <c r="AK73" s="4140">
        <f>AK71+AK65</f>
        <v>3530.3503599999999</v>
      </c>
      <c r="AL73" s="4141"/>
      <c r="AM73" s="4140">
        <f>AM71+AM65</f>
        <v>3626.8668000000007</v>
      </c>
      <c r="AN73" s="4141"/>
      <c r="AO73" s="4140">
        <f>AO71+AO65</f>
        <v>3255.9611100000002</v>
      </c>
      <c r="AP73" s="4141"/>
      <c r="AQ73" s="4140">
        <f>AQ71+AQ65</f>
        <v>3152.2364302329111</v>
      </c>
      <c r="AR73" s="4140"/>
      <c r="AS73" s="4140">
        <f>AS71+AS65</f>
        <v>3556.0034692676468</v>
      </c>
      <c r="AT73" s="4140">
        <f>AT71+AT65</f>
        <v>3609.3435213066614</v>
      </c>
      <c r="AU73" s="4140">
        <f>AU71+AU65</f>
        <v>3749.8973696896755</v>
      </c>
      <c r="AV73" s="4140">
        <f>AV71+AV65</f>
        <v>3806.1458302350202</v>
      </c>
      <c r="AW73" s="4140">
        <f>AW71+AW65</f>
        <v>3863.2380176885449</v>
      </c>
    </row>
    <row r="74" spans="1:49" ht="15" thickTop="1">
      <c r="A74" s="1356" t="s">
        <v>1094</v>
      </c>
      <c r="K74" s="1357"/>
      <c r="L74" s="3745"/>
      <c r="M74" s="3747"/>
      <c r="N74" s="3747"/>
      <c r="AJ74" s="4132"/>
      <c r="AK74" s="4138"/>
      <c r="AS74" s="4120">
        <f>(AS73-AQ73)/AQ73</f>
        <v>0.12808907198782116</v>
      </c>
      <c r="AT74" s="4120">
        <f>(AT73-AS73)/AS73</f>
        <v>1.4999999999999973E-2</v>
      </c>
      <c r="AU74" s="4120">
        <f>(AU73-AT73)/AT73</f>
        <v>3.894166558358806E-2</v>
      </c>
      <c r="AV74" s="4120">
        <f>(AV73-AU73)/AU73</f>
        <v>1.4999999999999869E-2</v>
      </c>
      <c r="AW74" s="4120">
        <f>(AW73-AV73)/AV73</f>
        <v>1.499999999999985E-2</v>
      </c>
    </row>
    <row r="75" spans="1:49">
      <c r="A75" s="1356">
        <v>408190</v>
      </c>
      <c r="B75" s="1355">
        <f>B65-B43</f>
        <v>2815.8462673064205</v>
      </c>
      <c r="C75" s="1355">
        <f>C65-C51</f>
        <v>0</v>
      </c>
      <c r="D75" s="1355">
        <f>D65-D51</f>
        <v>0</v>
      </c>
      <c r="E75" s="1355">
        <f>E65-E51</f>
        <v>0</v>
      </c>
      <c r="F75" s="1355">
        <f>SUM(B75:E75)</f>
        <v>2815.8462673064205</v>
      </c>
      <c r="H75" s="1355">
        <f>F75*H16</f>
        <v>1741.4481566690197</v>
      </c>
      <c r="I75" s="1355">
        <f>F75*I16</f>
        <v>802.66894584233103</v>
      </c>
      <c r="J75" s="1355">
        <f>F75*J16</f>
        <v>271.72916479506961</v>
      </c>
      <c r="K75" s="1361">
        <f>SUM(H75:J75)</f>
        <v>2815.8462673064205</v>
      </c>
      <c r="L75" s="3744"/>
      <c r="M75" s="3748">
        <v>1776.0536973595235</v>
      </c>
      <c r="N75" s="3683">
        <f>H75-M75</f>
        <v>-34.605540690503858</v>
      </c>
      <c r="AJ75" s="4132"/>
      <c r="AK75" s="4138"/>
      <c r="AS75" s="4120"/>
      <c r="AT75" s="4120"/>
      <c r="AU75" s="4120"/>
      <c r="AV75" s="4120"/>
      <c r="AW75" s="4120"/>
    </row>
    <row r="76" spans="1:49">
      <c r="A76" s="1356"/>
      <c r="B76" s="1355"/>
      <c r="C76" s="1355"/>
      <c r="D76" s="1355"/>
      <c r="E76" s="1355"/>
      <c r="F76" s="1355"/>
      <c r="K76" s="1357"/>
      <c r="L76" s="3745"/>
      <c r="M76" s="3748"/>
      <c r="N76" s="3747"/>
      <c r="AJ76" s="4132"/>
      <c r="AK76" s="4138"/>
      <c r="AS76" s="4120"/>
      <c r="AT76" s="4120"/>
      <c r="AU76" s="4120"/>
      <c r="AV76" s="4120"/>
      <c r="AW76" s="4120"/>
    </row>
    <row r="77" spans="1:49">
      <c r="A77" s="1356" t="s">
        <v>1077</v>
      </c>
      <c r="B77" s="1355"/>
      <c r="C77" s="1355"/>
      <c r="D77" s="1355"/>
      <c r="E77" s="1355"/>
      <c r="F77" s="1355"/>
      <c r="K77" s="1357"/>
      <c r="L77" s="3745"/>
      <c r="M77" s="3748"/>
      <c r="N77" s="3747"/>
      <c r="AJ77" s="4132"/>
      <c r="AK77" s="4138"/>
      <c r="AS77" s="4120"/>
      <c r="AT77" s="4120"/>
      <c r="AU77" s="4120"/>
      <c r="AV77" s="4120"/>
      <c r="AW77" s="4120"/>
    </row>
    <row r="78" spans="1:49">
      <c r="A78" s="1356">
        <v>408170</v>
      </c>
      <c r="B78" s="1360">
        <f>B68-B46</f>
        <v>27294.803834463935</v>
      </c>
      <c r="C78" s="1360">
        <f>C68-C46</f>
        <v>-74131.045790592907</v>
      </c>
      <c r="D78" s="1360">
        <f>D68-D46</f>
        <v>0</v>
      </c>
      <c r="E78" s="1360">
        <f>E68-E46</f>
        <v>95934.371956769377</v>
      </c>
      <c r="F78" s="1360">
        <f>SUM(B78:E78)</f>
        <v>49098.130000640405</v>
      </c>
      <c r="H78" s="1359">
        <f>B78</f>
        <v>27294.803834463935</v>
      </c>
      <c r="I78" s="1359">
        <f>C78</f>
        <v>-74131.045790592907</v>
      </c>
      <c r="J78" s="1359">
        <f>E78</f>
        <v>95934.371956769377</v>
      </c>
      <c r="K78" s="1358">
        <f>SUM(H78:J78)</f>
        <v>49098.130000640405</v>
      </c>
      <c r="L78" s="3744"/>
      <c r="M78" s="3748">
        <v>27837.198071763385</v>
      </c>
      <c r="N78" s="3683">
        <f>H78-M78</f>
        <v>-542.39423729944974</v>
      </c>
      <c r="AJ78" s="4132"/>
      <c r="AK78" s="4138"/>
      <c r="AS78" s="4120"/>
      <c r="AT78" s="4120"/>
      <c r="AU78" s="4120"/>
      <c r="AV78" s="4120"/>
      <c r="AW78" s="4120"/>
    </row>
    <row r="79" spans="1:49" ht="16" thickBot="1">
      <c r="A79" s="1356"/>
      <c r="B79" s="1355"/>
      <c r="C79" s="1355"/>
      <c r="D79" s="1355"/>
      <c r="E79" s="1355"/>
      <c r="F79" s="1355"/>
      <c r="K79" s="1357"/>
      <c r="L79" s="3745"/>
      <c r="M79" s="3748"/>
      <c r="N79" s="3747"/>
      <c r="AJ79" s="4146" t="s">
        <v>3523</v>
      </c>
      <c r="AK79" s="4138"/>
    </row>
    <row r="80" spans="1:49" ht="16.5" thickTop="1" thickBot="1">
      <c r="A80" s="1356"/>
      <c r="B80" s="1354">
        <f>SUM(B75:B78)</f>
        <v>30110.650101770356</v>
      </c>
      <c r="C80" s="1354">
        <f>SUM(C75:C78)</f>
        <v>-74131.045790592907</v>
      </c>
      <c r="D80" s="1354">
        <f>SUM(D75:D78)</f>
        <v>0</v>
      </c>
      <c r="E80" s="1354">
        <f>SUM(E75:E78)</f>
        <v>95934.371956769377</v>
      </c>
      <c r="F80" s="1354">
        <f>SUM(F75:F78)</f>
        <v>51913.976267946826</v>
      </c>
      <c r="G80" s="1355"/>
      <c r="H80" s="1335">
        <f>SUM(H75:H78)</f>
        <v>29036.251991132955</v>
      </c>
      <c r="I80" s="1354">
        <f>SUM(I75:I78)</f>
        <v>-73328.376844750572</v>
      </c>
      <c r="J80" s="1354">
        <f>SUM(J75:J78)</f>
        <v>96206.101121564439</v>
      </c>
      <c r="K80" s="1353">
        <f>SUM(K75:K78)</f>
        <v>51913.976267946826</v>
      </c>
      <c r="L80" s="1355"/>
      <c r="M80" s="1335">
        <v>29613.251769122908</v>
      </c>
      <c r="N80" s="3749">
        <f>H80-M80</f>
        <v>-576.99977798995315</v>
      </c>
      <c r="AJ80" s="4122"/>
      <c r="AK80" s="4130" t="s">
        <v>3517</v>
      </c>
      <c r="AL80" s="4131"/>
      <c r="AM80" s="4130" t="s">
        <v>3516</v>
      </c>
      <c r="AN80" s="4131"/>
      <c r="AO80" s="4130" t="s">
        <v>3515</v>
      </c>
      <c r="AP80" s="4131"/>
      <c r="AQ80" s="4130" t="s">
        <v>3522</v>
      </c>
      <c r="AR80" s="4130"/>
      <c r="AS80" s="4130" t="str">
        <f>AS$11</f>
        <v>2024 Estimate</v>
      </c>
      <c r="AT80" s="4130" t="str">
        <f>AT$11</f>
        <v>2025 Estimate</v>
      </c>
      <c r="AU80" s="4130" t="str">
        <f>AU$11</f>
        <v>2026 Estimate</v>
      </c>
      <c r="AV80" s="4130" t="str">
        <f>AV$11</f>
        <v>2027 Estimate</v>
      </c>
      <c r="AW80" s="4130" t="str">
        <f>AW$11</f>
        <v>2028 Estimate</v>
      </c>
    </row>
    <row r="81" spans="1:49" ht="15" thickBot="1">
      <c r="A81" s="1352"/>
      <c r="B81" s="1351"/>
      <c r="C81" s="1351"/>
      <c r="D81" s="1351"/>
      <c r="E81" s="1351"/>
      <c r="F81" s="1351"/>
      <c r="G81" s="1351"/>
      <c r="H81" s="1351"/>
      <c r="I81" s="1351"/>
      <c r="J81" s="1351"/>
      <c r="K81" s="1350"/>
      <c r="L81" s="3745"/>
      <c r="M81" s="3745"/>
      <c r="N81" s="3745"/>
      <c r="AJ81" s="4122" t="s">
        <v>3499</v>
      </c>
      <c r="AK81" s="4144">
        <v>730000</v>
      </c>
      <c r="AL81" s="4145"/>
      <c r="AM81" s="4144">
        <v>770000</v>
      </c>
      <c r="AN81" s="4145"/>
      <c r="AO81" s="4144">
        <v>850000</v>
      </c>
      <c r="AP81" s="4145"/>
      <c r="AQ81" s="4144">
        <v>750000</v>
      </c>
      <c r="AR81" s="4144"/>
      <c r="AS81" s="4144">
        <v>880000</v>
      </c>
      <c r="AT81" s="4144">
        <v>882000</v>
      </c>
      <c r="AU81" s="4144">
        <v>858000</v>
      </c>
      <c r="AV81" s="4144">
        <v>858000</v>
      </c>
      <c r="AW81" s="4144">
        <v>858000</v>
      </c>
    </row>
    <row r="82" spans="1:49">
      <c r="AJ82" s="4122" t="s">
        <v>3513</v>
      </c>
      <c r="AK82" s="4163">
        <v>0.90505688602555834</v>
      </c>
      <c r="AL82" s="4145"/>
      <c r="AM82" s="4161">
        <v>0.89284606462731808</v>
      </c>
      <c r="AN82" s="4162"/>
      <c r="AO82" s="4161">
        <v>0.95772776801996851</v>
      </c>
      <c r="AP82" s="4162"/>
      <c r="AQ82" s="4161">
        <v>0.96596351996596796</v>
      </c>
      <c r="AR82" s="4161"/>
      <c r="AS82" s="4161">
        <v>0.96919800884436191</v>
      </c>
      <c r="AT82" s="4161">
        <v>0.96919800884436191</v>
      </c>
      <c r="AU82" s="4161">
        <v>0.96919800884436191</v>
      </c>
      <c r="AV82" s="4161">
        <v>0.96919800884436191</v>
      </c>
      <c r="AW82" s="4161">
        <v>0.96919800884436191</v>
      </c>
    </row>
    <row r="83" spans="1:49">
      <c r="AJ83" s="4122" t="s">
        <v>927</v>
      </c>
      <c r="AK83" s="4151">
        <v>0.48778348960892937</v>
      </c>
      <c r="AL83" s="4150"/>
      <c r="AM83" s="4160">
        <v>0.49346971276145157</v>
      </c>
      <c r="AN83" s="4158"/>
      <c r="AO83" s="4160">
        <v>0.4823000698517429</v>
      </c>
      <c r="AP83" s="4158"/>
      <c r="AQ83" s="4160">
        <v>0.48964276847738897</v>
      </c>
      <c r="AR83" s="4160"/>
      <c r="AS83" s="4160">
        <v>0.53408979699168591</v>
      </c>
      <c r="AT83" s="4160">
        <v>0.54477159293151967</v>
      </c>
      <c r="AU83" s="4160">
        <v>0.55566702479015007</v>
      </c>
      <c r="AV83" s="4160">
        <v>0.5667803652859531</v>
      </c>
      <c r="AW83" s="4160">
        <v>0.57811597259167213</v>
      </c>
    </row>
    <row r="84" spans="1:49">
      <c r="AJ84" s="4122" t="s">
        <v>3512</v>
      </c>
      <c r="AK84" s="4144">
        <v>322274.4184969007</v>
      </c>
      <c r="AL84" s="4145"/>
      <c r="AM84" s="4144">
        <f>SUM(AM81)*AM82*AM83</f>
        <v>339256.21810991305</v>
      </c>
      <c r="AN84" s="4145"/>
      <c r="AO84" s="4144">
        <f>SUM(AO81)*AO82*AO83</f>
        <v>392625.34400273691</v>
      </c>
      <c r="AP84" s="4145"/>
      <c r="AQ84" s="4144">
        <f>SUM(AQ81)*AQ82*AQ83</f>
        <v>354732.78912322508</v>
      </c>
      <c r="AR84" s="4144"/>
      <c r="AS84" s="4144">
        <f>SUM(AS81)*AS82*AS83</f>
        <v>455522.1156538197</v>
      </c>
      <c r="AT84" s="4144">
        <f>SUM(AT81)*AT82*AT83</f>
        <v>465688.54105318448</v>
      </c>
      <c r="AU84" s="4144">
        <f>SUM(AU81)*AU82*AU83</f>
        <v>462077.07889807818</v>
      </c>
      <c r="AV84" s="4144">
        <f>SUM(AV81)*AV82*AV83</f>
        <v>471318.62047603977</v>
      </c>
      <c r="AW84" s="4144">
        <f>SUM(AW81)*AW82*AW83</f>
        <v>480744.99288556055</v>
      </c>
    </row>
    <row r="85" spans="1:49">
      <c r="AJ85" s="4122" t="s">
        <v>3521</v>
      </c>
      <c r="AK85" s="4144">
        <v>308554.95600000001</v>
      </c>
      <c r="AL85" s="4145"/>
      <c r="AM85" s="4144">
        <f>324784.898-255.502</f>
        <v>324529.39600000001</v>
      </c>
      <c r="AN85" s="4145"/>
      <c r="AO85" s="4144">
        <f>372837.407-302.547</f>
        <v>372534.86</v>
      </c>
      <c r="AP85" s="4145"/>
      <c r="AQ85" s="4144">
        <f>335943.404921-242.877</f>
        <v>335700.52792100003</v>
      </c>
      <c r="AR85" s="4144"/>
      <c r="AS85" s="4144"/>
      <c r="AT85" s="4144"/>
      <c r="AU85" s="4144"/>
      <c r="AV85" s="4144"/>
      <c r="AW85" s="4144"/>
    </row>
    <row r="86" spans="1:49">
      <c r="AJ86" s="4122" t="s">
        <v>3520</v>
      </c>
      <c r="AK86" s="4158">
        <v>0.95742925373695886</v>
      </c>
      <c r="AL86" s="4150"/>
      <c r="AM86" s="4159">
        <f>AM85/AM84</f>
        <v>0.95659085574920311</v>
      </c>
      <c r="AN86" s="4150"/>
      <c r="AO86" s="4158">
        <f>AO85/AO84</f>
        <v>0.94883039439604577</v>
      </c>
      <c r="AP86" s="4158"/>
      <c r="AQ86" s="4158">
        <f>AQ85/AQ84</f>
        <v>0.94634761210186935</v>
      </c>
      <c r="AR86" s="4158"/>
      <c r="AS86" s="4158">
        <v>0.94883039480311138</v>
      </c>
      <c r="AT86" s="4158">
        <v>0.94883039480311138</v>
      </c>
      <c r="AU86" s="4158">
        <v>0.94883039480311138</v>
      </c>
      <c r="AV86" s="4158">
        <v>0.94883039480311138</v>
      </c>
      <c r="AW86" s="4158">
        <v>0.94883039480311138</v>
      </c>
    </row>
    <row r="87" spans="1:49">
      <c r="AJ87" s="4122" t="s">
        <v>3519</v>
      </c>
      <c r="AK87" s="4157">
        <f>SUM(AK84*AK86)</f>
        <v>308554.95600000001</v>
      </c>
      <c r="AM87" s="4144">
        <f>SUM(AM84*AM86)</f>
        <v>324529.39600000001</v>
      </c>
      <c r="AN87" s="4156"/>
      <c r="AO87" s="4144">
        <f>SUM(AO84*AO86)</f>
        <v>372534.86</v>
      </c>
      <c r="AP87" s="4156"/>
      <c r="AQ87" s="4144">
        <f>SUM(AQ84*AQ86)</f>
        <v>335700.52792100003</v>
      </c>
      <c r="AR87" s="4144"/>
      <c r="AS87" s="4144">
        <f>SUM(AS84*AS86)</f>
        <v>432213.22883736232</v>
      </c>
      <c r="AT87" s="4144">
        <f>SUM(AT84*AT86)</f>
        <v>441859.442262778</v>
      </c>
      <c r="AU87" s="4144">
        <f>SUM(AU84*AU86)</f>
        <v>438432.77720033197</v>
      </c>
      <c r="AV87" s="4144">
        <f>SUM(AV84*AV86)</f>
        <v>447201.43274433864</v>
      </c>
      <c r="AW87" s="4144">
        <f>SUM(AW84*AW86)</f>
        <v>456145.4613992254</v>
      </c>
    </row>
    <row r="88" spans="1:49">
      <c r="AJ88" s="4122" t="s">
        <v>3498</v>
      </c>
      <c r="AK88" s="4142">
        <v>1.1312135592468008E-2</v>
      </c>
      <c r="AL88" s="4143">
        <f>SUM((AM88-AK88)/AK88)</f>
        <v>-3.9310717276527768E-2</v>
      </c>
      <c r="AM88" s="4142">
        <f>3526806.15/324529396</f>
        <v>1.0867447428398751E-2</v>
      </c>
      <c r="AN88" s="4143">
        <f>SUM((AO88-AM88)/AM88)</f>
        <v>-0.14204357398317313</v>
      </c>
      <c r="AO88" s="4142">
        <f>3473439.17/372534860</f>
        <v>9.3237963555947486E-3</v>
      </c>
      <c r="AP88" s="4143">
        <f>SUM((AQ88-AO88)/AO88)</f>
        <v>-4.8039978908693184E-3</v>
      </c>
      <c r="AQ88" s="4142">
        <f>3114966.83/335700528</f>
        <v>9.2790048575675764E-3</v>
      </c>
      <c r="AR88" s="4143">
        <v>1.4999999999999999E-2</v>
      </c>
      <c r="AS88" s="4142">
        <f>SUM(AQ88*(1+$AR$88))</f>
        <v>9.4181899304310885E-3</v>
      </c>
      <c r="AT88" s="4142">
        <f>SUM(AS88*(1+$AR$88))</f>
        <v>9.559462779387554E-3</v>
      </c>
      <c r="AU88" s="4142">
        <f>SUM(AT88*(1+$AR$88))</f>
        <v>9.7028547210783658E-3</v>
      </c>
      <c r="AV88" s="4142">
        <f>SUM(AU88*(1+$AR$88))</f>
        <v>9.8483975418945397E-3</v>
      </c>
      <c r="AW88" s="4142">
        <f>SUM(AV88*(1+$AR$88))</f>
        <v>9.9961235050229566E-3</v>
      </c>
    </row>
    <row r="89" spans="1:49" ht="15" thickBot="1">
      <c r="AJ89" s="4122" t="s">
        <v>3497</v>
      </c>
      <c r="AK89" s="4140">
        <v>3490.4155000000001</v>
      </c>
      <c r="AL89" s="4141"/>
      <c r="AM89" s="4153">
        <f>SUM(AM87*AM88)</f>
        <v>3526.8061499999999</v>
      </c>
      <c r="AN89" s="4155"/>
      <c r="AO89" s="4153">
        <f>SUM(AO87*AO88)</f>
        <v>3473.4391699999996</v>
      </c>
      <c r="AP89" s="4155"/>
      <c r="AQ89" s="4153">
        <f>SUM(AQ87*AQ88)</f>
        <v>3114.9668292669589</v>
      </c>
      <c r="AR89" s="4153"/>
      <c r="AS89" s="4153">
        <f>SUM(AS87*AS88)</f>
        <v>4070.6662796351534</v>
      </c>
      <c r="AT89" s="4154">
        <f>SUM(AT87*AT88)</f>
        <v>4223.9388920319698</v>
      </c>
      <c r="AU89" s="4154">
        <f>SUM(AU87*AU88)</f>
        <v>4254.04954213374</v>
      </c>
      <c r="AV89" s="4153">
        <f>SUM(AV87*AV88)</f>
        <v>4404.2174909710611</v>
      </c>
      <c r="AW89" s="4153">
        <f>SUM(AW87*AW88)</f>
        <v>4559.6863684023392</v>
      </c>
    </row>
    <row r="90" spans="1:49" ht="15" thickTop="1">
      <c r="AJ90" s="4132"/>
      <c r="AO90" s="4147"/>
      <c r="AP90" s="4147"/>
      <c r="AQ90" s="4127"/>
      <c r="AR90" s="4147"/>
      <c r="AS90" s="4120">
        <f>(AS89-AQ89)/AQ89</f>
        <v>0.30680886916317435</v>
      </c>
      <c r="AT90" s="4120">
        <f>(AT89-AS89)/AS89</f>
        <v>3.7652954545454399E-2</v>
      </c>
      <c r="AU90" s="4120">
        <f>(AU89-AT89)/AT89</f>
        <v>7.1285714285713115E-3</v>
      </c>
      <c r="AV90" s="4120">
        <f>(AV89-AU89)/AU89</f>
        <v>3.5300000000000019E-2</v>
      </c>
      <c r="AW90" s="4120">
        <f>(AW89-AV89)/AV89</f>
        <v>3.5299999999999915E-2</v>
      </c>
    </row>
    <row r="91" spans="1:49">
      <c r="AJ91" s="4132"/>
      <c r="AO91" s="4147"/>
      <c r="AP91" s="4147"/>
      <c r="AQ91" s="4127"/>
      <c r="AR91" s="4147"/>
      <c r="AS91" s="4152"/>
      <c r="AT91" s="4152"/>
      <c r="AU91" s="4152"/>
      <c r="AV91" s="4152"/>
      <c r="AW91" s="4152"/>
    </row>
    <row r="92" spans="1:49">
      <c r="AJ92" s="4132"/>
      <c r="AO92" s="4147"/>
      <c r="AP92" s="4147"/>
      <c r="AQ92" s="4147"/>
      <c r="AR92" s="4147"/>
      <c r="AS92" s="4120"/>
      <c r="AT92" s="4120"/>
      <c r="AU92" s="4120"/>
      <c r="AV92" s="4120"/>
      <c r="AW92" s="4120"/>
    </row>
    <row r="93" spans="1:49">
      <c r="AJ93" s="4132"/>
      <c r="AO93" s="4147"/>
      <c r="AP93" s="4147"/>
      <c r="AQ93" s="4147"/>
      <c r="AR93" s="4147"/>
      <c r="AS93" s="4120"/>
      <c r="AT93" s="4120"/>
      <c r="AU93" s="4120"/>
      <c r="AV93" s="4120"/>
      <c r="AW93" s="4120"/>
    </row>
    <row r="94" spans="1:49" ht="15.5">
      <c r="AJ94" s="4146" t="s">
        <v>3518</v>
      </c>
      <c r="AK94" s="4138"/>
    </row>
    <row r="95" spans="1:49" ht="15.5">
      <c r="AJ95" s="4122"/>
      <c r="AK95" s="4130" t="s">
        <v>3517</v>
      </c>
      <c r="AL95" s="4131"/>
      <c r="AM95" s="4130" t="s">
        <v>3516</v>
      </c>
      <c r="AN95" s="4131"/>
      <c r="AO95" s="4130" t="s">
        <v>3515</v>
      </c>
      <c r="AP95" s="4131"/>
      <c r="AQ95" s="4130" t="s">
        <v>3514</v>
      </c>
      <c r="AR95" s="4130"/>
      <c r="AS95" s="4130" t="str">
        <f>AS$11</f>
        <v>2024 Estimate</v>
      </c>
      <c r="AT95" s="4130" t="str">
        <f>AT$11</f>
        <v>2025 Estimate</v>
      </c>
      <c r="AU95" s="4130" t="str">
        <f>AU$11</f>
        <v>2026 Estimate</v>
      </c>
      <c r="AV95" s="4130" t="str">
        <f>AV$11</f>
        <v>2027 Estimate</v>
      </c>
      <c r="AW95" s="4130" t="str">
        <f>AW$11</f>
        <v>2028 Estimate</v>
      </c>
    </row>
    <row r="96" spans="1:49">
      <c r="AJ96" s="4122" t="s">
        <v>3499</v>
      </c>
      <c r="AK96" s="4144">
        <v>866106.81</v>
      </c>
      <c r="AL96" s="4145"/>
      <c r="AM96" s="4144">
        <v>876156.6233014185</v>
      </c>
      <c r="AN96" s="4145"/>
      <c r="AO96" s="4144">
        <v>1016046.0666000001</v>
      </c>
      <c r="AP96" s="4145"/>
      <c r="AQ96" s="4144">
        <v>965169.53384206793</v>
      </c>
      <c r="AR96" s="4144"/>
      <c r="AS96" s="4144">
        <v>1119685</v>
      </c>
      <c r="AT96" s="4144">
        <v>1054882</v>
      </c>
      <c r="AU96" s="4144">
        <v>995454</v>
      </c>
      <c r="AV96" s="4144">
        <v>981758</v>
      </c>
      <c r="AW96" s="4144">
        <v>845635</v>
      </c>
    </row>
    <row r="97" spans="36:49">
      <c r="AJ97" s="4122" t="s">
        <v>3513</v>
      </c>
      <c r="AK97" s="4151">
        <v>0.18316082</v>
      </c>
      <c r="AL97" s="4150"/>
      <c r="AM97" s="4151">
        <v>0.18180428809578542</v>
      </c>
      <c r="AN97" s="4150"/>
      <c r="AO97" s="4151">
        <v>0.1858780700680141</v>
      </c>
      <c r="AP97" s="4150"/>
      <c r="AQ97" s="4151">
        <v>0.18624176598253903</v>
      </c>
      <c r="AR97" s="4151"/>
      <c r="AS97" s="4151">
        <v>0.19482400163089003</v>
      </c>
      <c r="AT97" s="4151">
        <v>0.19482400163089003</v>
      </c>
      <c r="AU97" s="4151">
        <v>0.19482400163089003</v>
      </c>
      <c r="AV97" s="4151">
        <v>0.19482400163089003</v>
      </c>
      <c r="AW97" s="4151">
        <v>0.19482400163089003</v>
      </c>
    </row>
    <row r="98" spans="36:49">
      <c r="AJ98" s="4122" t="s">
        <v>3512</v>
      </c>
      <c r="AK98" s="4144">
        <v>158636.83352718421</v>
      </c>
      <c r="AL98" s="4145"/>
      <c r="AM98" s="4144">
        <f>SUM((AM96)*AM97)</f>
        <v>159289.03115972164</v>
      </c>
      <c r="AN98" s="4145"/>
      <c r="AO98" s="4144">
        <f>SUM((AO96)*AO97)</f>
        <v>188860.68195980493</v>
      </c>
      <c r="AP98" s="4145"/>
      <c r="AQ98" s="4144">
        <f>SUM((AQ96)*AQ97)</f>
        <v>179754.87845529069</v>
      </c>
      <c r="AR98" s="4144"/>
      <c r="AS98" s="4144">
        <f>SUM((AS96)*AS97)</f>
        <v>218141.5122660831</v>
      </c>
      <c r="AT98" s="4144">
        <f>SUM((AT96)*AT97)</f>
        <v>205516.33248839653</v>
      </c>
      <c r="AU98" s="4144">
        <f>SUM((AU96)*AU97)</f>
        <v>193938.331719476</v>
      </c>
      <c r="AV98" s="4144">
        <f>SUM((AV96)*AV97)</f>
        <v>191270.02219313933</v>
      </c>
      <c r="AW98" s="4144">
        <f>SUM((AW96)*AW97)</f>
        <v>164749.99461913769</v>
      </c>
    </row>
    <row r="99" spans="36:49">
      <c r="AJ99" s="4122" t="s">
        <v>3511</v>
      </c>
      <c r="AK99" s="4149">
        <v>-100</v>
      </c>
      <c r="AL99" s="4150"/>
      <c r="AM99" s="4149">
        <v>-100</v>
      </c>
      <c r="AN99" s="4150"/>
      <c r="AO99" s="4149">
        <v>-250</v>
      </c>
      <c r="AP99" s="4150"/>
      <c r="AQ99" s="4149">
        <f>AO99</f>
        <v>-250</v>
      </c>
      <c r="AR99" s="4149"/>
      <c r="AS99" s="4149">
        <v>-250</v>
      </c>
      <c r="AT99" s="4149">
        <f>AS99</f>
        <v>-250</v>
      </c>
      <c r="AU99" s="4149">
        <f>AT99</f>
        <v>-250</v>
      </c>
      <c r="AV99" s="4149">
        <f>AU99</f>
        <v>-250</v>
      </c>
      <c r="AW99" s="4149">
        <f>AV99</f>
        <v>-250</v>
      </c>
    </row>
    <row r="100" spans="36:49">
      <c r="AJ100" s="4122" t="s">
        <v>3510</v>
      </c>
      <c r="AK100" s="4144">
        <v>158535.83352718421</v>
      </c>
      <c r="AL100" s="4145"/>
      <c r="AM100" s="4144">
        <f>SUM(AM98:AM99)</f>
        <v>159189.03115972164</v>
      </c>
      <c r="AN100" s="4145"/>
      <c r="AO100" s="4144">
        <f>SUM(AO98:AO99)</f>
        <v>188610.68195980493</v>
      </c>
      <c r="AP100" s="4145"/>
      <c r="AQ100" s="4144">
        <f>SUM(AQ98:AQ99)</f>
        <v>179504.87845529069</v>
      </c>
      <c r="AR100" s="4144"/>
      <c r="AS100" s="4144">
        <f>SUM(AS98:AS99)</f>
        <v>217891.5122660831</v>
      </c>
      <c r="AT100" s="4144">
        <f>SUM(AT98:AT99)</f>
        <v>205266.33248839653</v>
      </c>
      <c r="AU100" s="4144">
        <f>SUM(AU98:AU99)</f>
        <v>193688.331719476</v>
      </c>
      <c r="AV100" s="4144">
        <f>SUM(AV98:AV99)</f>
        <v>191020.02219313933</v>
      </c>
      <c r="AW100" s="4144">
        <f>SUM(AW98:AW99)</f>
        <v>164499.99461913769</v>
      </c>
    </row>
    <row r="101" spans="36:49">
      <c r="AJ101" s="1217" t="s">
        <v>3509</v>
      </c>
      <c r="AK101" s="4149"/>
      <c r="AL101" s="4150"/>
      <c r="AM101" s="4149"/>
      <c r="AN101" s="4150"/>
      <c r="AO101" s="4149"/>
      <c r="AP101" s="4150"/>
      <c r="AQ101" s="4149">
        <v>-30031.019199999999</v>
      </c>
      <c r="AR101" s="4149"/>
      <c r="AS101" s="4149"/>
      <c r="AT101" s="4149"/>
      <c r="AU101" s="4149"/>
      <c r="AV101" s="4149"/>
      <c r="AW101" s="4149"/>
    </row>
    <row r="102" spans="36:49">
      <c r="AJ102" s="1217" t="s">
        <v>3508</v>
      </c>
      <c r="AK102" s="4144">
        <f>SUM(AK100:AK101)</f>
        <v>158535.83352718421</v>
      </c>
      <c r="AL102" s="4145"/>
      <c r="AM102" s="4144">
        <f>SUM(AM100:AM101)</f>
        <v>159189.03115972164</v>
      </c>
      <c r="AN102" s="4145"/>
      <c r="AO102" s="4144">
        <f>SUM(AO100:AO101)</f>
        <v>188610.68195980493</v>
      </c>
      <c r="AP102" s="4145"/>
      <c r="AQ102" s="4144">
        <f>SUM(AQ100:AQ101)</f>
        <v>149473.85925529068</v>
      </c>
      <c r="AR102" s="4144"/>
      <c r="AS102" s="4144">
        <f>SUM(AS100:AS101)</f>
        <v>217891.5122660831</v>
      </c>
      <c r="AT102" s="4144">
        <f>SUM(AT100:AT101)</f>
        <v>205266.33248839653</v>
      </c>
      <c r="AU102" s="4144">
        <f>SUM(AU100:AU101)</f>
        <v>193688.331719476</v>
      </c>
      <c r="AV102" s="4144">
        <f>SUM(AV100:AV101)</f>
        <v>191020.02219313933</v>
      </c>
      <c r="AW102" s="4144">
        <f>SUM(AW100:AW101)</f>
        <v>164499.99461913769</v>
      </c>
    </row>
    <row r="103" spans="36:49">
      <c r="AJ103" s="4122" t="s">
        <v>3498</v>
      </c>
      <c r="AK103" s="4142">
        <v>1.0767668621159326E-2</v>
      </c>
      <c r="AL103" s="4143">
        <f>(AM103-AK103)/AK103</f>
        <v>-4.7111139175517097E-2</v>
      </c>
      <c r="AM103" s="4142">
        <f>1633.34178/AM100</f>
        <v>1.0260391486152041E-2</v>
      </c>
      <c r="AN103" s="4143">
        <f>(AO103-AM103)/AM103</f>
        <v>-0.32224611017096177</v>
      </c>
      <c r="AO103" s="4142">
        <f>1311.6025/AO102</f>
        <v>6.9540202409082924E-3</v>
      </c>
      <c r="AP103" s="4143">
        <f>(AQ103-AO103)/AO103</f>
        <v>-7.9273586171517293E-2</v>
      </c>
      <c r="AQ103" s="4142">
        <f>957.04377/AQ102</f>
        <v>6.4027501181021735E-3</v>
      </c>
      <c r="AR103" s="4143">
        <v>0</v>
      </c>
      <c r="AS103" s="4142">
        <f>SUM(AQ103*(1+$AR$103))</f>
        <v>6.4027501181021735E-3</v>
      </c>
      <c r="AT103" s="4142">
        <f>SUM(AS103*(1+$AR$103))</f>
        <v>6.4027501181021735E-3</v>
      </c>
      <c r="AU103" s="4142">
        <f>SUM(AT103*(1+$AR$103))</f>
        <v>6.4027501181021735E-3</v>
      </c>
      <c r="AV103" s="4142">
        <f>SUM(AU103*(1+$AR$103))</f>
        <v>6.4027501181021735E-3</v>
      </c>
      <c r="AW103" s="4142">
        <f>SUM(AV103*(1+$AR$103))</f>
        <v>6.4027501181021735E-3</v>
      </c>
    </row>
    <row r="104" spans="36:49" ht="15" thickBot="1">
      <c r="AJ104" s="4122" t="s">
        <v>3497</v>
      </c>
      <c r="AK104" s="4140">
        <v>1707.06132</v>
      </c>
      <c r="AL104" s="4141"/>
      <c r="AM104" s="4140">
        <f>SUM(AM102*AM103)</f>
        <v>1633.3417799999997</v>
      </c>
      <c r="AN104" s="4141"/>
      <c r="AO104" s="4140">
        <f>SUM(AO102*AO103)</f>
        <v>1311.6025</v>
      </c>
      <c r="AP104" s="4141"/>
      <c r="AQ104" s="4140">
        <f>SUM(AQ102*AQ103)</f>
        <v>957.04376999999999</v>
      </c>
      <c r="AR104" s="4140"/>
      <c r="AS104" s="4140">
        <f>SUM(AS102*AS103)</f>
        <v>1395.1049058951248</v>
      </c>
      <c r="AT104" s="4140">
        <f>SUM(AT102*AT103)</f>
        <v>1314.2690345824808</v>
      </c>
      <c r="AU104" s="4140">
        <f>SUM(AU102*AU103)</f>
        <v>1240.1379887918879</v>
      </c>
      <c r="AV104" s="4140">
        <f>SUM(AV102*AV103)</f>
        <v>1223.0534696570026</v>
      </c>
      <c r="AW104" s="4140">
        <f>SUM(AW102*AW103)</f>
        <v>1053.2523599754907</v>
      </c>
    </row>
    <row r="105" spans="36:49" ht="15" thickTop="1">
      <c r="AJ105" s="4132"/>
      <c r="AO105" s="4147"/>
      <c r="AP105" s="4147"/>
      <c r="AQ105" s="4148"/>
      <c r="AR105" s="4147"/>
      <c r="AS105" s="4120">
        <f>(AS104-AQ104)/AQ104</f>
        <v>0.457723198903562</v>
      </c>
      <c r="AT105" s="4120">
        <f>(AT104-AS104)/AS104</f>
        <v>-5.7942503801015781E-2</v>
      </c>
      <c r="AU105" s="4120">
        <f>(AU104-AT104)/AT104</f>
        <v>-5.6404772417196138E-2</v>
      </c>
      <c r="AV105" s="4120">
        <f>(AV104-AU104)/AU104</f>
        <v>-1.3776304967101815E-2</v>
      </c>
      <c r="AW105" s="4120">
        <f>(AW104-AV104)/AV104</f>
        <v>-0.13883375820775154</v>
      </c>
    </row>
    <row r="106" spans="36:49">
      <c r="AJ106" s="4132"/>
      <c r="AO106" s="4147"/>
      <c r="AP106" s="4147"/>
      <c r="AQ106" s="4147"/>
      <c r="AR106" s="4147"/>
      <c r="AS106" s="4120"/>
      <c r="AT106" s="4120"/>
      <c r="AU106" s="4120"/>
      <c r="AV106" s="4120"/>
      <c r="AW106" s="4120"/>
    </row>
    <row r="107" spans="36:49">
      <c r="AJ107" s="4132"/>
      <c r="AO107" s="4147"/>
      <c r="AP107" s="4147"/>
      <c r="AQ107" s="4147"/>
      <c r="AR107" s="4147"/>
      <c r="AS107" s="4120"/>
      <c r="AT107" s="4120"/>
      <c r="AU107" s="4120"/>
      <c r="AV107" s="4120"/>
      <c r="AW107" s="4120"/>
    </row>
    <row r="108" spans="36:49">
      <c r="AJ108" s="4132"/>
      <c r="AO108" s="4147"/>
      <c r="AP108" s="4147"/>
      <c r="AQ108" s="4147"/>
      <c r="AR108" s="4147"/>
      <c r="AS108" s="4120"/>
      <c r="AT108" s="4120"/>
      <c r="AU108" s="4120"/>
      <c r="AV108" s="4120"/>
      <c r="AW108" s="4120"/>
    </row>
    <row r="109" spans="36:49" ht="15.5">
      <c r="AJ109" s="4146" t="s">
        <v>3507</v>
      </c>
      <c r="AK109" s="4138"/>
    </row>
    <row r="110" spans="36:49" ht="15.5">
      <c r="AJ110" s="4122"/>
      <c r="AK110" s="4130" t="s">
        <v>3506</v>
      </c>
      <c r="AL110" s="4131"/>
      <c r="AM110" s="4130" t="s">
        <v>3505</v>
      </c>
      <c r="AN110" s="4131"/>
      <c r="AO110" s="4130" t="s">
        <v>3504</v>
      </c>
      <c r="AP110" s="4131"/>
      <c r="AQ110" s="4130" t="s">
        <v>3503</v>
      </c>
      <c r="AR110" s="4130"/>
      <c r="AS110" s="4130" t="s">
        <v>3502</v>
      </c>
      <c r="AT110" s="4130" t="s">
        <v>3501</v>
      </c>
      <c r="AU110" s="4130" t="s">
        <v>3500</v>
      </c>
      <c r="AV110" s="4130" t="s">
        <v>3500</v>
      </c>
      <c r="AW110" s="4130" t="s">
        <v>3500</v>
      </c>
    </row>
    <row r="111" spans="36:49">
      <c r="AJ111" s="4122" t="s">
        <v>3499</v>
      </c>
      <c r="AK111" s="4144">
        <v>358400</v>
      </c>
      <c r="AL111" s="4145"/>
      <c r="AM111" s="4144">
        <v>390500</v>
      </c>
      <c r="AN111" s="4145"/>
      <c r="AO111" s="4144">
        <v>411000</v>
      </c>
      <c r="AP111" s="4145"/>
      <c r="AQ111" s="4144">
        <v>405100</v>
      </c>
      <c r="AR111" s="4144"/>
      <c r="AS111" s="4144">
        <v>485000</v>
      </c>
      <c r="AT111" s="4144">
        <v>485000</v>
      </c>
      <c r="AU111" s="4144">
        <v>485000</v>
      </c>
      <c r="AV111" s="4144">
        <v>485000</v>
      </c>
      <c r="AW111" s="4144">
        <v>485000</v>
      </c>
    </row>
    <row r="112" spans="36:49">
      <c r="AJ112" s="4122" t="s">
        <v>3498</v>
      </c>
      <c r="AK112" s="4142">
        <v>1.2735231529017859E-2</v>
      </c>
      <c r="AL112" s="4143">
        <f>(AM112-AK112)/AK112</f>
        <v>-1.0649896004228497E-2</v>
      </c>
      <c r="AM112" s="4142">
        <f>4920.14483/AM111</f>
        <v>1.2599602637644047E-2</v>
      </c>
      <c r="AN112" s="4143">
        <f>(AO112-AM112)/AM112</f>
        <v>8.8980057291611456E-4</v>
      </c>
      <c r="AO112" s="4142">
        <f>5183.04446/AO111</f>
        <v>1.2610813771289538E-2</v>
      </c>
      <c r="AP112" s="4143">
        <v>1.4999999999999999E-2</v>
      </c>
      <c r="AQ112" s="4142">
        <f>SUM(AO112*(1+$AP$112))</f>
        <v>1.2799975977858879E-2</v>
      </c>
      <c r="AR112" s="4143">
        <v>1.4999999999999999E-2</v>
      </c>
      <c r="AS112" s="4142">
        <f>SUM(AQ112*(1+$AR$112))</f>
        <v>1.299197561752676E-2</v>
      </c>
      <c r="AT112" s="4142">
        <f>SUM(AS112*(1+$AR$112))</f>
        <v>1.3186855251789659E-2</v>
      </c>
      <c r="AU112" s="4142">
        <f>SUM(AT112*(1+$AR$112))</f>
        <v>1.3384658080566504E-2</v>
      </c>
      <c r="AV112" s="4142">
        <f>SUM(AU112*(1+$AR$112))</f>
        <v>1.3585427951775E-2</v>
      </c>
      <c r="AW112" s="4142">
        <f>SUM(AV112*(1+$AR$112))</f>
        <v>1.3789209371051624E-2</v>
      </c>
    </row>
    <row r="113" spans="36:49" ht="15" thickBot="1">
      <c r="AJ113" s="4122" t="s">
        <v>3497</v>
      </c>
      <c r="AK113" s="4140">
        <v>4564.3069800000003</v>
      </c>
      <c r="AL113" s="4141"/>
      <c r="AM113" s="4140">
        <f>SUM(AM111*AM112)</f>
        <v>4920.1448300000002</v>
      </c>
      <c r="AN113" s="4141"/>
      <c r="AO113" s="4140">
        <f>SUM(AO111*AO112)</f>
        <v>5183.0444600000001</v>
      </c>
      <c r="AP113" s="4141"/>
      <c r="AQ113" s="4140">
        <f>SUM(AQ111*AQ112)</f>
        <v>5185.270268630632</v>
      </c>
      <c r="AR113" s="4140"/>
      <c r="AS113" s="4140">
        <f>SUM(AS111*AS112)</f>
        <v>6301.1081745004785</v>
      </c>
      <c r="AT113" s="4140">
        <f>SUM(AT111*AT112)</f>
        <v>6395.6247971179846</v>
      </c>
      <c r="AU113" s="4140">
        <f>SUM(AU111*AU112)</f>
        <v>6491.5591690747542</v>
      </c>
      <c r="AV113" s="4140">
        <f>SUM(AV111*AV112)</f>
        <v>6588.9325566108746</v>
      </c>
      <c r="AW113" s="4140">
        <f>SUM(AW111*AW112)</f>
        <v>6687.7665449600372</v>
      </c>
    </row>
    <row r="114" spans="36:49" ht="15" thickTop="1">
      <c r="AJ114" s="4122"/>
      <c r="AK114" s="4139"/>
      <c r="AL114" s="4136"/>
      <c r="AM114" s="4139"/>
      <c r="AN114" s="4136"/>
      <c r="AO114" s="4138"/>
      <c r="AP114" s="4136"/>
      <c r="AQ114" s="4138"/>
      <c r="AR114" s="4138"/>
      <c r="AS114" s="4120">
        <f>(AS113-AQ113)/AQ113</f>
        <v>0.21519377931374944</v>
      </c>
      <c r="AT114" s="4120">
        <f>(AT113-AS113)/AS113</f>
        <v>1.4999999999999824E-2</v>
      </c>
      <c r="AU114" s="4120">
        <f>(AU113-AT113)/AT113</f>
        <v>1.4999999999999975E-2</v>
      </c>
      <c r="AV114" s="4120">
        <f>(AV113-AU113)/AU113</f>
        <v>1.4999999999999857E-2</v>
      </c>
      <c r="AW114" s="4120">
        <f>(AW113-AV113)/AV113</f>
        <v>1.4999999999999923E-2</v>
      </c>
    </row>
    <row r="115" spans="36:49">
      <c r="AJ115" s="4122"/>
      <c r="AK115" s="4137"/>
      <c r="AL115" s="4136"/>
      <c r="AM115" s="4137"/>
      <c r="AN115" s="4136"/>
      <c r="AO115" s="4135"/>
      <c r="AP115" s="4136"/>
      <c r="AQ115" s="4135"/>
      <c r="AR115" s="4135"/>
      <c r="AS115" s="4135"/>
      <c r="AT115" s="4135"/>
      <c r="AU115" s="4135"/>
      <c r="AV115" s="4135"/>
      <c r="AW115" s="4135"/>
    </row>
    <row r="116" spans="36:49">
      <c r="AJ116" s="4134"/>
      <c r="AK116" s="4132"/>
      <c r="AM116" s="4132"/>
      <c r="AO116" s="4132"/>
      <c r="AQ116" s="4132"/>
      <c r="AR116" s="4132"/>
      <c r="AS116" s="4132"/>
      <c r="AT116" s="4132"/>
      <c r="AU116" s="4132"/>
      <c r="AV116" s="4132"/>
      <c r="AW116" s="4132"/>
    </row>
    <row r="117" spans="36:49">
      <c r="AJ117" s="4133"/>
      <c r="AK117" s="4132"/>
      <c r="AM117" s="4132"/>
      <c r="AO117" s="4132"/>
      <c r="AQ117" s="4132"/>
      <c r="AR117" s="4132"/>
      <c r="AS117" s="4132"/>
      <c r="AT117" s="4132"/>
      <c r="AU117" s="4132"/>
      <c r="AV117" s="4132"/>
      <c r="AW117" s="4132"/>
    </row>
    <row r="118" spans="36:49">
      <c r="AJ118" s="4133"/>
      <c r="AK118" s="4132"/>
      <c r="AM118" s="4132"/>
      <c r="AO118" s="4132"/>
      <c r="AQ118" s="4132"/>
      <c r="AR118" s="4132"/>
      <c r="AS118" s="4132"/>
      <c r="AT118" s="4132"/>
      <c r="AU118" s="4132"/>
      <c r="AV118" s="4132"/>
      <c r="AW118" s="4132"/>
    </row>
    <row r="119" spans="36:49" ht="15.5">
      <c r="AJ119" s="4125" t="s">
        <v>3496</v>
      </c>
      <c r="AK119" s="4130" t="s">
        <v>3495</v>
      </c>
      <c r="AL119" s="4131"/>
      <c r="AM119" s="4130" t="s">
        <v>3495</v>
      </c>
      <c r="AN119" s="4131"/>
      <c r="AO119" s="4130" t="s">
        <v>3495</v>
      </c>
      <c r="AP119" s="4131"/>
      <c r="AQ119" s="4130" t="s">
        <v>3494</v>
      </c>
      <c r="AR119" s="4130"/>
      <c r="AS119" s="4130" t="s">
        <v>3494</v>
      </c>
      <c r="AT119" s="4130" t="s">
        <v>3494</v>
      </c>
      <c r="AU119" s="4130" t="s">
        <v>3494</v>
      </c>
      <c r="AV119" s="4130" t="s">
        <v>3494</v>
      </c>
      <c r="AW119" s="4130" t="s">
        <v>3494</v>
      </c>
    </row>
    <row r="120" spans="36:49" ht="15.5">
      <c r="AJ120" s="4125"/>
      <c r="AK120" s="4130">
        <v>2020</v>
      </c>
      <c r="AL120" s="4131"/>
      <c r="AM120" s="4130">
        <v>2021</v>
      </c>
      <c r="AN120" s="4131"/>
      <c r="AO120" s="4130">
        <v>2022</v>
      </c>
      <c r="AP120" s="4131"/>
      <c r="AQ120" s="4130">
        <f>AO120+1</f>
        <v>2023</v>
      </c>
      <c r="AR120" s="4130"/>
      <c r="AS120" s="4130">
        <f>AQ120+1</f>
        <v>2024</v>
      </c>
      <c r="AT120" s="4130">
        <f>AS120+1</f>
        <v>2025</v>
      </c>
      <c r="AU120" s="4130">
        <f>AT120+1</f>
        <v>2026</v>
      </c>
      <c r="AV120" s="4130">
        <f>AU120+1</f>
        <v>2027</v>
      </c>
      <c r="AW120" s="4130">
        <f>AV120+1</f>
        <v>2028</v>
      </c>
    </row>
    <row r="121" spans="36:49" ht="15.5">
      <c r="AJ121" s="4125" t="s">
        <v>819</v>
      </c>
    </row>
    <row r="122" spans="36:49" ht="15.5">
      <c r="AJ122" s="4128" t="s">
        <v>3493</v>
      </c>
      <c r="AK122" s="4127">
        <v>13971.313119999999</v>
      </c>
      <c r="AL122" s="4127"/>
      <c r="AM122" s="4127">
        <f>SUM(AM22)</f>
        <v>14257.4668</v>
      </c>
      <c r="AN122" s="4127"/>
      <c r="AO122" s="4127">
        <f>SUM(AO22)</f>
        <v>12277.747140000003</v>
      </c>
      <c r="AP122" s="4127"/>
      <c r="AQ122" s="4127">
        <f>SUM(AQ22)</f>
        <v>10562.557909896457</v>
      </c>
      <c r="AR122" s="4127"/>
      <c r="AS122" s="4127">
        <f>SUM(AS22)</f>
        <v>11181.420705853947</v>
      </c>
      <c r="AT122" s="4127">
        <f>SUM(AT22)</f>
        <v>12102.082146309456</v>
      </c>
      <c r="AU122" s="4127">
        <f>SUM(AU22)</f>
        <v>13073.810636277387</v>
      </c>
      <c r="AV122" s="4127">
        <f>SUM(AV22)</f>
        <v>14099.064303564139</v>
      </c>
      <c r="AW122" s="4127">
        <f>SUM(AW22)</f>
        <v>15180.411185976378</v>
      </c>
    </row>
    <row r="123" spans="36:49" ht="15.5">
      <c r="AJ123" s="4128" t="s">
        <v>3488</v>
      </c>
      <c r="AK123" s="4127">
        <v>6157.0176299999994</v>
      </c>
      <c r="AL123" s="4127"/>
      <c r="AM123" s="4127">
        <f>SUM(AM38)</f>
        <v>6129.6490000000003</v>
      </c>
      <c r="AN123" s="4127"/>
      <c r="AO123" s="4127">
        <f>SUM(AO38)</f>
        <v>4405.0238900000004</v>
      </c>
      <c r="AP123" s="4127"/>
      <c r="AQ123" s="4127">
        <f>SUM(AQ38)</f>
        <v>3139.3609999999999</v>
      </c>
      <c r="AR123" s="4127"/>
      <c r="AS123" s="4127">
        <f>SUM(AS38)</f>
        <v>3597.6061630824124</v>
      </c>
      <c r="AT123" s="4127">
        <f>SUM(AT38)</f>
        <v>3757.3671965321646</v>
      </c>
      <c r="AU123" s="4127">
        <f>SUM(AU38)</f>
        <v>3936.9384740976357</v>
      </c>
      <c r="AV123" s="4127">
        <f>SUM(AV38)</f>
        <v>4105.109138992585</v>
      </c>
      <c r="AW123" s="4127">
        <f>SUM(AW38)</f>
        <v>3799.9605779815151</v>
      </c>
    </row>
    <row r="124" spans="36:49" ht="15.5">
      <c r="AJ124" s="4128" t="s">
        <v>3492</v>
      </c>
      <c r="AK124" s="4127">
        <v>11816.63904</v>
      </c>
      <c r="AL124" s="4127"/>
      <c r="AM124" s="4127">
        <f>SUM(AM56)</f>
        <v>9512.1750499999998</v>
      </c>
      <c r="AN124" s="4127"/>
      <c r="AO124" s="4127">
        <f>SUM(AO56)</f>
        <v>9680.8534799999998</v>
      </c>
      <c r="AP124" s="4127"/>
      <c r="AQ124" s="4127">
        <f>SUM(AQ56)</f>
        <v>7541.5843708788807</v>
      </c>
      <c r="AR124" s="4127"/>
      <c r="AS124" s="4127">
        <f>SUM(AS56)</f>
        <v>7384.4191331641096</v>
      </c>
      <c r="AT124" s="4127">
        <f>SUM(AT56)</f>
        <v>6547.3767996802053</v>
      </c>
      <c r="AU124" s="4127">
        <f>SUM(AU56)</f>
        <v>6153.6880859936282</v>
      </c>
      <c r="AV124" s="4127">
        <f>SUM(AV56)</f>
        <v>6245.9934072835322</v>
      </c>
      <c r="AW124" s="4127">
        <f>SUM(AW56)</f>
        <v>6616.0397057130449</v>
      </c>
    </row>
    <row r="125" spans="36:49" ht="15.5">
      <c r="AJ125" s="4129" t="s">
        <v>3491</v>
      </c>
      <c r="AK125" s="4127">
        <v>13.275550000000001</v>
      </c>
      <c r="AL125" s="4127"/>
      <c r="AM125" s="4127">
        <f>SUM(AM65)</f>
        <v>12.64345</v>
      </c>
      <c r="AN125" s="4127"/>
      <c r="AO125" s="4127">
        <f>SUM(AO65)</f>
        <v>12.564909999999999</v>
      </c>
      <c r="AP125" s="4127"/>
      <c r="AQ125" s="4127">
        <f>SUM(AQ65)</f>
        <v>12.753383649999996</v>
      </c>
      <c r="AR125" s="4127"/>
      <c r="AS125" s="4127">
        <f>SUM(AS65)</f>
        <v>12.944684404749996</v>
      </c>
      <c r="AT125" s="4127">
        <f>SUM(AT65)</f>
        <v>13.138854670821244</v>
      </c>
      <c r="AU125" s="4127">
        <f>SUM(AU65)</f>
        <v>13.335937490883563</v>
      </c>
      <c r="AV125" s="4127">
        <f>SUM(AV65)</f>
        <v>13.535976553246817</v>
      </c>
      <c r="AW125" s="4127">
        <f>SUM(AW65)</f>
        <v>13.739016201545518</v>
      </c>
    </row>
    <row r="126" spans="36:49" ht="15.5">
      <c r="AJ126" s="4129" t="s">
        <v>3490</v>
      </c>
      <c r="AK126" s="4127">
        <v>3517.0748100000001</v>
      </c>
      <c r="AL126" s="4127"/>
      <c r="AM126" s="4127">
        <f>SUM(AM71)</f>
        <v>3614.2233500000007</v>
      </c>
      <c r="AN126" s="4127"/>
      <c r="AO126" s="4127">
        <f>SUM(AO71)</f>
        <v>3243.3962000000001</v>
      </c>
      <c r="AP126" s="4127"/>
      <c r="AQ126" s="4127">
        <f>SUM(AQ71)</f>
        <v>3139.4830465829109</v>
      </c>
      <c r="AR126" s="4127"/>
      <c r="AS126" s="4127">
        <f>SUM(AS71)</f>
        <v>3543.0587848628966</v>
      </c>
      <c r="AT126" s="4127">
        <f>SUM(AT71)</f>
        <v>3596.2046666358401</v>
      </c>
      <c r="AU126" s="4127">
        <f>SUM(AU71)</f>
        <v>3736.5614321987919</v>
      </c>
      <c r="AV126" s="4127">
        <f>SUM(AV71)</f>
        <v>3792.6098536817735</v>
      </c>
      <c r="AW126" s="4127">
        <f>SUM(AW71)</f>
        <v>3849.4990014869995</v>
      </c>
    </row>
    <row r="127" spans="36:49" ht="16" thickBot="1">
      <c r="AJ127" s="4125" t="s">
        <v>3486</v>
      </c>
      <c r="AK127" s="4123">
        <v>35475.32015</v>
      </c>
      <c r="AL127" s="4124"/>
      <c r="AM127" s="4123">
        <f>SUM(AM122:AM126)</f>
        <v>33526.157650000001</v>
      </c>
      <c r="AN127" s="4124"/>
      <c r="AO127" s="4123">
        <f>SUM(AO122:AO126)</f>
        <v>29619.585620000002</v>
      </c>
      <c r="AP127" s="4124"/>
      <c r="AQ127" s="4123">
        <f>SUM(AQ122:AQ126)</f>
        <v>24395.739711008249</v>
      </c>
      <c r="AR127" s="4123"/>
      <c r="AS127" s="4123">
        <f>SUM(AS122:AS126)</f>
        <v>25719.449471368112</v>
      </c>
      <c r="AT127" s="4123">
        <f>SUM(AT122:AT126)</f>
        <v>26016.169663828488</v>
      </c>
      <c r="AU127" s="4123">
        <f>SUM(AU122:AU126)</f>
        <v>26914.334566058325</v>
      </c>
      <c r="AV127" s="4123">
        <f>SUM(AV122:AV126)</f>
        <v>28256.312680075276</v>
      </c>
      <c r="AW127" s="4123">
        <f>SUM(AW122:AW126)</f>
        <v>29459.649487359482</v>
      </c>
    </row>
    <row r="128" spans="36:49" ht="16" thickTop="1">
      <c r="AJ128" s="4125"/>
      <c r="AK128" s="4127"/>
      <c r="AL128" s="4127"/>
      <c r="AM128" s="4127"/>
      <c r="AN128" s="4127"/>
      <c r="AO128" s="4127"/>
      <c r="AP128" s="4127"/>
      <c r="AQ128" s="4127"/>
      <c r="AR128" s="4127"/>
      <c r="AS128" s="4127"/>
      <c r="AT128" s="4127"/>
      <c r="AU128" s="4127"/>
      <c r="AV128" s="4127"/>
      <c r="AW128" s="4127"/>
    </row>
    <row r="129" spans="36:49" ht="15.5">
      <c r="AJ129" s="4125" t="s">
        <v>78</v>
      </c>
      <c r="AK129" s="4127"/>
      <c r="AL129" s="4127"/>
      <c r="AM129" s="4127"/>
      <c r="AN129" s="4127"/>
      <c r="AO129" s="4127"/>
      <c r="AP129" s="4127"/>
      <c r="AQ129" s="4127"/>
      <c r="AR129" s="4127"/>
      <c r="AS129" s="4127"/>
      <c r="AT129" s="4127"/>
      <c r="AU129" s="4127"/>
      <c r="AV129" s="4127"/>
      <c r="AW129" s="4127"/>
    </row>
    <row r="130" spans="36:49" ht="15.5">
      <c r="AJ130" s="4128" t="s">
        <v>3489</v>
      </c>
      <c r="AK130" s="4127">
        <v>3490.4155000000001</v>
      </c>
      <c r="AL130" s="4127"/>
      <c r="AM130" s="4127">
        <f>SUM(AM89)</f>
        <v>3526.8061499999999</v>
      </c>
      <c r="AN130" s="4127"/>
      <c r="AO130" s="4127">
        <f>SUM(AO89)</f>
        <v>3473.4391699999996</v>
      </c>
      <c r="AP130" s="4127"/>
      <c r="AQ130" s="4127">
        <f>SUM(AQ89)</f>
        <v>3114.9668292669589</v>
      </c>
      <c r="AR130" s="4127"/>
      <c r="AS130" s="4127">
        <f>SUM(AS89)</f>
        <v>4070.6662796351534</v>
      </c>
      <c r="AT130" s="4127">
        <f>SUM(AT89)</f>
        <v>4223.9388920319698</v>
      </c>
      <c r="AU130" s="4127">
        <f>SUM(AU89)</f>
        <v>4254.04954213374</v>
      </c>
      <c r="AV130" s="4127">
        <f>SUM(AV89)</f>
        <v>4404.2174909710611</v>
      </c>
      <c r="AW130" s="4127">
        <f>SUM(AW89)</f>
        <v>4559.6863684023392</v>
      </c>
    </row>
    <row r="131" spans="36:49" ht="15.5">
      <c r="AJ131" s="4128" t="s">
        <v>3488</v>
      </c>
      <c r="AK131" s="4127">
        <v>1707.06132</v>
      </c>
      <c r="AL131" s="4127"/>
      <c r="AM131" s="4127">
        <f>SUM(AM104)</f>
        <v>1633.3417799999997</v>
      </c>
      <c r="AN131" s="4127"/>
      <c r="AO131" s="4127">
        <f>SUM(AO104)</f>
        <v>1311.6025</v>
      </c>
      <c r="AP131" s="4127"/>
      <c r="AQ131" s="4127">
        <f>SUM(AQ104)</f>
        <v>957.04376999999999</v>
      </c>
      <c r="AR131" s="4127"/>
      <c r="AS131" s="4127">
        <f>SUM(AS104)</f>
        <v>1395.1049058951248</v>
      </c>
      <c r="AT131" s="4127">
        <f>SUM(AT104)</f>
        <v>1314.2690345824808</v>
      </c>
      <c r="AU131" s="4127">
        <f>SUM(AU104)</f>
        <v>1240.1379887918879</v>
      </c>
      <c r="AV131" s="4127">
        <f>SUM(AV104)</f>
        <v>1223.0534696570026</v>
      </c>
      <c r="AW131" s="4127">
        <f>SUM(AW104)</f>
        <v>1053.2523599754907</v>
      </c>
    </row>
    <row r="132" spans="36:49" ht="15.5">
      <c r="AJ132" s="4128" t="s">
        <v>3487</v>
      </c>
      <c r="AK132" s="4127">
        <v>4564.3069800000003</v>
      </c>
      <c r="AL132" s="4127"/>
      <c r="AM132" s="4127">
        <f>SUM(AM113)</f>
        <v>4920.1448300000002</v>
      </c>
      <c r="AN132" s="4127"/>
      <c r="AO132" s="4127">
        <f>SUM(AO113)</f>
        <v>5183.0444600000001</v>
      </c>
      <c r="AP132" s="4127"/>
      <c r="AQ132" s="4127">
        <f>SUM(AQ113)</f>
        <v>5185.270268630632</v>
      </c>
      <c r="AR132" s="4127"/>
      <c r="AS132" s="4127">
        <f>SUM(AS113)</f>
        <v>6301.1081745004785</v>
      </c>
      <c r="AT132" s="4127">
        <f>SUM(AT113)</f>
        <v>6395.6247971179846</v>
      </c>
      <c r="AU132" s="4127">
        <f>SUM(AU113)</f>
        <v>6491.5591690747542</v>
      </c>
      <c r="AV132" s="4127">
        <f>SUM(AV113)</f>
        <v>6588.9325566108746</v>
      </c>
      <c r="AW132" s="4127">
        <f>SUM(AW113)</f>
        <v>6687.7665449600372</v>
      </c>
    </row>
    <row r="133" spans="36:49" ht="15.5">
      <c r="AJ133" s="4125" t="s">
        <v>377</v>
      </c>
      <c r="AK133" s="4127">
        <v>0</v>
      </c>
      <c r="AL133" s="4127"/>
      <c r="AM133" s="4127">
        <v>0</v>
      </c>
      <c r="AN133" s="4127"/>
      <c r="AO133" s="4127">
        <v>0</v>
      </c>
      <c r="AP133" s="4127"/>
      <c r="AQ133" s="4127">
        <v>0</v>
      </c>
      <c r="AR133" s="4127"/>
      <c r="AS133" s="4127">
        <v>0</v>
      </c>
      <c r="AT133" s="4127">
        <v>0</v>
      </c>
      <c r="AU133" s="4127">
        <v>0</v>
      </c>
      <c r="AV133" s="4127">
        <v>0</v>
      </c>
      <c r="AW133" s="4127">
        <v>0</v>
      </c>
    </row>
    <row r="134" spans="36:49" ht="16" thickBot="1">
      <c r="AJ134" s="4125" t="s">
        <v>3486</v>
      </c>
      <c r="AK134" s="4123">
        <v>9761.7838000000011</v>
      </c>
      <c r="AL134" s="4124"/>
      <c r="AM134" s="4123">
        <f>SUM(AM130:AM132)</f>
        <v>10080.29276</v>
      </c>
      <c r="AN134" s="4124"/>
      <c r="AO134" s="4123">
        <f>SUM(AO130:AO132)</f>
        <v>9968.0861299999997</v>
      </c>
      <c r="AP134" s="4124"/>
      <c r="AQ134" s="4123">
        <f>SUM(AQ130:AQ132)</f>
        <v>9257.2808678975907</v>
      </c>
      <c r="AR134" s="4123"/>
      <c r="AS134" s="4123">
        <f>SUM(AS130:AS132)</f>
        <v>11766.879360030758</v>
      </c>
      <c r="AT134" s="4123">
        <f>SUM(AT130:AT132)</f>
        <v>11933.832723732434</v>
      </c>
      <c r="AU134" s="4123">
        <f>SUM(AU130:AU132)</f>
        <v>11985.746700000382</v>
      </c>
      <c r="AV134" s="4123">
        <f>SUM(AV130:AV132)</f>
        <v>12216.203517238939</v>
      </c>
      <c r="AW134" s="4123">
        <f>SUM(AW130:AW132)</f>
        <v>12300.705273337866</v>
      </c>
    </row>
    <row r="135" spans="36:49" ht="16" thickTop="1">
      <c r="AJ135" s="4125"/>
      <c r="AK135" s="516"/>
      <c r="AL135" s="4126"/>
      <c r="AM135" s="516"/>
      <c r="AN135" s="4126"/>
      <c r="AO135" s="516"/>
      <c r="AP135" s="4126"/>
      <c r="AQ135" s="516"/>
      <c r="AR135" s="516"/>
      <c r="AS135" s="516"/>
      <c r="AT135" s="516"/>
      <c r="AU135" s="516"/>
      <c r="AV135" s="516"/>
      <c r="AW135" s="516"/>
    </row>
    <row r="136" spans="36:49" ht="16" thickBot="1">
      <c r="AJ136" s="4125" t="s">
        <v>3485</v>
      </c>
      <c r="AK136" s="4123">
        <v>45237.103949999997</v>
      </c>
      <c r="AL136" s="4124"/>
      <c r="AM136" s="4123">
        <f>SUM(AM127+AM134)</f>
        <v>43606.450410000005</v>
      </c>
      <c r="AN136" s="4124"/>
      <c r="AO136" s="4123">
        <f>SUM(AO127+AO134)</f>
        <v>39587.671750000001</v>
      </c>
      <c r="AP136" s="4124"/>
      <c r="AQ136" s="4123">
        <f>SUM(AQ127+AQ134)</f>
        <v>33653.020578905838</v>
      </c>
      <c r="AR136" s="4123"/>
      <c r="AS136" s="4123">
        <f>SUM(AS127+AS134)</f>
        <v>37486.328831398874</v>
      </c>
      <c r="AT136" s="4123">
        <f>SUM(AT127+AT134)</f>
        <v>37950.002387560919</v>
      </c>
      <c r="AU136" s="4123">
        <f>SUM(AU127+AU134)</f>
        <v>38900.081266058711</v>
      </c>
      <c r="AV136" s="4123">
        <f>SUM(AV127+AV134)</f>
        <v>40472.516197314217</v>
      </c>
      <c r="AW136" s="4123">
        <f>SUM(AW127+AW134)</f>
        <v>41760.354760697344</v>
      </c>
    </row>
    <row r="137" spans="36:49" ht="15" thickTop="1">
      <c r="AJ137" s="4122"/>
      <c r="AQ137" s="4121"/>
      <c r="AS137" s="4120">
        <f>(AS136-AQ136)/AQ136</f>
        <v>0.11390681093559264</v>
      </c>
      <c r="AT137" s="4120">
        <f>(AT136-AS136)/AS136</f>
        <v>1.2369137512704829E-2</v>
      </c>
      <c r="AU137" s="4120">
        <f>(AU136-AT136)/AT136</f>
        <v>2.5035014986170456E-2</v>
      </c>
      <c r="AV137" s="4120">
        <f>(AV136-AU136)/AU136</f>
        <v>4.0422407359531523E-2</v>
      </c>
      <c r="AW137" s="4120">
        <f>(AW136-AV136)/AV136</f>
        <v>3.1820076545391297E-2</v>
      </c>
    </row>
    <row r="140" spans="36:49">
      <c r="AS140" s="4119"/>
      <c r="AT140" s="4119"/>
      <c r="AU140" s="4119"/>
    </row>
    <row r="141" spans="36:49">
      <c r="AS141" s="4119"/>
      <c r="AT141" s="4119"/>
      <c r="AU141" s="4119"/>
    </row>
    <row r="142" spans="36:49">
      <c r="AS142" s="4119"/>
      <c r="AT142" s="4119"/>
      <c r="AU142" s="4119"/>
    </row>
    <row r="143" spans="36:49">
      <c r="AS143" s="4119"/>
      <c r="AT143" s="4119"/>
      <c r="AU143" s="4119"/>
    </row>
    <row r="144" spans="36:49">
      <c r="AS144" s="4119"/>
      <c r="AT144" s="4119"/>
      <c r="AU144" s="4119"/>
    </row>
    <row r="145" spans="46:47">
      <c r="AT145" s="4119"/>
    </row>
    <row r="146" spans="46:47">
      <c r="AT146" s="4119"/>
      <c r="AU146" s="4119"/>
    </row>
    <row r="147" spans="46:47">
      <c r="AT147" s="4119"/>
    </row>
  </sheetData>
  <mergeCells count="12">
    <mergeCell ref="T38:Y38"/>
    <mergeCell ref="AA38:AD38"/>
    <mergeCell ref="B2:F2"/>
    <mergeCell ref="H2:K2"/>
    <mergeCell ref="T2:Y2"/>
    <mergeCell ref="AA2:AD2"/>
    <mergeCell ref="T11:Y11"/>
    <mergeCell ref="AA11:AD11"/>
    <mergeCell ref="T29:Y29"/>
    <mergeCell ref="AA29:AD29"/>
    <mergeCell ref="T20:Y20"/>
    <mergeCell ref="AA20:AD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1640625" defaultRowHeight="13"/>
  <cols>
    <col min="1" max="1" width="22" style="1389" customWidth="1"/>
    <col min="2" max="2" width="11.1796875" style="1389" customWidth="1"/>
    <col min="3" max="3" width="16.26953125" style="1389" customWidth="1"/>
    <col min="4" max="4" width="8.54296875" style="1389" customWidth="1"/>
    <col min="5" max="5" width="13.26953125" style="1389" customWidth="1"/>
    <col min="6" max="6" width="5.26953125" style="1389" customWidth="1"/>
    <col min="7" max="8" width="11.1796875" style="1389" customWidth="1"/>
    <col min="9" max="9" width="1.54296875" style="995" customWidth="1"/>
    <col min="10" max="11" width="8.81640625" style="477"/>
    <col min="12" max="14" width="11.1796875" style="477" customWidth="1"/>
    <col min="15" max="15" width="12.81640625" style="477" bestFit="1" customWidth="1"/>
    <col min="16" max="25" width="11.1796875" style="477" customWidth="1"/>
    <col min="26" max="26" width="2.26953125" style="477" customWidth="1"/>
    <col min="27" max="27" width="10.26953125" style="477" bestFit="1" customWidth="1"/>
    <col min="28" max="32" width="14.54296875" style="477" customWidth="1"/>
    <col min="33" max="33" width="13.1796875" style="477" bestFit="1" customWidth="1"/>
    <col min="34" max="34" width="10.26953125" style="477" bestFit="1" customWidth="1"/>
    <col min="35" max="35" width="8.81640625" style="477"/>
    <col min="36" max="36" width="1.7265625" style="995" customWidth="1"/>
    <col min="37" max="37" width="8.81640625" style="477"/>
    <col min="38" max="38" width="9" style="477" bestFit="1" customWidth="1"/>
    <col min="39" max="40" width="15.81640625" style="477" bestFit="1" customWidth="1"/>
    <col min="41" max="41" width="14.81640625" style="477" bestFit="1" customWidth="1"/>
    <col min="42" max="42" width="13.81640625" style="477" bestFit="1" customWidth="1"/>
    <col min="43" max="43" width="12.26953125" style="477" bestFit="1" customWidth="1"/>
    <col min="44" max="44" width="11.7265625" style="477" bestFit="1" customWidth="1"/>
    <col min="45" max="45" width="14" style="477" bestFit="1" customWidth="1"/>
    <col min="46" max="46" width="1.26953125" style="477" customWidth="1"/>
    <col min="47" max="47" width="9" style="477" bestFit="1" customWidth="1"/>
    <col min="48" max="48" width="13.26953125" style="477" bestFit="1" customWidth="1"/>
    <col min="49" max="50" width="12.81640625" style="477" bestFit="1" customWidth="1"/>
    <col min="51" max="51" width="11.7265625" style="477" bestFit="1" customWidth="1"/>
    <col min="52" max="52" width="9.7265625" style="477" bestFit="1" customWidth="1"/>
    <col min="53" max="53" width="11.1796875" style="477" bestFit="1" customWidth="1"/>
    <col min="54" max="55" width="9.26953125" style="477" bestFit="1" customWidth="1"/>
    <col min="56" max="56" width="11.1796875" style="477" customWidth="1"/>
    <col min="57" max="57" width="14" style="477" bestFit="1" customWidth="1"/>
    <col min="58" max="58" width="8.81640625" style="477"/>
    <col min="59" max="59" width="1.7265625" style="995" customWidth="1"/>
    <col min="60" max="60" width="8.81640625" style="477"/>
    <col min="61" max="61" width="6" style="477" customWidth="1"/>
    <col min="62" max="62" width="21.54296875" style="477" bestFit="1" customWidth="1"/>
    <col min="63" max="63" width="14.81640625" style="477" bestFit="1" customWidth="1"/>
    <col min="64" max="64" width="12.81640625" style="477" bestFit="1" customWidth="1"/>
    <col min="65" max="65" width="13.54296875" style="477" bestFit="1" customWidth="1"/>
    <col min="66" max="66" width="11.81640625" style="477" bestFit="1" customWidth="1"/>
    <col min="67" max="67" width="13.453125" style="477" bestFit="1" customWidth="1"/>
    <col min="68" max="68" width="2.453125" style="477" customWidth="1"/>
    <col min="69" max="69" width="11.81640625" style="477" bestFit="1" customWidth="1"/>
    <col min="70" max="70" width="1.7265625" style="995" customWidth="1"/>
    <col min="71" max="71" width="8.81640625" style="477"/>
    <col min="72" max="72" width="2.26953125" style="996" customWidth="1"/>
    <col min="73" max="73" width="13.54296875" style="996" bestFit="1" customWidth="1"/>
    <col min="74" max="76" width="15.81640625" style="996" customWidth="1"/>
    <col min="77" max="77" width="23.26953125" style="996" bestFit="1" customWidth="1"/>
    <col min="78" max="78" width="13.7265625" style="996" bestFit="1" customWidth="1"/>
    <col min="79" max="79" width="14.26953125" style="996" bestFit="1" customWidth="1"/>
    <col min="80" max="83" width="15.7265625" style="996" customWidth="1"/>
    <col min="84" max="84" width="13.81640625" style="996" customWidth="1"/>
    <col min="85" max="85" width="20.26953125" style="996" bestFit="1" customWidth="1"/>
    <col min="86" max="86" width="14.453125" style="996" customWidth="1"/>
    <col min="87" max="16384" width="8.81640625" style="477"/>
  </cols>
  <sheetData>
    <row r="1" spans="1:85">
      <c r="A1" s="1388" t="s">
        <v>111</v>
      </c>
      <c r="K1" s="1388" t="s">
        <v>111</v>
      </c>
      <c r="AL1" s="1388" t="s">
        <v>111</v>
      </c>
      <c r="AU1" s="1388" t="s">
        <v>111</v>
      </c>
      <c r="BI1" s="633" t="s">
        <v>1098</v>
      </c>
      <c r="BJ1" s="633" t="s">
        <v>1099</v>
      </c>
      <c r="BT1" s="1390" t="s">
        <v>1100</v>
      </c>
    </row>
    <row r="2" spans="1:85" ht="15" thickBot="1">
      <c r="A2" s="1388" t="s">
        <v>1101</v>
      </c>
      <c r="K2" s="1388" t="s">
        <v>1101</v>
      </c>
      <c r="AL2" s="1388" t="s">
        <v>1101</v>
      </c>
      <c r="AU2" s="1388" t="s">
        <v>1101</v>
      </c>
      <c r="BU2" s="3915" t="s">
        <v>1102</v>
      </c>
      <c r="BV2" s="3915"/>
      <c r="BW2" s="3915"/>
      <c r="BX2" s="3915"/>
      <c r="BY2" s="3915"/>
      <c r="BZ2" s="3915"/>
      <c r="CA2" s="3915"/>
      <c r="CB2" s="3915"/>
      <c r="CC2" s="3915"/>
      <c r="CD2" s="3915"/>
      <c r="CE2" s="3915"/>
      <c r="CF2" s="3915"/>
      <c r="CG2" s="3915"/>
    </row>
    <row r="3" spans="1:85" ht="14.5">
      <c r="A3" s="1388" t="s">
        <v>580</v>
      </c>
      <c r="K3" s="1388" t="s">
        <v>580</v>
      </c>
      <c r="AL3" s="1388" t="s">
        <v>580</v>
      </c>
      <c r="AU3" s="1388" t="s">
        <v>580</v>
      </c>
      <c r="BU3" s="1391" t="s">
        <v>1103</v>
      </c>
      <c r="BV3" s="3916" t="s">
        <v>538</v>
      </c>
      <c r="BW3" s="3917"/>
      <c r="BX3" s="3917"/>
      <c r="BY3" s="3917"/>
      <c r="BZ3" s="3917"/>
      <c r="CA3" s="3918"/>
      <c r="CB3" s="3916" t="s">
        <v>1104</v>
      </c>
      <c r="CC3" s="3917"/>
      <c r="CD3" s="3917"/>
      <c r="CE3" s="3917"/>
      <c r="CF3" s="3917"/>
      <c r="CG3" s="3918"/>
    </row>
    <row r="4" spans="1:85" ht="43.5">
      <c r="AL4" s="1388"/>
      <c r="AU4" s="1388"/>
      <c r="BU4" s="1392"/>
      <c r="BV4" s="1393" t="s">
        <v>1105</v>
      </c>
      <c r="BW4" s="1392" t="s">
        <v>1106</v>
      </c>
      <c r="BX4" s="1392" t="s">
        <v>1107</v>
      </c>
      <c r="BY4" s="1392" t="s">
        <v>1108</v>
      </c>
      <c r="BZ4" s="1392" t="s">
        <v>1109</v>
      </c>
      <c r="CA4" s="1394" t="s">
        <v>1110</v>
      </c>
      <c r="CB4" s="1393" t="s">
        <v>1105</v>
      </c>
      <c r="CC4" s="1392" t="s">
        <v>1106</v>
      </c>
      <c r="CD4" s="1392" t="s">
        <v>1107</v>
      </c>
      <c r="CE4" s="1392" t="s">
        <v>1108</v>
      </c>
      <c r="CF4" s="1392" t="s">
        <v>1109</v>
      </c>
      <c r="CG4" s="1394" t="s">
        <v>1110</v>
      </c>
    </row>
    <row r="5" spans="1:85" ht="13.5" thickBot="1">
      <c r="AL5" s="1388" t="s">
        <v>1111</v>
      </c>
      <c r="AU5" s="1388" t="s">
        <v>1112</v>
      </c>
      <c r="BI5" s="1395" t="s">
        <v>1113</v>
      </c>
      <c r="BU5" s="1396">
        <v>43983</v>
      </c>
      <c r="BV5" s="1397"/>
      <c r="BW5" s="1398"/>
      <c r="BX5" s="1398"/>
      <c r="BY5" s="1398"/>
      <c r="BZ5" s="1398"/>
      <c r="CA5" s="1399">
        <f t="shared" ref="CA5:CA11" si="0">BV5+BZ5</f>
        <v>0</v>
      </c>
      <c r="CB5" s="1397"/>
      <c r="CC5" s="1398"/>
      <c r="CD5" s="1398"/>
      <c r="CE5" s="1398"/>
      <c r="CF5" s="1398"/>
      <c r="CG5" s="1399">
        <f t="shared" ref="CG5:CG11" si="1">CB5+CF5</f>
        <v>0</v>
      </c>
    </row>
    <row r="6" spans="1:85" ht="13.5" thickBot="1">
      <c r="L6" s="3919"/>
      <c r="M6" s="3919"/>
      <c r="N6" s="3919"/>
      <c r="O6" s="3919"/>
      <c r="P6" s="3919"/>
      <c r="Q6" s="3919"/>
      <c r="R6" s="3919"/>
      <c r="S6" s="3919"/>
      <c r="T6" s="867"/>
      <c r="U6" s="867"/>
      <c r="V6" s="867"/>
      <c r="W6" s="867"/>
      <c r="X6" s="867"/>
      <c r="Y6" s="867"/>
      <c r="AB6" s="3920" t="s">
        <v>1114</v>
      </c>
      <c r="AC6" s="3921"/>
      <c r="AD6" s="3921"/>
      <c r="AE6" s="3921"/>
      <c r="AF6" s="3922"/>
      <c r="BU6" s="1396">
        <v>44013</v>
      </c>
      <c r="BV6" s="1397"/>
      <c r="BW6" s="1398"/>
      <c r="BX6" s="1398"/>
      <c r="BY6" s="1398"/>
      <c r="BZ6" s="1398"/>
      <c r="CA6" s="1399">
        <f t="shared" si="0"/>
        <v>0</v>
      </c>
      <c r="CB6" s="1397"/>
      <c r="CC6" s="1398"/>
      <c r="CD6" s="1398"/>
      <c r="CE6" s="1398"/>
      <c r="CF6" s="1398"/>
      <c r="CG6" s="1399">
        <f t="shared" si="1"/>
        <v>0</v>
      </c>
    </row>
    <row r="7" spans="1:85" ht="13.5" thickBot="1">
      <c r="A7" s="1388" t="s">
        <v>1115</v>
      </c>
      <c r="L7" s="3923" t="s">
        <v>1116</v>
      </c>
      <c r="M7" s="3924"/>
      <c r="N7" s="3924"/>
      <c r="O7" s="3925"/>
      <c r="P7" s="3923" t="s">
        <v>1117</v>
      </c>
      <c r="Q7" s="3924"/>
      <c r="R7" s="3924"/>
      <c r="S7" s="3925"/>
      <c r="T7" s="3923" t="s">
        <v>1118</v>
      </c>
      <c r="U7" s="3924"/>
      <c r="V7" s="3924"/>
      <c r="W7" s="3924"/>
      <c r="X7" s="3924"/>
      <c r="Y7" s="3925"/>
      <c r="AB7" s="3920" t="s">
        <v>1119</v>
      </c>
      <c r="AC7" s="3921"/>
      <c r="AD7" s="3921"/>
      <c r="AE7" s="3921"/>
      <c r="AF7" s="3922"/>
      <c r="AM7" s="1400">
        <v>440000</v>
      </c>
      <c r="AN7" s="1104">
        <v>442200</v>
      </c>
      <c r="AO7" s="1104">
        <v>442300</v>
      </c>
      <c r="AP7" s="1104">
        <v>444000</v>
      </c>
      <c r="AQ7" s="1104">
        <v>448000</v>
      </c>
      <c r="AR7" s="1400" t="s">
        <v>1120</v>
      </c>
      <c r="AS7" s="1104"/>
      <c r="AV7" s="1400">
        <v>440000</v>
      </c>
      <c r="AW7" s="1104">
        <v>442200</v>
      </c>
      <c r="AX7" s="1104">
        <v>442300</v>
      </c>
      <c r="AY7" s="1104">
        <v>444000</v>
      </c>
      <c r="AZ7" s="1104">
        <v>448000</v>
      </c>
      <c r="BA7" s="1400" t="s">
        <v>1120</v>
      </c>
      <c r="BB7" s="1400">
        <v>440000</v>
      </c>
      <c r="BC7" s="1104">
        <v>442200</v>
      </c>
      <c r="BD7" s="1104">
        <v>448000</v>
      </c>
      <c r="BE7" s="1104"/>
      <c r="BJ7" s="1401"/>
      <c r="BK7" s="1402"/>
      <c r="BL7" s="1402"/>
      <c r="BM7" s="1402"/>
      <c r="BN7" s="1402"/>
      <c r="BO7" s="1402"/>
      <c r="BP7" s="1402"/>
      <c r="BQ7" s="1402"/>
      <c r="BU7" s="1396">
        <v>44044</v>
      </c>
      <c r="BV7" s="1397"/>
      <c r="BW7" s="1398"/>
      <c r="BX7" s="1398"/>
      <c r="BY7" s="1398"/>
      <c r="BZ7" s="1398"/>
      <c r="CA7" s="1399">
        <f t="shared" si="0"/>
        <v>0</v>
      </c>
      <c r="CB7" s="1397"/>
      <c r="CC7" s="1398"/>
      <c r="CD7" s="1398"/>
      <c r="CE7" s="1398"/>
      <c r="CF7" s="1398"/>
      <c r="CG7" s="1399">
        <f t="shared" si="1"/>
        <v>0</v>
      </c>
    </row>
    <row r="8" spans="1:85">
      <c r="A8" s="1388"/>
      <c r="L8" s="1104">
        <v>144200</v>
      </c>
      <c r="M8" s="1104">
        <v>144200</v>
      </c>
      <c r="N8" s="1104">
        <v>144200</v>
      </c>
      <c r="O8" s="1104">
        <v>144200</v>
      </c>
      <c r="P8" s="1104">
        <v>144200</v>
      </c>
      <c r="Q8" s="1104">
        <v>144200</v>
      </c>
      <c r="R8" s="1104">
        <v>144200</v>
      </c>
      <c r="S8" s="1104">
        <v>144200</v>
      </c>
      <c r="T8" s="1104">
        <v>144990</v>
      </c>
      <c r="U8" s="1403" t="s">
        <v>1121</v>
      </c>
      <c r="V8" s="1104"/>
      <c r="W8" s="1104"/>
      <c r="X8" s="1104"/>
      <c r="Y8" s="1104"/>
      <c r="AB8" s="1104">
        <v>904000</v>
      </c>
      <c r="AC8" s="1104">
        <v>904000</v>
      </c>
      <c r="AD8" s="1104">
        <v>904000</v>
      </c>
      <c r="AE8" s="1104">
        <v>904000</v>
      </c>
      <c r="AF8" s="1104">
        <v>904000</v>
      </c>
      <c r="AH8" s="867">
        <v>144500</v>
      </c>
      <c r="AI8" s="1404" t="s">
        <v>1122</v>
      </c>
      <c r="AM8" s="1104" t="s">
        <v>681</v>
      </c>
      <c r="AN8" s="1104" t="s">
        <v>681</v>
      </c>
      <c r="AO8" s="1104" t="s">
        <v>681</v>
      </c>
      <c r="AP8" s="1104" t="s">
        <v>681</v>
      </c>
      <c r="AQ8" s="1104" t="s">
        <v>681</v>
      </c>
      <c r="AR8" s="1104" t="s">
        <v>681</v>
      </c>
      <c r="AS8" s="1104"/>
      <c r="AV8" s="1104" t="s">
        <v>681</v>
      </c>
      <c r="AW8" s="1104" t="s">
        <v>681</v>
      </c>
      <c r="AX8" s="1104" t="s">
        <v>681</v>
      </c>
      <c r="AY8" s="1104" t="s">
        <v>681</v>
      </c>
      <c r="AZ8" s="1104" t="s">
        <v>681</v>
      </c>
      <c r="BA8" s="1104" t="s">
        <v>681</v>
      </c>
      <c r="BB8" s="1104" t="s">
        <v>681</v>
      </c>
      <c r="BC8" s="1104" t="s">
        <v>681</v>
      </c>
      <c r="BD8" s="1104" t="s">
        <v>681</v>
      </c>
      <c r="BE8" s="1104"/>
      <c r="BJ8" s="1405" t="s">
        <v>580</v>
      </c>
      <c r="BK8" s="1405"/>
      <c r="BL8" s="1405"/>
      <c r="BM8" s="1405"/>
      <c r="BN8" s="1405"/>
      <c r="BO8" s="1405"/>
      <c r="BP8" s="1402"/>
      <c r="BQ8" s="1402"/>
      <c r="BU8" s="1396">
        <v>44075</v>
      </c>
      <c r="BV8" s="1397"/>
      <c r="BW8" s="1398"/>
      <c r="BX8" s="1398"/>
      <c r="BY8" s="1398"/>
      <c r="BZ8" s="1398"/>
      <c r="CA8" s="1399">
        <f t="shared" si="0"/>
        <v>0</v>
      </c>
      <c r="CB8" s="1397"/>
      <c r="CC8" s="1398"/>
      <c r="CD8" s="1398"/>
      <c r="CE8" s="1398"/>
      <c r="CF8" s="1398"/>
      <c r="CG8" s="1399">
        <f t="shared" si="1"/>
        <v>0</v>
      </c>
    </row>
    <row r="9" spans="1:85">
      <c r="A9" s="1388"/>
      <c r="C9" s="1406" t="s">
        <v>1123</v>
      </c>
      <c r="D9" s="1406"/>
      <c r="E9" s="1406" t="s">
        <v>1124</v>
      </c>
      <c r="F9" s="1406"/>
      <c r="G9" s="1406" t="s">
        <v>1125</v>
      </c>
      <c r="L9" s="1104" t="s">
        <v>681</v>
      </c>
      <c r="M9" s="1104" t="s">
        <v>681</v>
      </c>
      <c r="N9" s="1104" t="s">
        <v>680</v>
      </c>
      <c r="O9" s="1104" t="s">
        <v>680</v>
      </c>
      <c r="P9" s="1104" t="s">
        <v>681</v>
      </c>
      <c r="Q9" s="1104" t="s">
        <v>681</v>
      </c>
      <c r="R9" s="1104" t="s">
        <v>680</v>
      </c>
      <c r="S9" s="1104" t="s">
        <v>680</v>
      </c>
      <c r="T9" s="1104" t="s">
        <v>682</v>
      </c>
      <c r="U9" s="1104" t="s">
        <v>681</v>
      </c>
      <c r="V9" s="1104" t="s">
        <v>681</v>
      </c>
      <c r="W9" s="1104" t="s">
        <v>680</v>
      </c>
      <c r="X9" s="1104" t="s">
        <v>680</v>
      </c>
      <c r="Y9" s="1104" t="s">
        <v>680</v>
      </c>
      <c r="AB9" s="1104" t="s">
        <v>681</v>
      </c>
      <c r="AC9" s="1104" t="s">
        <v>681</v>
      </c>
      <c r="AD9" s="1104" t="s">
        <v>680</v>
      </c>
      <c r="AE9" s="1104" t="s">
        <v>680</v>
      </c>
      <c r="AF9" s="1104" t="s">
        <v>680</v>
      </c>
      <c r="AH9" s="1092" t="s">
        <v>680</v>
      </c>
      <c r="AM9" s="1104" t="s">
        <v>763</v>
      </c>
      <c r="AN9" s="1104" t="s">
        <v>763</v>
      </c>
      <c r="AO9" s="1104" t="s">
        <v>763</v>
      </c>
      <c r="AP9" s="1104" t="s">
        <v>763</v>
      </c>
      <c r="AQ9" s="1104" t="s">
        <v>763</v>
      </c>
      <c r="AR9" s="1104" t="s">
        <v>763</v>
      </c>
      <c r="AS9" s="1104" t="s">
        <v>24</v>
      </c>
      <c r="AV9" s="1104" t="s">
        <v>683</v>
      </c>
      <c r="AW9" s="1104" t="s">
        <v>683</v>
      </c>
      <c r="AX9" s="1104" t="s">
        <v>683</v>
      </c>
      <c r="AY9" s="1104" t="s">
        <v>683</v>
      </c>
      <c r="AZ9" s="1104" t="s">
        <v>683</v>
      </c>
      <c r="BA9" s="1104" t="s">
        <v>683</v>
      </c>
      <c r="BB9" s="1104" t="s">
        <v>1067</v>
      </c>
      <c r="BC9" s="1104" t="s">
        <v>1067</v>
      </c>
      <c r="BD9" s="1104" t="s">
        <v>1067</v>
      </c>
      <c r="BE9" s="1104" t="s">
        <v>24</v>
      </c>
      <c r="BJ9" s="1405"/>
      <c r="BK9" s="1407" t="s">
        <v>681</v>
      </c>
      <c r="BL9" s="1407"/>
      <c r="BM9" s="1407" t="s">
        <v>680</v>
      </c>
      <c r="BN9" s="1407"/>
      <c r="BO9" s="1407" t="s">
        <v>978</v>
      </c>
      <c r="BP9" s="1402"/>
      <c r="BQ9" s="1402"/>
      <c r="BU9" s="1396">
        <v>44105</v>
      </c>
      <c r="BV9" s="1397">
        <v>2247014</v>
      </c>
      <c r="BW9" s="1398"/>
      <c r="BX9" s="1398"/>
      <c r="BY9" s="1398"/>
      <c r="BZ9" s="1398">
        <v>0</v>
      </c>
      <c r="CA9" s="1399">
        <f t="shared" si="0"/>
        <v>2247014</v>
      </c>
      <c r="CB9" s="1397">
        <v>2240716</v>
      </c>
      <c r="CC9" s="1398"/>
      <c r="CD9" s="1398"/>
      <c r="CE9" s="1398"/>
      <c r="CF9" s="1398">
        <v>0</v>
      </c>
      <c r="CG9" s="1399">
        <f t="shared" si="1"/>
        <v>2240716</v>
      </c>
    </row>
    <row r="10" spans="1:85">
      <c r="A10" s="1388" t="s">
        <v>819</v>
      </c>
      <c r="L10" s="1104" t="s">
        <v>683</v>
      </c>
      <c r="M10" s="1104" t="s">
        <v>763</v>
      </c>
      <c r="N10" s="1104" t="s">
        <v>683</v>
      </c>
      <c r="O10" s="1104" t="s">
        <v>763</v>
      </c>
      <c r="P10" s="1104" t="s">
        <v>683</v>
      </c>
      <c r="Q10" s="1104" t="s">
        <v>763</v>
      </c>
      <c r="R10" s="1104" t="s">
        <v>683</v>
      </c>
      <c r="S10" s="1104" t="s">
        <v>763</v>
      </c>
      <c r="T10" s="1104" t="s">
        <v>678</v>
      </c>
      <c r="U10" s="1104" t="s">
        <v>683</v>
      </c>
      <c r="V10" s="1104" t="s">
        <v>763</v>
      </c>
      <c r="W10" s="1104" t="s">
        <v>683</v>
      </c>
      <c r="X10" s="1104" t="s">
        <v>763</v>
      </c>
      <c r="Y10" s="1104" t="s">
        <v>676</v>
      </c>
      <c r="AB10" s="1104" t="s">
        <v>683</v>
      </c>
      <c r="AC10" s="1104" t="s">
        <v>763</v>
      </c>
      <c r="AD10" s="1104" t="s">
        <v>683</v>
      </c>
      <c r="AE10" s="1104" t="s">
        <v>763</v>
      </c>
      <c r="AF10" s="1104" t="s">
        <v>676</v>
      </c>
      <c r="AL10" s="877" t="s">
        <v>1126</v>
      </c>
      <c r="AM10" s="516">
        <v>-18853610.640000001</v>
      </c>
      <c r="AN10" s="516">
        <v>-20585753.91</v>
      </c>
      <c r="AO10" s="516">
        <v>-5725999.3200000003</v>
      </c>
      <c r="AP10" s="516">
        <v>-310004.95</v>
      </c>
      <c r="AQ10" s="516">
        <v>-96542.29</v>
      </c>
      <c r="AR10" s="516">
        <v>-4613851</v>
      </c>
      <c r="AS10" s="875">
        <f t="shared" ref="AS10:AS21" si="2">SUM(AM10:AR10)</f>
        <v>-50185762.109999999</v>
      </c>
      <c r="AU10" s="877"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08"/>
      <c r="BK10" s="1409" t="s">
        <v>683</v>
      </c>
      <c r="BL10" s="1409" t="s">
        <v>763</v>
      </c>
      <c r="BM10" s="1409" t="s">
        <v>683</v>
      </c>
      <c r="BN10" s="1409" t="s">
        <v>763</v>
      </c>
      <c r="BO10" s="1409"/>
      <c r="BP10" s="1168"/>
      <c r="BQ10" s="1168"/>
      <c r="BU10" s="1396">
        <v>44136</v>
      </c>
      <c r="BV10" s="1397">
        <v>2784884</v>
      </c>
      <c r="BW10" s="1398"/>
      <c r="BX10" s="1398"/>
      <c r="BY10" s="1398"/>
      <c r="BZ10" s="1398">
        <v>0</v>
      </c>
      <c r="CA10" s="1399">
        <f t="shared" si="0"/>
        <v>2784884</v>
      </c>
      <c r="CB10" s="1397">
        <v>-939098</v>
      </c>
      <c r="CC10" s="1398"/>
      <c r="CD10" s="1398"/>
      <c r="CE10" s="1398"/>
      <c r="CF10" s="1398">
        <v>0</v>
      </c>
      <c r="CG10" s="1399">
        <f t="shared" si="1"/>
        <v>-939098</v>
      </c>
    </row>
    <row r="11" spans="1:85">
      <c r="A11" s="1389" t="s">
        <v>1127</v>
      </c>
      <c r="C11" s="1410">
        <f>E11+G11</f>
        <v>3512910</v>
      </c>
      <c r="D11" s="1410"/>
      <c r="E11" s="1410">
        <f>G46</f>
        <v>2978288</v>
      </c>
      <c r="F11" s="1410"/>
      <c r="G11" s="1410">
        <f>G53</f>
        <v>534622</v>
      </c>
      <c r="K11" s="1411"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68">
        <v>0</v>
      </c>
      <c r="V11" s="1168">
        <v>0</v>
      </c>
      <c r="W11" s="1168">
        <v>0</v>
      </c>
      <c r="X11" s="1168">
        <v>0</v>
      </c>
      <c r="Y11" s="1168">
        <v>0</v>
      </c>
      <c r="AA11" s="1412" t="str">
        <f t="shared" ref="AA11:AA22" si="5">K11</f>
        <v>202207</v>
      </c>
      <c r="AB11" s="516">
        <v>106937.9</v>
      </c>
      <c r="AC11" s="516">
        <v>322622.28000000003</v>
      </c>
      <c r="AD11" s="516">
        <v>29240.57</v>
      </c>
      <c r="AE11" s="516">
        <v>49879.78</v>
      </c>
      <c r="AF11" s="516">
        <v>51658.47</v>
      </c>
      <c r="AG11" s="916">
        <v>3.3100000000558794</v>
      </c>
      <c r="AH11" s="516">
        <v>0</v>
      </c>
      <c r="AL11" s="477">
        <f>AL10+1</f>
        <v>202208</v>
      </c>
      <c r="AM11" s="516">
        <v>-24582388.420000002</v>
      </c>
      <c r="AN11" s="516">
        <v>-23250295.469999999</v>
      </c>
      <c r="AO11" s="516">
        <v>-5882928.8099999996</v>
      </c>
      <c r="AP11" s="516">
        <v>-398795.45</v>
      </c>
      <c r="AQ11" s="516">
        <v>-106524.4</v>
      </c>
      <c r="AR11" s="516">
        <v>183818</v>
      </c>
      <c r="AS11" s="875">
        <f t="shared" si="2"/>
        <v>-54037114.550000004</v>
      </c>
      <c r="AU11" s="877">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13" t="s">
        <v>1128</v>
      </c>
      <c r="BK11" s="1414"/>
      <c r="BL11" s="1414"/>
      <c r="BM11" s="1414"/>
      <c r="BN11" s="1414"/>
      <c r="BO11" s="1414"/>
      <c r="BP11" s="1168"/>
      <c r="BQ11" s="1168"/>
      <c r="BU11" s="1396">
        <v>44166</v>
      </c>
      <c r="BV11" s="1397">
        <v>-1347915</v>
      </c>
      <c r="BW11" s="1398"/>
      <c r="BX11" s="1398"/>
      <c r="BY11" s="1398"/>
      <c r="BZ11" s="1398">
        <v>0</v>
      </c>
      <c r="CA11" s="1399">
        <f t="shared" si="0"/>
        <v>-1347915</v>
      </c>
      <c r="CB11" s="1397">
        <v>-308317</v>
      </c>
      <c r="CC11" s="1398"/>
      <c r="CD11" s="1398"/>
      <c r="CE11" s="1398"/>
      <c r="CF11" s="1398">
        <v>0</v>
      </c>
      <c r="CG11" s="1399">
        <f t="shared" si="1"/>
        <v>-308317</v>
      </c>
    </row>
    <row r="12" spans="1:85" ht="15" thickBot="1">
      <c r="A12" s="1389" t="s">
        <v>1129</v>
      </c>
      <c r="C12" s="1410"/>
      <c r="D12" s="1410"/>
      <c r="E12" s="1410"/>
      <c r="F12" s="1410"/>
      <c r="G12" s="1410"/>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68">
        <v>0</v>
      </c>
      <c r="V12" s="1168">
        <v>0</v>
      </c>
      <c r="W12" s="1168">
        <v>0</v>
      </c>
      <c r="X12" s="1168">
        <v>0</v>
      </c>
      <c r="Y12" s="1168">
        <v>0</v>
      </c>
      <c r="AA12" s="1412">
        <f t="shared" si="5"/>
        <v>202208</v>
      </c>
      <c r="AB12" s="516">
        <v>83882.41</v>
      </c>
      <c r="AC12" s="516">
        <v>232747.98</v>
      </c>
      <c r="AD12" s="516">
        <v>25579.06</v>
      </c>
      <c r="AE12" s="516">
        <v>35984.550000000003</v>
      </c>
      <c r="AF12" s="516">
        <v>37267.74</v>
      </c>
      <c r="AG12" s="916">
        <v>0</v>
      </c>
      <c r="AH12" s="516">
        <v>0</v>
      </c>
      <c r="AL12" s="477">
        <f>AL11+1</f>
        <v>202209</v>
      </c>
      <c r="AM12" s="516">
        <v>-21549131.879999999</v>
      </c>
      <c r="AN12" s="516">
        <v>-22588460.960000001</v>
      </c>
      <c r="AO12" s="516">
        <v>-6189409.46</v>
      </c>
      <c r="AP12" s="516">
        <v>-399614.14</v>
      </c>
      <c r="AQ12" s="516">
        <v>-106215.93</v>
      </c>
      <c r="AR12" s="516">
        <v>6474052</v>
      </c>
      <c r="AS12" s="875">
        <f t="shared" si="2"/>
        <v>-44358780.370000005</v>
      </c>
      <c r="AU12" s="877">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15">
        <v>7</v>
      </c>
      <c r="BK12" s="875">
        <v>-144763.74000000008</v>
      </c>
      <c r="BL12" s="875">
        <v>-299752.72999999946</v>
      </c>
      <c r="BM12" s="875">
        <v>-24633.570000000018</v>
      </c>
      <c r="BN12" s="875">
        <v>-66002.5</v>
      </c>
      <c r="BO12" s="875">
        <v>-535152.53999999957</v>
      </c>
      <c r="BP12" s="1168"/>
      <c r="BQ12" s="1416" t="s">
        <v>1130</v>
      </c>
      <c r="BU12" s="1417" t="s">
        <v>1131</v>
      </c>
      <c r="BV12" s="1418">
        <f t="shared" ref="BV12:CG12" si="6">SUM(BV5:BV11)</f>
        <v>3683983</v>
      </c>
      <c r="BW12" s="1419">
        <f t="shared" si="6"/>
        <v>0</v>
      </c>
      <c r="BX12" s="1419">
        <f t="shared" si="6"/>
        <v>0</v>
      </c>
      <c r="BY12" s="1419">
        <f t="shared" si="6"/>
        <v>0</v>
      </c>
      <c r="BZ12" s="1419">
        <f t="shared" si="6"/>
        <v>0</v>
      </c>
      <c r="CA12" s="1420">
        <f t="shared" si="6"/>
        <v>3683983</v>
      </c>
      <c r="CB12" s="1418">
        <f t="shared" si="6"/>
        <v>993301</v>
      </c>
      <c r="CC12" s="1419">
        <f t="shared" si="6"/>
        <v>0</v>
      </c>
      <c r="CD12" s="1419">
        <f t="shared" si="6"/>
        <v>0</v>
      </c>
      <c r="CE12" s="1419">
        <f t="shared" si="6"/>
        <v>0</v>
      </c>
      <c r="CF12" s="1419">
        <f t="shared" si="6"/>
        <v>0</v>
      </c>
      <c r="CG12" s="1420">
        <f t="shared" si="6"/>
        <v>993301</v>
      </c>
    </row>
    <row r="13" spans="1:85" ht="13.5" thickTop="1">
      <c r="A13" s="1389" t="s">
        <v>1132</v>
      </c>
      <c r="C13" s="1410">
        <f>E13+G13</f>
        <v>312316.12999999989</v>
      </c>
      <c r="D13" s="1421" t="s">
        <v>1133</v>
      </c>
      <c r="E13" s="1410">
        <f>'G-2.03 Uncoll'!AC23</f>
        <v>-269148.79999999993</v>
      </c>
      <c r="F13" s="1410"/>
      <c r="G13" s="1410">
        <f>'G-2.03 Uncoll'!AB23</f>
        <v>581464.92999999982</v>
      </c>
      <c r="H13" s="1422"/>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68">
        <v>0</v>
      </c>
      <c r="V13" s="1168">
        <v>0</v>
      </c>
      <c r="W13" s="1168">
        <v>0</v>
      </c>
      <c r="X13" s="1168">
        <v>0</v>
      </c>
      <c r="Y13" s="1168">
        <v>0</v>
      </c>
      <c r="AA13" s="1412">
        <f t="shared" si="5"/>
        <v>202209</v>
      </c>
      <c r="AB13" s="516">
        <v>88186.28</v>
      </c>
      <c r="AC13" s="516">
        <v>-159710.47</v>
      </c>
      <c r="AD13" s="516">
        <v>21789.54</v>
      </c>
      <c r="AE13" s="516">
        <v>-24692.41</v>
      </c>
      <c r="AF13" s="516">
        <v>-25572.94</v>
      </c>
      <c r="AG13" s="916">
        <v>0</v>
      </c>
      <c r="AH13" s="516">
        <v>0</v>
      </c>
      <c r="AL13" s="477">
        <f>AL12+1</f>
        <v>202210</v>
      </c>
      <c r="AM13" s="516">
        <v>-16112516.210000001</v>
      </c>
      <c r="AN13" s="516">
        <v>-19419694.34</v>
      </c>
      <c r="AO13" s="516">
        <v>-5409515.4900000002</v>
      </c>
      <c r="AP13" s="516">
        <v>-399434.32</v>
      </c>
      <c r="AQ13" s="516">
        <v>-104259.57</v>
      </c>
      <c r="AR13" s="516">
        <v>-1219317</v>
      </c>
      <c r="AS13" s="875">
        <f t="shared" si="2"/>
        <v>-42664736.93</v>
      </c>
      <c r="AU13" s="877">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15">
        <v>8</v>
      </c>
      <c r="BK13" s="875">
        <v>-61649.960000000006</v>
      </c>
      <c r="BL13" s="875">
        <v>-236359.08000000025</v>
      </c>
      <c r="BM13" s="875">
        <v>-9867.1499999999978</v>
      </c>
      <c r="BN13" s="875">
        <v>-54384.210000000006</v>
      </c>
      <c r="BO13" s="875">
        <v>-362260.40000000031</v>
      </c>
      <c r="BP13" s="1402"/>
      <c r="BQ13" s="1402"/>
      <c r="BU13" s="1196"/>
      <c r="BV13" s="1423"/>
      <c r="BW13" s="1424"/>
      <c r="BX13" s="1424"/>
      <c r="BY13" s="1424"/>
      <c r="BZ13" s="1424"/>
      <c r="CA13" s="1425"/>
      <c r="CB13" s="1423"/>
      <c r="CC13" s="1424"/>
      <c r="CD13" s="1424"/>
      <c r="CE13" s="1424"/>
      <c r="CF13" s="1424"/>
      <c r="CG13" s="1425"/>
    </row>
    <row r="14" spans="1:85">
      <c r="A14" s="1389" t="s">
        <v>1134</v>
      </c>
      <c r="C14" s="1410">
        <f>-'G-2.03 Uncoll'!BY63</f>
        <v>2335435.4299999997</v>
      </c>
      <c r="D14" s="1421" t="s">
        <v>1135</v>
      </c>
      <c r="E14" s="1410">
        <f>C14</f>
        <v>2335435.4299999997</v>
      </c>
      <c r="F14" s="1410"/>
      <c r="G14" s="1426">
        <v>0</v>
      </c>
      <c r="H14" s="1422"/>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68">
        <v>0</v>
      </c>
      <c r="V14" s="1168">
        <v>0</v>
      </c>
      <c r="W14" s="1168">
        <v>0</v>
      </c>
      <c r="X14" s="1168">
        <v>0</v>
      </c>
      <c r="Y14" s="1168">
        <v>0</v>
      </c>
      <c r="AA14" s="1412">
        <f t="shared" si="5"/>
        <v>202210</v>
      </c>
      <c r="AB14" s="516">
        <v>36602.980000000003</v>
      </c>
      <c r="AC14" s="516">
        <v>-226286.88</v>
      </c>
      <c r="AD14" s="516">
        <v>13042.6</v>
      </c>
      <c r="AE14" s="516">
        <v>-34985.61</v>
      </c>
      <c r="AF14" s="516">
        <v>-36233.19</v>
      </c>
      <c r="AG14" s="916">
        <v>0</v>
      </c>
      <c r="AH14" s="516">
        <v>0</v>
      </c>
      <c r="AL14" s="477">
        <f>AL13+1</f>
        <v>202211</v>
      </c>
      <c r="AM14" s="516">
        <v>-20869165.510000002</v>
      </c>
      <c r="AN14" s="516">
        <v>-18243261.760000002</v>
      </c>
      <c r="AO14" s="516">
        <v>-5041456.25</v>
      </c>
      <c r="AP14" s="516">
        <v>-400829.25</v>
      </c>
      <c r="AQ14" s="516">
        <v>-110546.22</v>
      </c>
      <c r="AR14" s="516">
        <v>-7279345</v>
      </c>
      <c r="AS14" s="875">
        <f t="shared" si="2"/>
        <v>-51944603.990000002</v>
      </c>
      <c r="AU14" s="877">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15">
        <v>9</v>
      </c>
      <c r="BK14" s="875">
        <v>-56447.430000000029</v>
      </c>
      <c r="BL14" s="875">
        <v>-194244.62000000017</v>
      </c>
      <c r="BM14" s="875">
        <v>-7080.84</v>
      </c>
      <c r="BN14" s="875">
        <v>-37388.249999999993</v>
      </c>
      <c r="BO14" s="875">
        <v>-295161.14000000019</v>
      </c>
      <c r="BU14" s="1427">
        <v>44197</v>
      </c>
      <c r="BV14" s="1428">
        <v>232817</v>
      </c>
      <c r="BW14" s="1429"/>
      <c r="BX14" s="1429"/>
      <c r="BY14" s="1429"/>
      <c r="BZ14" s="1429">
        <v>0</v>
      </c>
      <c r="CA14" s="1430">
        <f t="shared" ref="CA14:CA27" si="7">BV14+BZ14</f>
        <v>232817</v>
      </c>
      <c r="CB14" s="1428">
        <v>28940</v>
      </c>
      <c r="CC14" s="1429"/>
      <c r="CD14" s="1429"/>
      <c r="CE14" s="1429"/>
      <c r="CF14" s="1429">
        <v>0</v>
      </c>
      <c r="CG14" s="1430">
        <f t="shared" ref="CG14:CG27" si="8">CB14+CF14</f>
        <v>28940</v>
      </c>
    </row>
    <row r="15" spans="1:85">
      <c r="A15" s="1389" t="s">
        <v>1136</v>
      </c>
      <c r="C15" s="1431">
        <f>SUM(C13:C14)</f>
        <v>2647751.5599999996</v>
      </c>
      <c r="D15" s="1421"/>
      <c r="E15" s="1431">
        <f>SUM(E13:E14)</f>
        <v>2066286.63</v>
      </c>
      <c r="F15" s="1410"/>
      <c r="G15" s="1431">
        <f>SUM(G13:G14)</f>
        <v>581464.92999999982</v>
      </c>
      <c r="H15" s="1422"/>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68">
        <v>0</v>
      </c>
      <c r="V15" s="1168">
        <v>0</v>
      </c>
      <c r="W15" s="1168">
        <v>0</v>
      </c>
      <c r="X15" s="1168">
        <v>0</v>
      </c>
      <c r="Y15" s="1168">
        <v>0</v>
      </c>
      <c r="AA15" s="1412">
        <f t="shared" si="5"/>
        <v>202211</v>
      </c>
      <c r="AB15" s="516">
        <v>32112.97</v>
      </c>
      <c r="AC15" s="516">
        <v>-632945.56999999995</v>
      </c>
      <c r="AD15" s="516">
        <v>8256.26</v>
      </c>
      <c r="AE15" s="516">
        <v>-97858.04</v>
      </c>
      <c r="AF15" s="516">
        <v>-101347.62</v>
      </c>
      <c r="AG15" s="916">
        <v>0</v>
      </c>
      <c r="AH15" s="516">
        <v>0</v>
      </c>
      <c r="AL15" s="477">
        <f>AL14+1</f>
        <v>202212</v>
      </c>
      <c r="AM15" s="516">
        <v>-32231059.84</v>
      </c>
      <c r="AN15" s="516">
        <v>-21492355.109999999</v>
      </c>
      <c r="AO15" s="516">
        <v>-5127574.5599999996</v>
      </c>
      <c r="AP15" s="516">
        <v>-405056.33</v>
      </c>
      <c r="AQ15" s="516">
        <v>-125626.89</v>
      </c>
      <c r="AR15" s="516">
        <v>-1493014</v>
      </c>
      <c r="AS15" s="875">
        <f t="shared" si="2"/>
        <v>-60874686.730000004</v>
      </c>
      <c r="AU15" s="877">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15">
        <v>10</v>
      </c>
      <c r="BK15" s="875">
        <v>-71622.460000000036</v>
      </c>
      <c r="BL15" s="875">
        <v>-197881.01999999976</v>
      </c>
      <c r="BM15" s="875">
        <v>-8624.8100000000031</v>
      </c>
      <c r="BN15" s="875">
        <v>-34281.750000000007</v>
      </c>
      <c r="BO15" s="875">
        <v>-312410.0399999998</v>
      </c>
      <c r="BU15" s="1427">
        <v>44228</v>
      </c>
      <c r="BV15" s="1428">
        <v>229685.41627699998</v>
      </c>
      <c r="BW15" s="1429"/>
      <c r="BX15" s="1429"/>
      <c r="BY15" s="1429"/>
      <c r="BZ15" s="1429">
        <v>0</v>
      </c>
      <c r="CA15" s="1430">
        <f t="shared" si="7"/>
        <v>229685.41627699998</v>
      </c>
      <c r="CB15" s="1428">
        <v>28861.443722999989</v>
      </c>
      <c r="CC15" s="1429"/>
      <c r="CD15" s="1429"/>
      <c r="CE15" s="1429"/>
      <c r="CF15" s="1429">
        <v>0</v>
      </c>
      <c r="CG15" s="1430">
        <f t="shared" si="8"/>
        <v>28861.443722999989</v>
      </c>
    </row>
    <row r="16" spans="1:85">
      <c r="C16" s="1410"/>
      <c r="D16" s="1421"/>
      <c r="E16" s="1410"/>
      <c r="F16" s="1410"/>
      <c r="G16" s="1410"/>
      <c r="H16" s="1422"/>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68">
        <v>0</v>
      </c>
      <c r="V16" s="1168">
        <v>0</v>
      </c>
      <c r="W16" s="1168">
        <v>0</v>
      </c>
      <c r="X16" s="1168">
        <v>0</v>
      </c>
      <c r="Y16" s="1168">
        <v>0</v>
      </c>
      <c r="AA16" s="1412">
        <f t="shared" si="5"/>
        <v>202212</v>
      </c>
      <c r="AB16" s="516">
        <v>19628.97</v>
      </c>
      <c r="AC16" s="516">
        <v>-1289919.8</v>
      </c>
      <c r="AD16" s="516">
        <v>8837.6299999999992</v>
      </c>
      <c r="AE16" s="516">
        <v>-199431.08</v>
      </c>
      <c r="AF16" s="516">
        <v>-206542.72</v>
      </c>
      <c r="AG16" s="916">
        <v>0</v>
      </c>
      <c r="AH16" s="516">
        <v>0</v>
      </c>
      <c r="AL16" s="477">
        <f>AL15+89</f>
        <v>202301</v>
      </c>
      <c r="AM16" s="516">
        <v>-35011327.969999999</v>
      </c>
      <c r="AN16" s="516">
        <v>-23770922.960000001</v>
      </c>
      <c r="AO16" s="516">
        <v>-7220710.4400000004</v>
      </c>
      <c r="AP16" s="516">
        <v>-414062.37</v>
      </c>
      <c r="AQ16" s="516">
        <v>-141392.42000000001</v>
      </c>
      <c r="AR16" s="516">
        <v>9875626</v>
      </c>
      <c r="AS16" s="875">
        <f t="shared" si="2"/>
        <v>-56682790.159999996</v>
      </c>
      <c r="AU16" s="877">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15">
        <v>11</v>
      </c>
      <c r="BK16" s="875">
        <v>-45805.889999999978</v>
      </c>
      <c r="BL16" s="875">
        <v>-122118.15999999995</v>
      </c>
      <c r="BM16" s="875">
        <v>-3542.4500000000003</v>
      </c>
      <c r="BN16" s="875">
        <v>-19265.369999999992</v>
      </c>
      <c r="BO16" s="875">
        <v>-190731.86999999994</v>
      </c>
      <c r="BU16" s="1427">
        <v>44256</v>
      </c>
      <c r="BV16" s="1428">
        <v>496094.15846000006</v>
      </c>
      <c r="BW16" s="1429">
        <v>1757223.58</v>
      </c>
      <c r="BX16" s="1432"/>
      <c r="BY16" s="1429"/>
      <c r="BZ16" s="1429">
        <v>1757223.58</v>
      </c>
      <c r="CA16" s="1430">
        <f t="shared" si="7"/>
        <v>2253317.7384600001</v>
      </c>
      <c r="CB16" s="1428">
        <v>-678599.73845999991</v>
      </c>
      <c r="CC16" s="1429">
        <v>1150931.42</v>
      </c>
      <c r="CD16" s="1429"/>
      <c r="CE16" s="1429"/>
      <c r="CF16" s="1429">
        <v>1150931.42</v>
      </c>
      <c r="CG16" s="1430">
        <f t="shared" si="8"/>
        <v>472331.68154000002</v>
      </c>
    </row>
    <row r="17" spans="1:85">
      <c r="C17" s="1410"/>
      <c r="D17" s="1410"/>
      <c r="E17" s="1410"/>
      <c r="F17" s="1410"/>
      <c r="G17" s="1410"/>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68">
        <v>0</v>
      </c>
      <c r="V17" s="1168">
        <v>0</v>
      </c>
      <c r="W17" s="1168">
        <v>0</v>
      </c>
      <c r="X17" s="1168">
        <v>0</v>
      </c>
      <c r="Y17" s="1168">
        <v>0</v>
      </c>
      <c r="AA17" s="1412">
        <f t="shared" si="5"/>
        <v>202301</v>
      </c>
      <c r="AB17" s="516">
        <v>43341.59</v>
      </c>
      <c r="AC17" s="516">
        <v>160559.73000000001</v>
      </c>
      <c r="AD17" s="516">
        <v>15538.57</v>
      </c>
      <c r="AE17" s="516">
        <v>14244.38</v>
      </c>
      <c r="AF17" s="516">
        <v>10076.290000000001</v>
      </c>
      <c r="AG17" s="916">
        <v>0</v>
      </c>
      <c r="AH17" s="516">
        <v>0</v>
      </c>
      <c r="AL17" s="477">
        <f>AL16+1</f>
        <v>202302</v>
      </c>
      <c r="AM17" s="516">
        <v>-26697167.41</v>
      </c>
      <c r="AN17" s="516">
        <v>-16189934</v>
      </c>
      <c r="AO17" s="516">
        <v>-2527448.15</v>
      </c>
      <c r="AP17" s="516">
        <v>-336970.16</v>
      </c>
      <c r="AQ17" s="516">
        <v>-125469.81</v>
      </c>
      <c r="AR17" s="516">
        <v>-3124879</v>
      </c>
      <c r="AS17" s="875">
        <f t="shared" si="2"/>
        <v>-49001868.529999994</v>
      </c>
      <c r="AU17" s="877">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15">
        <v>12</v>
      </c>
      <c r="BK17" s="875">
        <v>-52695.660000000018</v>
      </c>
      <c r="BL17" s="875">
        <v>-138852.81000000003</v>
      </c>
      <c r="BM17" s="875">
        <v>-5042.3900000000003</v>
      </c>
      <c r="BN17" s="875">
        <v>-15099.789999999985</v>
      </c>
      <c r="BO17" s="875">
        <v>-211690.65000000002</v>
      </c>
      <c r="BU17" s="1396">
        <v>44256</v>
      </c>
      <c r="BV17" s="1397">
        <v>1203855.95</v>
      </c>
      <c r="BW17" s="1433"/>
      <c r="BX17" s="1433"/>
      <c r="BY17" s="1398"/>
      <c r="BZ17" s="1398">
        <v>0</v>
      </c>
      <c r="CA17" s="1399">
        <f t="shared" si="7"/>
        <v>1203855.95</v>
      </c>
      <c r="CB17" s="1397">
        <v>324591.76999999979</v>
      </c>
      <c r="CC17" s="1433"/>
      <c r="CD17" s="1433"/>
      <c r="CE17" s="1398"/>
      <c r="CF17" s="1398">
        <v>0</v>
      </c>
      <c r="CG17" s="1399">
        <f t="shared" si="8"/>
        <v>324591.76999999979</v>
      </c>
    </row>
    <row r="18" spans="1:85" ht="13.5" thickBot="1">
      <c r="A18" s="1389" t="s">
        <v>1137</v>
      </c>
      <c r="C18" s="1434">
        <f>C11-C15</f>
        <v>865158.44000000041</v>
      </c>
      <c r="D18" s="1410"/>
      <c r="E18" s="1435">
        <f>E11-E15</f>
        <v>912001.37000000011</v>
      </c>
      <c r="F18" s="1410"/>
      <c r="G18" s="1434">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68">
        <v>0</v>
      </c>
      <c r="V18" s="1168">
        <v>0</v>
      </c>
      <c r="W18" s="1168">
        <v>0</v>
      </c>
      <c r="X18" s="1168">
        <v>0</v>
      </c>
      <c r="Y18" s="1168">
        <v>0</v>
      </c>
      <c r="AA18" s="1412">
        <f t="shared" si="5"/>
        <v>202302</v>
      </c>
      <c r="AB18" s="516">
        <v>1322.87</v>
      </c>
      <c r="AC18" s="516">
        <v>57934.75</v>
      </c>
      <c r="AD18" s="516">
        <v>7196.95</v>
      </c>
      <c r="AE18" s="516">
        <v>4143.71</v>
      </c>
      <c r="AF18" s="516">
        <v>7815.37</v>
      </c>
      <c r="AG18" s="916">
        <v>0</v>
      </c>
      <c r="AH18" s="516">
        <v>0</v>
      </c>
      <c r="AL18" s="477">
        <f>AL17+1</f>
        <v>202303</v>
      </c>
      <c r="AM18" s="516">
        <v>-31268781.989999998</v>
      </c>
      <c r="AN18" s="516">
        <v>-23592790.91</v>
      </c>
      <c r="AO18" s="516">
        <v>-5294241.84</v>
      </c>
      <c r="AP18" s="516">
        <v>-514817.14</v>
      </c>
      <c r="AQ18" s="516">
        <v>-121594.33</v>
      </c>
      <c r="AR18" s="516">
        <v>5854537</v>
      </c>
      <c r="AS18" s="875">
        <f t="shared" si="2"/>
        <v>-54937689.209999993</v>
      </c>
      <c r="AU18" s="877">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15">
        <v>1</v>
      </c>
      <c r="BK18" s="875">
        <v>-58018.469999999987</v>
      </c>
      <c r="BL18" s="875">
        <v>-156738.2000000003</v>
      </c>
      <c r="BM18" s="875">
        <v>-7876.8700000000008</v>
      </c>
      <c r="BN18" s="875">
        <v>-19156.300000000007</v>
      </c>
      <c r="BO18" s="875">
        <v>-241789.84000000029</v>
      </c>
      <c r="BU18" s="1427">
        <v>44287</v>
      </c>
      <c r="BV18" s="1428">
        <v>-695563.66</v>
      </c>
      <c r="BW18" s="1429">
        <v>767335.66</v>
      </c>
      <c r="BX18" s="1429">
        <v>915.12</v>
      </c>
      <c r="BY18" s="1429"/>
      <c r="BZ18" s="1429">
        <v>768250.78</v>
      </c>
      <c r="CA18" s="1430">
        <f t="shared" si="7"/>
        <v>72687.12</v>
      </c>
      <c r="CB18" s="1428">
        <v>611369.73</v>
      </c>
      <c r="CC18" s="1429">
        <v>-628973.73</v>
      </c>
      <c r="CD18" s="1429">
        <v>270.56</v>
      </c>
      <c r="CE18" s="1429"/>
      <c r="CF18" s="1429">
        <v>-628703.16999999993</v>
      </c>
      <c r="CG18" s="1430">
        <f t="shared" si="8"/>
        <v>-17333.439999999944</v>
      </c>
    </row>
    <row r="19" spans="1:85" ht="13.5" thickTop="1">
      <c r="C19" s="1410"/>
      <c r="D19" s="1410"/>
      <c r="E19" s="1410"/>
      <c r="G19" s="1410"/>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68">
        <v>0</v>
      </c>
      <c r="V19" s="1168">
        <v>0</v>
      </c>
      <c r="W19" s="1168">
        <v>0</v>
      </c>
      <c r="X19" s="1168">
        <v>0</v>
      </c>
      <c r="Y19" s="1168">
        <v>0</v>
      </c>
      <c r="AA19" s="1412">
        <f t="shared" si="5"/>
        <v>202303</v>
      </c>
      <c r="AB19" s="516">
        <v>79364.12</v>
      </c>
      <c r="AC19" s="516">
        <v>592880.62</v>
      </c>
      <c r="AD19" s="516">
        <v>16212.52</v>
      </c>
      <c r="AE19" s="516">
        <v>125721.59</v>
      </c>
      <c r="AF19" s="516">
        <v>85821.15</v>
      </c>
      <c r="AG19" s="916">
        <v>0</v>
      </c>
      <c r="AH19" s="516">
        <v>0</v>
      </c>
      <c r="AL19" s="477">
        <f>AL18+1</f>
        <v>202304</v>
      </c>
      <c r="AM19" s="516">
        <v>-21784837.640000001</v>
      </c>
      <c r="AN19" s="516">
        <v>-18025001.870000001</v>
      </c>
      <c r="AO19" s="516">
        <v>-4866871.1100000003</v>
      </c>
      <c r="AP19" s="516">
        <v>-388222.77</v>
      </c>
      <c r="AQ19" s="516">
        <v>-117664.9</v>
      </c>
      <c r="AR19" s="516">
        <v>183236</v>
      </c>
      <c r="AS19" s="875">
        <f t="shared" si="2"/>
        <v>-44999362.290000007</v>
      </c>
      <c r="AU19" s="877">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15">
        <v>2</v>
      </c>
      <c r="BK19" s="875">
        <v>-34500.660000000003</v>
      </c>
      <c r="BL19" s="875">
        <v>-124871.76999999983</v>
      </c>
      <c r="BM19" s="875">
        <v>-8140.9400000000005</v>
      </c>
      <c r="BN19" s="875">
        <v>-21608.13</v>
      </c>
      <c r="BO19" s="875">
        <v>-189121.49999999983</v>
      </c>
      <c r="BU19" s="1427">
        <v>44317</v>
      </c>
      <c r="BV19" s="1428">
        <v>-330639.15999999997</v>
      </c>
      <c r="BW19" s="1429">
        <v>361863.16</v>
      </c>
      <c r="BX19" s="1429">
        <v>134756.83000000002</v>
      </c>
      <c r="BY19" s="1429"/>
      <c r="BZ19" s="1429">
        <v>496619.99</v>
      </c>
      <c r="CA19" s="1430">
        <f t="shared" si="7"/>
        <v>165980.83000000002</v>
      </c>
      <c r="CB19" s="1428">
        <v>-89610.52</v>
      </c>
      <c r="CC19" s="1429">
        <v>87397.52</v>
      </c>
      <c r="CD19" s="1429">
        <v>39841.03</v>
      </c>
      <c r="CE19" s="1429"/>
      <c r="CF19" s="1429">
        <v>127238.55</v>
      </c>
      <c r="CG19" s="1430">
        <f t="shared" si="8"/>
        <v>37628.03</v>
      </c>
    </row>
    <row r="20" spans="1:85">
      <c r="A20" s="1389" t="s">
        <v>1138</v>
      </c>
      <c r="C20" s="1436">
        <f>SUM(E20,G20)</f>
        <v>1</v>
      </c>
      <c r="D20" s="1437"/>
      <c r="E20" s="1437">
        <v>0.65115999999999996</v>
      </c>
      <c r="F20" s="1438"/>
      <c r="G20" s="1437">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68">
        <v>0</v>
      </c>
      <c r="V20" s="1168">
        <v>0</v>
      </c>
      <c r="W20" s="1168">
        <v>0</v>
      </c>
      <c r="X20" s="1168">
        <v>0</v>
      </c>
      <c r="Y20" s="1168">
        <v>0</v>
      </c>
      <c r="AA20" s="1412">
        <f t="shared" si="5"/>
        <v>202304</v>
      </c>
      <c r="AB20" s="516">
        <v>30744.25</v>
      </c>
      <c r="AC20" s="516">
        <v>229671.44</v>
      </c>
      <c r="AD20" s="516">
        <v>6280.44</v>
      </c>
      <c r="AE20" s="516">
        <v>48702.32</v>
      </c>
      <c r="AF20" s="516">
        <v>33245.589999999997</v>
      </c>
      <c r="AG20" s="916">
        <v>0</v>
      </c>
      <c r="AH20" s="516">
        <v>0</v>
      </c>
      <c r="AL20" s="477">
        <f>AL19+1</f>
        <v>202305</v>
      </c>
      <c r="AM20" s="516">
        <v>-20071697</v>
      </c>
      <c r="AN20" s="516">
        <v>-20712984.66</v>
      </c>
      <c r="AO20" s="516">
        <v>-5285773.34</v>
      </c>
      <c r="AP20" s="516">
        <v>-465376.49</v>
      </c>
      <c r="AQ20" s="516">
        <v>-100333.53</v>
      </c>
      <c r="AR20" s="516">
        <v>1185360</v>
      </c>
      <c r="AS20" s="875">
        <f t="shared" si="2"/>
        <v>-45450805.020000003</v>
      </c>
      <c r="AU20" s="877">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15">
        <v>3</v>
      </c>
      <c r="BK20" s="875">
        <v>-36286.100000000006</v>
      </c>
      <c r="BL20" s="875">
        <v>-138938.17000000007</v>
      </c>
      <c r="BM20" s="875">
        <v>-6556.1199999999981</v>
      </c>
      <c r="BN20" s="875">
        <v>-21562.849999999995</v>
      </c>
      <c r="BO20" s="875">
        <v>-203343.24000000008</v>
      </c>
      <c r="BU20" s="1396">
        <v>44317</v>
      </c>
      <c r="BV20" s="1397">
        <v>-23124.520000001401</v>
      </c>
      <c r="BW20" s="1398"/>
      <c r="BX20" s="1398"/>
      <c r="BY20" s="1398"/>
      <c r="BZ20" s="1398">
        <v>0</v>
      </c>
      <c r="CA20" s="1399">
        <f t="shared" si="7"/>
        <v>-23124.520000001401</v>
      </c>
      <c r="CB20" s="1397">
        <v>-6234.9899999999907</v>
      </c>
      <c r="CC20" s="1398"/>
      <c r="CD20" s="1398"/>
      <c r="CE20" s="1398"/>
      <c r="CF20" s="1398">
        <v>0</v>
      </c>
      <c r="CG20" s="1399">
        <f t="shared" si="8"/>
        <v>-6234.9899999999907</v>
      </c>
    </row>
    <row r="21" spans="1:85">
      <c r="C21" s="1410"/>
      <c r="D21" s="1410"/>
      <c r="E21" s="1410"/>
      <c r="F21" s="1410"/>
      <c r="G21" s="1410"/>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68">
        <v>0</v>
      </c>
      <c r="V21" s="1168">
        <v>0</v>
      </c>
      <c r="W21" s="1168">
        <v>0</v>
      </c>
      <c r="X21" s="1168">
        <v>0</v>
      </c>
      <c r="Y21" s="1168">
        <v>0</v>
      </c>
      <c r="AA21" s="1412">
        <f t="shared" si="5"/>
        <v>202305</v>
      </c>
      <c r="AB21" s="516">
        <v>21311.88</v>
      </c>
      <c r="AC21" s="516">
        <v>159207.97</v>
      </c>
      <c r="AD21" s="516">
        <v>4353.6000000000004</v>
      </c>
      <c r="AE21" s="516">
        <v>33760.39</v>
      </c>
      <c r="AF21" s="516">
        <v>23045.8</v>
      </c>
      <c r="AG21" s="916">
        <v>0</v>
      </c>
      <c r="AH21" s="516">
        <v>0</v>
      </c>
      <c r="AL21" s="477">
        <f>AL20+1</f>
        <v>202306</v>
      </c>
      <c r="AM21" s="516">
        <v>-18888507.57</v>
      </c>
      <c r="AN21" s="516">
        <v>-20398475.399999999</v>
      </c>
      <c r="AO21" s="516">
        <v>-5627204.9100000001</v>
      </c>
      <c r="AP21" s="516">
        <v>-426982.49</v>
      </c>
      <c r="AQ21" s="516">
        <v>-68026.69</v>
      </c>
      <c r="AR21" s="516">
        <v>-925550</v>
      </c>
      <c r="AS21" s="875">
        <f t="shared" si="2"/>
        <v>-46334747.059999995</v>
      </c>
      <c r="AU21" s="877">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15">
        <v>4</v>
      </c>
      <c r="BK21" s="875">
        <v>-65494.790000000008</v>
      </c>
      <c r="BL21" s="875">
        <v>-241083.90000000011</v>
      </c>
      <c r="BM21" s="875">
        <v>-12349.550000000003</v>
      </c>
      <c r="BN21" s="875">
        <v>-56665.510000000024</v>
      </c>
      <c r="BO21" s="875">
        <v>-375593.75000000012</v>
      </c>
      <c r="BU21" s="1427">
        <v>44348</v>
      </c>
      <c r="BV21" s="1428">
        <v>-567691.7799999998</v>
      </c>
      <c r="BW21" s="1429">
        <v>2125134.7799999998</v>
      </c>
      <c r="BX21" s="1429">
        <v>78532.97</v>
      </c>
      <c r="BY21" s="1429"/>
      <c r="BZ21" s="1429">
        <v>2203667.75</v>
      </c>
      <c r="CA21" s="1430">
        <f t="shared" si="7"/>
        <v>1635975.9700000002</v>
      </c>
      <c r="CB21" s="1428">
        <v>-165085.77000000002</v>
      </c>
      <c r="CC21" s="1429">
        <v>497870.77</v>
      </c>
      <c r="CD21" s="1429">
        <v>23218.37</v>
      </c>
      <c r="CE21" s="1429"/>
      <c r="CF21" s="1429">
        <v>521089.14</v>
      </c>
      <c r="CG21" s="1430">
        <f t="shared" si="8"/>
        <v>356003.37</v>
      </c>
    </row>
    <row r="22" spans="1:85" ht="13.5" thickBot="1">
      <c r="C22" s="1410"/>
      <c r="D22" s="1410"/>
      <c r="E22" s="1410"/>
      <c r="G22" s="1410"/>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68">
        <v>0</v>
      </c>
      <c r="V22" s="1168">
        <v>0</v>
      </c>
      <c r="W22" s="1168">
        <v>0</v>
      </c>
      <c r="X22" s="1168">
        <v>0</v>
      </c>
      <c r="Y22" s="1168">
        <v>0</v>
      </c>
      <c r="AA22" s="1412">
        <f t="shared" si="5"/>
        <v>202306</v>
      </c>
      <c r="AB22" s="516">
        <v>38028.71</v>
      </c>
      <c r="AC22" s="516">
        <v>284089.15000000002</v>
      </c>
      <c r="AD22" s="516">
        <v>7768.51</v>
      </c>
      <c r="AE22" s="516">
        <v>60241.71</v>
      </c>
      <c r="AF22" s="516">
        <v>41122.71</v>
      </c>
      <c r="AG22" s="916">
        <v>0</v>
      </c>
      <c r="AH22" s="516">
        <v>0</v>
      </c>
      <c r="AM22" s="1208">
        <f t="shared" ref="AM22:AS22" si="9">SUM(AM10:AM21)</f>
        <v>-287920192.08000004</v>
      </c>
      <c r="AN22" s="1208">
        <f t="shared" si="9"/>
        <v>-248269931.34999999</v>
      </c>
      <c r="AO22" s="1208">
        <f t="shared" si="9"/>
        <v>-64199133.679999992</v>
      </c>
      <c r="AP22" s="1208">
        <f t="shared" si="9"/>
        <v>-4860165.8600000003</v>
      </c>
      <c r="AQ22" s="1208">
        <f t="shared" si="9"/>
        <v>-1324196.98</v>
      </c>
      <c r="AR22" s="1208">
        <f t="shared" si="9"/>
        <v>5100673</v>
      </c>
      <c r="AS22" s="1208">
        <f t="shared" si="9"/>
        <v>-601472946.94999993</v>
      </c>
      <c r="AV22" s="1208">
        <f t="shared" ref="AV22:BE22" si="10">SUM(AV10:AV21)</f>
        <v>-134790138.06999999</v>
      </c>
      <c r="AW22" s="1208">
        <f t="shared" si="10"/>
        <v>-92377247.780000016</v>
      </c>
      <c r="AX22" s="1208">
        <f t="shared" si="10"/>
        <v>-54653968.63000001</v>
      </c>
      <c r="AY22" s="1208">
        <f t="shared" si="10"/>
        <v>-2781992.9600000004</v>
      </c>
      <c r="AZ22" s="1208">
        <f t="shared" si="10"/>
        <v>-216962.7</v>
      </c>
      <c r="BA22" s="1208">
        <f t="shared" si="10"/>
        <v>2421242</v>
      </c>
      <c r="BB22" s="1208">
        <f t="shared" si="10"/>
        <v>-18239.93</v>
      </c>
      <c r="BC22" s="1208">
        <f t="shared" si="10"/>
        <v>-50367.749999999993</v>
      </c>
      <c r="BD22" s="1208">
        <f t="shared" si="10"/>
        <v>-35990.03</v>
      </c>
      <c r="BE22" s="1208">
        <f t="shared" si="10"/>
        <v>-282503665.85000002</v>
      </c>
      <c r="BJ22" s="1415">
        <v>5</v>
      </c>
      <c r="BK22" s="875">
        <v>-61482.009999999973</v>
      </c>
      <c r="BL22" s="875">
        <v>-234657.62000000002</v>
      </c>
      <c r="BM22" s="875">
        <v>-11720.769999999999</v>
      </c>
      <c r="BN22" s="875">
        <v>-63537.549999999974</v>
      </c>
      <c r="BO22" s="875">
        <v>-371397.95</v>
      </c>
      <c r="BU22" s="1427">
        <v>44378</v>
      </c>
      <c r="BV22" s="1428">
        <v>480411.69</v>
      </c>
      <c r="BW22" s="1429">
        <v>156748.31</v>
      </c>
      <c r="BX22" s="1429">
        <v>48165.41</v>
      </c>
      <c r="BY22" s="1429"/>
      <c r="BZ22" s="1429">
        <v>204913.72</v>
      </c>
      <c r="CA22" s="1430">
        <f t="shared" si="7"/>
        <v>685325.41</v>
      </c>
      <c r="CB22" s="1428">
        <v>111890.01999999999</v>
      </c>
      <c r="CC22" s="1429">
        <v>37346.980000000003</v>
      </c>
      <c r="CD22" s="1429">
        <v>14240.17</v>
      </c>
      <c r="CE22" s="1429"/>
      <c r="CF22" s="1429">
        <v>51587.15</v>
      </c>
      <c r="CG22" s="1430">
        <f t="shared" si="8"/>
        <v>163477.16999999998</v>
      </c>
    </row>
    <row r="23" spans="1:85" ht="13.5" thickBot="1">
      <c r="A23" s="1388" t="s">
        <v>78</v>
      </c>
      <c r="B23" s="1410"/>
      <c r="C23" s="1410"/>
      <c r="D23" s="1410"/>
      <c r="E23" s="1410"/>
      <c r="F23" s="1410"/>
      <c r="G23" s="1410"/>
      <c r="L23" s="1439">
        <f t="shared" ref="L23:Y23" si="11">SUM(L11:L22)</f>
        <v>877018.52999999991</v>
      </c>
      <c r="M23" s="1440">
        <f t="shared" si="11"/>
        <v>5467510.2999999989</v>
      </c>
      <c r="N23" s="1439">
        <f t="shared" si="11"/>
        <v>203599.30000000002</v>
      </c>
      <c r="O23" s="1440">
        <f t="shared" si="11"/>
        <v>1341007.74</v>
      </c>
      <c r="P23" s="1439">
        <f t="shared" si="11"/>
        <v>-287395.39</v>
      </c>
      <c r="Q23" s="1441">
        <f t="shared" si="11"/>
        <v>-2182270</v>
      </c>
      <c r="R23" s="1439">
        <f t="shared" si="11"/>
        <v>-57234.85</v>
      </c>
      <c r="S23" s="1441">
        <f t="shared" si="11"/>
        <v>-401726.42999999988</v>
      </c>
      <c r="T23" s="1439">
        <f t="shared" si="11"/>
        <v>0</v>
      </c>
      <c r="U23" s="1439">
        <f t="shared" si="11"/>
        <v>0</v>
      </c>
      <c r="V23" s="1439">
        <f t="shared" si="11"/>
        <v>0</v>
      </c>
      <c r="W23" s="1439">
        <f t="shared" si="11"/>
        <v>0</v>
      </c>
      <c r="X23" s="1439">
        <f t="shared" si="11"/>
        <v>0</v>
      </c>
      <c r="Y23" s="1439">
        <f t="shared" si="11"/>
        <v>0</v>
      </c>
      <c r="AA23" s="633" t="s">
        <v>1139</v>
      </c>
      <c r="AB23" s="1442">
        <f>SUM(AB11:AB22)</f>
        <v>581464.92999999982</v>
      </c>
      <c r="AC23" s="1442">
        <f>SUM(AC11:AC22)</f>
        <v>-269148.79999999993</v>
      </c>
      <c r="AD23" s="1442">
        <f>SUM(AD11:AD22)</f>
        <v>164096.25000000003</v>
      </c>
      <c r="AE23" s="1442">
        <f>SUM(AE11:AE22)</f>
        <v>15711.29</v>
      </c>
      <c r="AF23" s="1442">
        <f>SUM(AF11:AF22)</f>
        <v>-79643.350000000035</v>
      </c>
      <c r="AL23" s="867"/>
      <c r="AM23" s="867"/>
      <c r="AN23" s="867"/>
      <c r="AO23" s="867"/>
      <c r="AP23" s="867"/>
      <c r="AQ23" s="867"/>
      <c r="AR23" s="867"/>
      <c r="AS23" s="1443" t="s">
        <v>485</v>
      </c>
      <c r="AT23" s="867"/>
      <c r="AU23" s="867"/>
      <c r="AV23" s="867"/>
      <c r="AW23" s="867"/>
      <c r="AX23" s="867"/>
      <c r="AY23" s="867"/>
      <c r="AZ23" s="867"/>
      <c r="BA23" s="867"/>
      <c r="BB23" s="867"/>
      <c r="BC23" s="867"/>
      <c r="BD23" s="867"/>
      <c r="BE23" s="1443" t="s">
        <v>485</v>
      </c>
      <c r="BJ23" s="1415">
        <v>6</v>
      </c>
      <c r="BK23" s="875">
        <v>-92597.860000000015</v>
      </c>
      <c r="BL23" s="875">
        <v>-280174.56</v>
      </c>
      <c r="BM23" s="875">
        <v>-16540.079999999998</v>
      </c>
      <c r="BN23" s="875">
        <v>-80817.489999999962</v>
      </c>
      <c r="BO23" s="875">
        <v>-470129.99</v>
      </c>
      <c r="BU23" s="1427">
        <v>44409</v>
      </c>
      <c r="BV23" s="1428">
        <v>-92126.69</v>
      </c>
      <c r="BW23" s="1429">
        <v>38140.69</v>
      </c>
      <c r="BX23" s="1429">
        <v>-133939.0417579872</v>
      </c>
      <c r="BY23" s="1429">
        <v>145313.37804883515</v>
      </c>
      <c r="BZ23" s="1429">
        <v>49515.026290847949</v>
      </c>
      <c r="CA23" s="1430">
        <f t="shared" si="7"/>
        <v>-42611.663709152053</v>
      </c>
      <c r="CB23" s="1428">
        <v>3522.1400000000003</v>
      </c>
      <c r="CC23" s="1429">
        <v>5320.86</v>
      </c>
      <c r="CD23" s="1429">
        <v>-50501.418242012791</v>
      </c>
      <c r="CE23" s="1429">
        <v>32157.905098480242</v>
      </c>
      <c r="CF23" s="1429">
        <v>-13022.653143532549</v>
      </c>
      <c r="CG23" s="1430">
        <f t="shared" si="8"/>
        <v>-9500.5131435325493</v>
      </c>
    </row>
    <row r="24" spans="1:85">
      <c r="A24" s="1389" t="s">
        <v>1127</v>
      </c>
      <c r="C24" s="1410">
        <f>E24+G24</f>
        <v>1447600</v>
      </c>
      <c r="D24" s="1410"/>
      <c r="E24" s="1410">
        <f>G47</f>
        <v>1246234</v>
      </c>
      <c r="F24" s="1410"/>
      <c r="G24" s="1410">
        <f>G54</f>
        <v>201366</v>
      </c>
      <c r="L24" s="875"/>
      <c r="M24" s="875"/>
      <c r="N24" s="875"/>
      <c r="O24" s="875"/>
      <c r="P24" s="875"/>
      <c r="Q24" s="875"/>
      <c r="R24" s="875"/>
      <c r="S24" s="875"/>
      <c r="T24" s="875"/>
      <c r="U24" s="875"/>
      <c r="V24" s="875"/>
      <c r="W24" s="875"/>
      <c r="X24" s="875"/>
      <c r="Y24" s="1443"/>
      <c r="AB24" s="1443" t="s">
        <v>485</v>
      </c>
      <c r="AC24" s="1443" t="s">
        <v>485</v>
      </c>
      <c r="AD24" s="1443" t="s">
        <v>485</v>
      </c>
      <c r="AE24" s="1443" t="s">
        <v>485</v>
      </c>
      <c r="AF24" s="1443"/>
      <c r="BJ24" s="1413" t="s">
        <v>1140</v>
      </c>
      <c r="BK24" s="1414"/>
      <c r="BL24" s="1414"/>
      <c r="BM24" s="1414"/>
      <c r="BN24" s="1414"/>
      <c r="BO24" s="1414"/>
      <c r="BU24" s="1427">
        <v>44440</v>
      </c>
      <c r="BV24" s="1428">
        <v>350900</v>
      </c>
      <c r="BW24" s="1429">
        <v>0</v>
      </c>
      <c r="BX24" s="1429">
        <v>4563.3804592795241</v>
      </c>
      <c r="BY24" s="1429">
        <v>15388.4</v>
      </c>
      <c r="BZ24" s="1429">
        <v>19951.780459279522</v>
      </c>
      <c r="CA24" s="1430">
        <f t="shared" si="7"/>
        <v>370851.78045927954</v>
      </c>
      <c r="CB24" s="1428">
        <v>88895</v>
      </c>
      <c r="CC24" s="1429">
        <v>0</v>
      </c>
      <c r="CD24" s="1429">
        <v>636.61954072047581</v>
      </c>
      <c r="CE24" s="1429">
        <v>2146.77</v>
      </c>
      <c r="CF24" s="1429">
        <v>2783.3895407204759</v>
      </c>
      <c r="CG24" s="1430">
        <f t="shared" si="8"/>
        <v>91678.389540720469</v>
      </c>
    </row>
    <row r="25" spans="1:85">
      <c r="A25" s="1389" t="s">
        <v>1129</v>
      </c>
      <c r="C25" s="1410"/>
      <c r="D25" s="1410"/>
      <c r="E25" s="1410"/>
      <c r="F25" s="1410"/>
      <c r="G25" s="1410"/>
      <c r="L25" s="1444"/>
      <c r="M25" s="1444"/>
      <c r="N25" s="1444"/>
      <c r="O25" s="1444"/>
      <c r="P25" s="875"/>
      <c r="Q25" s="875"/>
      <c r="R25" s="875"/>
      <c r="S25" s="875"/>
      <c r="T25" s="875"/>
      <c r="U25" s="875"/>
      <c r="V25" s="875"/>
      <c r="W25" s="875"/>
      <c r="X25" s="875"/>
      <c r="Y25" s="875"/>
      <c r="Z25" s="1226"/>
      <c r="AA25" s="633"/>
      <c r="AS25" s="1445">
        <f>AS10</f>
        <v>-50185762.109999999</v>
      </c>
      <c r="AV25" s="1078">
        <v>0.89119999999999999</v>
      </c>
      <c r="BJ25" s="1415">
        <v>7</v>
      </c>
      <c r="BK25" s="875">
        <v>-27119.230000000014</v>
      </c>
      <c r="BL25" s="875">
        <v>-59928.960000000006</v>
      </c>
      <c r="BM25" s="875">
        <v>-5947.08</v>
      </c>
      <c r="BN25" s="875">
        <v>-13986.800000000001</v>
      </c>
      <c r="BO25" s="875">
        <v>-106982.07000000002</v>
      </c>
      <c r="BQ25" s="1446" t="s">
        <v>1141</v>
      </c>
      <c r="BU25" s="1427">
        <v>44470</v>
      </c>
      <c r="BV25" s="1428">
        <v>-956020</v>
      </c>
      <c r="BW25" s="1429">
        <v>0</v>
      </c>
      <c r="BX25" s="1429">
        <v>0</v>
      </c>
      <c r="BY25" s="1429">
        <v>0</v>
      </c>
      <c r="BZ25" s="1429">
        <v>0</v>
      </c>
      <c r="CA25" s="1430">
        <f t="shared" si="7"/>
        <v>-956020</v>
      </c>
      <c r="CB25" s="1428">
        <v>-188935</v>
      </c>
      <c r="CC25" s="1429">
        <v>0</v>
      </c>
      <c r="CD25" s="1429">
        <v>0</v>
      </c>
      <c r="CE25" s="1429">
        <v>0</v>
      </c>
      <c r="CF25" s="1429">
        <v>0</v>
      </c>
      <c r="CG25" s="1430">
        <f t="shared" si="8"/>
        <v>-188935</v>
      </c>
    </row>
    <row r="26" spans="1:85">
      <c r="A26" s="1389" t="s">
        <v>1132</v>
      </c>
      <c r="C26" s="1410">
        <f>E26+G26</f>
        <v>179807.54000000004</v>
      </c>
      <c r="D26" s="1421" t="s">
        <v>1133</v>
      </c>
      <c r="E26" s="1410">
        <f>'G-2.03 Uncoll'!AE23</f>
        <v>15711.29</v>
      </c>
      <c r="F26" s="1410"/>
      <c r="G26" s="1410">
        <f>'G-2.03 Uncoll'!AD23</f>
        <v>164096.25000000003</v>
      </c>
      <c r="H26" s="1422"/>
      <c r="L26" s="1444"/>
      <c r="M26" s="1444"/>
      <c r="N26" s="1444"/>
      <c r="O26" s="1444"/>
      <c r="P26" s="875"/>
      <c r="Q26" s="875"/>
      <c r="R26" s="875"/>
      <c r="S26" s="875"/>
      <c r="T26" s="875"/>
      <c r="U26" s="875"/>
      <c r="V26" s="875"/>
      <c r="W26" s="875"/>
      <c r="X26" s="875"/>
      <c r="AB26" s="1446" t="s">
        <v>82</v>
      </c>
      <c r="AC26" s="1446"/>
      <c r="AD26" s="1446"/>
      <c r="AE26" s="1446"/>
      <c r="AF26" s="1446"/>
      <c r="AS26" s="1445">
        <f>SUM(AS10:AS11)</f>
        <v>-104222876.66</v>
      </c>
      <c r="AV26" s="1078">
        <v>0.89770000000000005</v>
      </c>
      <c r="BJ26" s="1415">
        <v>8</v>
      </c>
      <c r="BK26" s="875">
        <v>-30845.719999999994</v>
      </c>
      <c r="BL26" s="875">
        <v>-74753.59</v>
      </c>
      <c r="BM26" s="875">
        <v>-5661.9800000000005</v>
      </c>
      <c r="BN26" s="875">
        <v>-14478.170000000011</v>
      </c>
      <c r="BO26" s="875">
        <v>-125739.46</v>
      </c>
      <c r="BU26" s="1427">
        <v>44501</v>
      </c>
      <c r="BV26" s="1428">
        <v>-149324.09999999963</v>
      </c>
      <c r="BW26" s="1429">
        <v>0</v>
      </c>
      <c r="BX26" s="1429">
        <v>0</v>
      </c>
      <c r="BY26" s="1429">
        <v>0</v>
      </c>
      <c r="BZ26" s="1429">
        <v>0</v>
      </c>
      <c r="CA26" s="1430">
        <f t="shared" si="7"/>
        <v>-149324.09999999963</v>
      </c>
      <c r="CB26" s="1428">
        <v>-6232.7999999998137</v>
      </c>
      <c r="CC26" s="1429">
        <v>0</v>
      </c>
      <c r="CD26" s="1429">
        <v>0</v>
      </c>
      <c r="CE26" s="1429">
        <v>0</v>
      </c>
      <c r="CF26" s="1429">
        <v>0</v>
      </c>
      <c r="CG26" s="1430">
        <f t="shared" si="8"/>
        <v>-6232.7999999998137</v>
      </c>
    </row>
    <row r="27" spans="1:85">
      <c r="A27" s="1389" t="s">
        <v>1134</v>
      </c>
      <c r="C27" s="1410">
        <f>-'G-2.03 Uncoll'!BZ63</f>
        <v>303710.06000000006</v>
      </c>
      <c r="D27" s="1421" t="s">
        <v>1135</v>
      </c>
      <c r="E27" s="1410">
        <f>C27</f>
        <v>303710.06000000006</v>
      </c>
      <c r="F27" s="1410"/>
      <c r="G27" s="1426">
        <v>0</v>
      </c>
      <c r="H27" s="1422"/>
      <c r="L27" s="1444"/>
      <c r="M27" s="1444"/>
      <c r="N27" s="1444"/>
      <c r="O27" s="1444"/>
      <c r="P27" s="875"/>
      <c r="Q27" s="1443"/>
      <c r="R27" s="1443"/>
      <c r="S27" s="1443"/>
      <c r="T27" s="1443"/>
      <c r="U27" s="1443"/>
      <c r="V27" s="1443"/>
      <c r="W27" s="1443"/>
      <c r="X27" s="1443"/>
      <c r="AS27" s="1445">
        <f>SUM(AS10:AS12)</f>
        <v>-148581657.03</v>
      </c>
      <c r="AV27" s="1078">
        <v>0.88800000000000001</v>
      </c>
      <c r="BJ27" s="1415">
        <v>9</v>
      </c>
      <c r="BK27" s="875">
        <v>-20165.820000000007</v>
      </c>
      <c r="BL27" s="875">
        <v>-77610.27999999997</v>
      </c>
      <c r="BM27" s="875">
        <v>-3789.0799999999986</v>
      </c>
      <c r="BN27" s="875">
        <v>-18052.380000000008</v>
      </c>
      <c r="BO27" s="875">
        <v>-119617.55999999998</v>
      </c>
      <c r="BU27" s="1427">
        <v>44531</v>
      </c>
      <c r="BV27" s="1428">
        <v>-594152.12933933549</v>
      </c>
      <c r="BW27" s="1429">
        <v>0</v>
      </c>
      <c r="BX27" s="1429">
        <v>-1366.1100000000151</v>
      </c>
      <c r="BY27" s="1429">
        <v>-3732.5999999999767</v>
      </c>
      <c r="BZ27" s="1429">
        <v>-5098.7099999999919</v>
      </c>
      <c r="CA27" s="1430">
        <f t="shared" si="7"/>
        <v>-599250.83933933545</v>
      </c>
      <c r="CB27" s="1428">
        <v>-107203.87679037754</v>
      </c>
      <c r="CC27" s="1429">
        <v>0</v>
      </c>
      <c r="CD27" s="1429">
        <v>1366.1099999999969</v>
      </c>
      <c r="CE27" s="1429">
        <v>363.47000000000116</v>
      </c>
      <c r="CF27" s="1429">
        <v>1729.5799999999981</v>
      </c>
      <c r="CG27" s="1430">
        <f t="shared" si="8"/>
        <v>-105474.29679037754</v>
      </c>
    </row>
    <row r="28" spans="1:85" ht="15" thickBot="1">
      <c r="A28" s="1389" t="s">
        <v>1136</v>
      </c>
      <c r="C28" s="1431">
        <f>SUM(C26:C27)</f>
        <v>483517.60000000009</v>
      </c>
      <c r="D28" s="1421"/>
      <c r="E28" s="1431">
        <f>SUM(E26:E27)</f>
        <v>319421.35000000003</v>
      </c>
      <c r="F28" s="1410"/>
      <c r="G28" s="1431">
        <f>SUM(G26:G27)</f>
        <v>164096.25000000003</v>
      </c>
      <c r="H28" s="1422"/>
      <c r="AB28" s="973"/>
      <c r="AS28" s="1445">
        <f>SUM(AS10:AS13)</f>
        <v>-191246393.96000001</v>
      </c>
      <c r="AV28" s="1078">
        <v>0.86519999999999997</v>
      </c>
      <c r="AZ28" s="1447"/>
      <c r="BJ28" s="1415">
        <v>10</v>
      </c>
      <c r="BK28" s="875">
        <v>-18259.440000000006</v>
      </c>
      <c r="BL28" s="875">
        <v>-60353.600000000035</v>
      </c>
      <c r="BM28" s="875">
        <v>-4718.46</v>
      </c>
      <c r="BN28" s="875">
        <v>-14706.740000000002</v>
      </c>
      <c r="BO28" s="875">
        <v>-98038.240000000049</v>
      </c>
      <c r="BU28" s="1417" t="s">
        <v>1142</v>
      </c>
      <c r="BV28" s="1418">
        <f t="shared" ref="BV28:CG28" si="12">SUM(BV14:BV27)</f>
        <v>-414877.82460233639</v>
      </c>
      <c r="BW28" s="1419">
        <f t="shared" si="12"/>
        <v>5206446.18</v>
      </c>
      <c r="BX28" s="1419">
        <f t="shared" si="12"/>
        <v>131628.55870129232</v>
      </c>
      <c r="BY28" s="1419">
        <f t="shared" si="12"/>
        <v>156969.17804883517</v>
      </c>
      <c r="BZ28" s="1419">
        <f t="shared" si="12"/>
        <v>5495043.9167501274</v>
      </c>
      <c r="CA28" s="1420">
        <f t="shared" si="12"/>
        <v>5080166.0921477908</v>
      </c>
      <c r="CB28" s="1418">
        <f t="shared" si="12"/>
        <v>-43832.591527377517</v>
      </c>
      <c r="CC28" s="1419">
        <f t="shared" si="12"/>
        <v>1149893.82</v>
      </c>
      <c r="CD28" s="1419">
        <f t="shared" si="12"/>
        <v>29071.441298707672</v>
      </c>
      <c r="CE28" s="1419">
        <f t="shared" si="12"/>
        <v>34668.145098480243</v>
      </c>
      <c r="CF28" s="1419">
        <f t="shared" si="12"/>
        <v>1213633.4063971878</v>
      </c>
      <c r="CG28" s="1420">
        <f t="shared" si="12"/>
        <v>1169800.8148698106</v>
      </c>
    </row>
    <row r="29" spans="1:85" ht="15" thickTop="1">
      <c r="C29" s="1410"/>
      <c r="D29" s="1410"/>
      <c r="E29" s="1410"/>
      <c r="F29" s="1410"/>
      <c r="G29" s="1410"/>
      <c r="L29" s="875">
        <f>SUM(L23,N23,U23,W23)</f>
        <v>1080617.8299999998</v>
      </c>
      <c r="M29" s="633" t="s">
        <v>1143</v>
      </c>
      <c r="N29" s="1448" t="s">
        <v>485</v>
      </c>
      <c r="P29" s="875">
        <f>SUM(P23,R23)</f>
        <v>-344630.24</v>
      </c>
      <c r="Q29" s="633" t="s">
        <v>1143</v>
      </c>
      <c r="R29" s="1448" t="s">
        <v>485</v>
      </c>
      <c r="T29" s="875"/>
      <c r="U29" s="633"/>
      <c r="V29" s="633"/>
      <c r="W29" s="633"/>
      <c r="X29" s="1448"/>
      <c r="Y29" s="1104"/>
      <c r="Z29" s="1104"/>
      <c r="AA29" s="1104"/>
      <c r="AB29" s="1412"/>
      <c r="AS29" s="1445">
        <f>SUM(AS10:AS14)</f>
        <v>-243190997.95000002</v>
      </c>
      <c r="AV29" s="1078">
        <v>0.7994</v>
      </c>
      <c r="AZ29" s="1447"/>
      <c r="BJ29" s="1415">
        <v>11</v>
      </c>
      <c r="BK29" s="875">
        <v>-30781.400000000009</v>
      </c>
      <c r="BL29" s="875">
        <v>-86344.879999999888</v>
      </c>
      <c r="BM29" s="875">
        <v>-5700.3500000000022</v>
      </c>
      <c r="BN29" s="875">
        <v>-17851.849999999999</v>
      </c>
      <c r="BO29" s="875">
        <v>-140678.47999999989</v>
      </c>
      <c r="BU29" s="1417"/>
      <c r="BV29" s="1449"/>
      <c r="BW29" s="1450"/>
      <c r="BX29" s="1450"/>
      <c r="BY29" s="1450"/>
      <c r="BZ29" s="1450"/>
      <c r="CA29" s="1451"/>
      <c r="CB29" s="1449"/>
      <c r="CC29" s="1450"/>
      <c r="CD29" s="1450"/>
      <c r="CE29" s="1450"/>
      <c r="CF29" s="1450"/>
      <c r="CG29" s="1451"/>
    </row>
    <row r="30" spans="1:85" ht="13.5" thickBot="1">
      <c r="A30" s="1389" t="s">
        <v>1137</v>
      </c>
      <c r="C30" s="1434">
        <f>C24-C28</f>
        <v>964082.39999999991</v>
      </c>
      <c r="D30" s="1410"/>
      <c r="E30" s="1435">
        <f>E24-E28</f>
        <v>926812.64999999991</v>
      </c>
      <c r="F30" s="1410"/>
      <c r="G30" s="1434">
        <f>G24-G28</f>
        <v>37269.749999999971</v>
      </c>
      <c r="L30" s="1452">
        <f>SUM(M23,O23,V23,X23)</f>
        <v>6808518.0399999991</v>
      </c>
      <c r="M30" s="477" t="s">
        <v>1144</v>
      </c>
      <c r="P30" s="1453">
        <f>SUM(Q23,S23)</f>
        <v>-2583996.4299999997</v>
      </c>
      <c r="Q30" s="477" t="s">
        <v>1144</v>
      </c>
      <c r="T30" s="875"/>
      <c r="Y30" s="1104"/>
      <c r="Z30" s="1104"/>
      <c r="AA30" s="1104"/>
      <c r="AS30" s="1445">
        <f>SUM(AS10:AS15)</f>
        <v>-304065684.68000001</v>
      </c>
      <c r="AV30" s="1078">
        <v>0.74360000000000004</v>
      </c>
      <c r="AZ30" s="1447"/>
      <c r="BJ30" s="1415">
        <v>12</v>
      </c>
      <c r="BK30" s="875">
        <v>-25032.330000000005</v>
      </c>
      <c r="BL30" s="875">
        <v>-1355733.8</v>
      </c>
      <c r="BM30" s="875">
        <v>-4347.3</v>
      </c>
      <c r="BN30" s="875">
        <v>-194247.38999999996</v>
      </c>
      <c r="BO30" s="875">
        <v>-1579360.8199999989</v>
      </c>
      <c r="BU30" s="1196">
        <v>44562</v>
      </c>
      <c r="BV30" s="1454">
        <v>-20357.349999999889</v>
      </c>
      <c r="BW30" s="1455">
        <v>0</v>
      </c>
      <c r="BX30" s="1455">
        <v>0</v>
      </c>
      <c r="BY30" s="1455">
        <v>0</v>
      </c>
      <c r="BZ30" s="1455">
        <v>0</v>
      </c>
      <c r="CA30" s="1456">
        <f t="shared" ref="CA30:CA41" si="13">BV30+BZ30</f>
        <v>-20357.349999999889</v>
      </c>
      <c r="CB30" s="1454">
        <v>7431.9399999999951</v>
      </c>
      <c r="CC30" s="1455">
        <v>0</v>
      </c>
      <c r="CD30" s="1455">
        <v>0</v>
      </c>
      <c r="CE30" s="1455">
        <v>0</v>
      </c>
      <c r="CF30" s="1455">
        <v>0</v>
      </c>
      <c r="CG30" s="1456">
        <f t="shared" ref="CG30:CG41" si="14">CB30+CF30</f>
        <v>7431.9399999999951</v>
      </c>
    </row>
    <row r="31" spans="1:85" ht="13.5" thickTop="1">
      <c r="L31" s="875"/>
      <c r="P31" s="875"/>
      <c r="T31" s="875"/>
      <c r="Y31" s="1104"/>
      <c r="Z31" s="1104"/>
      <c r="AA31" s="1104"/>
      <c r="AS31" s="1445">
        <f>SUM(AS10:AS16)</f>
        <v>-360748474.84000003</v>
      </c>
      <c r="AV31" s="1078">
        <v>0.70909999999999995</v>
      </c>
      <c r="AZ31" s="1447"/>
      <c r="BJ31" s="1415">
        <v>1</v>
      </c>
      <c r="BK31" s="875">
        <v>-29078.800000000007</v>
      </c>
      <c r="BL31" s="875">
        <v>-91978.15</v>
      </c>
      <c r="BM31" s="875">
        <v>-4324.9699999999993</v>
      </c>
      <c r="BN31" s="875">
        <v>-19807.35999999999</v>
      </c>
      <c r="BO31" s="875">
        <v>-145189.28</v>
      </c>
      <c r="BU31" s="1196">
        <v>44593</v>
      </c>
      <c r="BV31" s="1454">
        <v>-5098.4400000001187</v>
      </c>
      <c r="BW31" s="1455">
        <v>0</v>
      </c>
      <c r="BX31" s="1455">
        <v>0</v>
      </c>
      <c r="BY31" s="1455">
        <v>0</v>
      </c>
      <c r="BZ31" s="1455">
        <v>0</v>
      </c>
      <c r="CA31" s="1456">
        <f t="shared" si="13"/>
        <v>-5098.4400000001187</v>
      </c>
      <c r="CB31" s="1454">
        <v>4025.1699999999873</v>
      </c>
      <c r="CC31" s="1455">
        <v>0</v>
      </c>
      <c r="CD31" s="1455">
        <v>0</v>
      </c>
      <c r="CE31" s="1455">
        <v>0</v>
      </c>
      <c r="CF31" s="1455">
        <v>0</v>
      </c>
      <c r="CG31" s="1456">
        <f t="shared" si="14"/>
        <v>4025.1699999999873</v>
      </c>
    </row>
    <row r="32" spans="1:85">
      <c r="A32" s="1389" t="s">
        <v>1145</v>
      </c>
      <c r="C32" s="1436">
        <f>SUM(E32,G32)</f>
        <v>1</v>
      </c>
      <c r="D32" s="1437"/>
      <c r="E32" s="1437">
        <v>0.65400999999999998</v>
      </c>
      <c r="F32" s="1437"/>
      <c r="G32" s="1437">
        <v>0.34599000000000002</v>
      </c>
      <c r="K32" s="1446" t="s">
        <v>1146</v>
      </c>
      <c r="Y32" s="1104"/>
      <c r="Z32" s="1104"/>
      <c r="AA32" s="1104"/>
      <c r="AS32" s="1445">
        <f>SUM(AS10:AS17)</f>
        <v>-409750343.37</v>
      </c>
      <c r="AV32" s="1078">
        <v>0.69059999999999999</v>
      </c>
      <c r="AZ32" s="1447"/>
      <c r="BJ32" s="1415">
        <v>2</v>
      </c>
      <c r="BK32" s="875">
        <v>-16103.090000000002</v>
      </c>
      <c r="BL32" s="875">
        <v>-75816.660000000018</v>
      </c>
      <c r="BM32" s="875">
        <v>-3266.4600000000023</v>
      </c>
      <c r="BN32" s="875">
        <v>-18014.29</v>
      </c>
      <c r="BO32" s="875">
        <v>-113200.50000000003</v>
      </c>
      <c r="BU32" s="1196">
        <v>44621</v>
      </c>
      <c r="BV32" s="1454">
        <v>1157016.49</v>
      </c>
      <c r="BW32" s="1455">
        <v>0</v>
      </c>
      <c r="BX32" s="1457">
        <v>0</v>
      </c>
      <c r="BY32" s="1455">
        <v>0</v>
      </c>
      <c r="BZ32" s="1455">
        <v>0</v>
      </c>
      <c r="CA32" s="1456">
        <f t="shared" si="13"/>
        <v>1157016.49</v>
      </c>
      <c r="CB32" s="1454">
        <v>178159.55000000008</v>
      </c>
      <c r="CC32" s="1455">
        <v>0</v>
      </c>
      <c r="CD32" s="1455">
        <v>0</v>
      </c>
      <c r="CE32" s="1455">
        <v>0</v>
      </c>
      <c r="CF32" s="1455">
        <v>0</v>
      </c>
      <c r="CG32" s="1456">
        <f t="shared" si="14"/>
        <v>178159.55000000008</v>
      </c>
    </row>
    <row r="33" spans="1:85">
      <c r="L33" s="3913" t="s">
        <v>1147</v>
      </c>
      <c r="M33" s="3913"/>
      <c r="N33" s="3913"/>
      <c r="O33" s="1458" t="s">
        <v>1148</v>
      </c>
      <c r="P33" s="3914" t="s">
        <v>1149</v>
      </c>
      <c r="Q33" s="3913"/>
      <c r="R33" s="3913"/>
      <c r="S33" s="1458" t="s">
        <v>1148</v>
      </c>
      <c r="T33" s="3886"/>
      <c r="U33" s="3886"/>
      <c r="V33" s="3886"/>
      <c r="W33" s="3886"/>
      <c r="X33" s="3886"/>
      <c r="Y33" s="1104"/>
      <c r="Z33" s="1104"/>
      <c r="AA33" s="1104"/>
      <c r="AS33" s="1445">
        <f>SUM(AS10:AS18)</f>
        <v>-464688032.57999998</v>
      </c>
      <c r="AV33" s="1078">
        <v>0.68479999999999996</v>
      </c>
      <c r="AZ33" s="1447"/>
      <c r="BJ33" s="1415">
        <v>3</v>
      </c>
      <c r="BK33" s="875">
        <v>-24236.010000000006</v>
      </c>
      <c r="BL33" s="875">
        <v>-77124.390000000029</v>
      </c>
      <c r="BM33" s="875">
        <v>-5252.79</v>
      </c>
      <c r="BN33" s="875">
        <v>-31089.430000000008</v>
      </c>
      <c r="BO33" s="875">
        <v>-137702.62000000005</v>
      </c>
      <c r="BU33" s="1196">
        <v>44652</v>
      </c>
      <c r="BV33" s="1454">
        <v>-9850.3700000005774</v>
      </c>
      <c r="BW33" s="1455">
        <v>0</v>
      </c>
      <c r="BX33" s="1455">
        <v>0</v>
      </c>
      <c r="BY33" s="1455">
        <v>0</v>
      </c>
      <c r="BZ33" s="1455">
        <v>0</v>
      </c>
      <c r="CA33" s="1456">
        <f t="shared" si="13"/>
        <v>-9850.3700000005774</v>
      </c>
      <c r="CB33" s="1454">
        <v>9193.1700000000128</v>
      </c>
      <c r="CC33" s="1455">
        <v>0</v>
      </c>
      <c r="CD33" s="1455">
        <v>0</v>
      </c>
      <c r="CE33" s="1455">
        <v>0</v>
      </c>
      <c r="CF33" s="1455">
        <v>0</v>
      </c>
      <c r="CG33" s="1456">
        <f t="shared" si="14"/>
        <v>9193.1700000000128</v>
      </c>
    </row>
    <row r="34" spans="1:85">
      <c r="A34" s="1389" t="s">
        <v>1150</v>
      </c>
      <c r="L34" s="1459" t="s">
        <v>681</v>
      </c>
      <c r="M34" s="1459"/>
      <c r="N34" s="1459" t="s">
        <v>680</v>
      </c>
      <c r="O34" s="1460"/>
      <c r="P34" s="1461" t="s">
        <v>681</v>
      </c>
      <c r="Q34" s="1459"/>
      <c r="R34" s="1459" t="s">
        <v>680</v>
      </c>
      <c r="S34" s="1460"/>
      <c r="T34" s="1092"/>
      <c r="U34" s="1092"/>
      <c r="V34" s="1092"/>
      <c r="W34" s="1092"/>
      <c r="X34" s="1092"/>
      <c r="Y34" s="875"/>
      <c r="AA34" s="1168"/>
      <c r="AS34" s="1445">
        <f>SUM(AS10:AS19)</f>
        <v>-509687394.87</v>
      </c>
      <c r="AV34" s="1078">
        <v>0.68530000000000002</v>
      </c>
      <c r="AZ34" s="1447"/>
      <c r="BJ34" s="1415">
        <v>4</v>
      </c>
      <c r="BK34" s="875">
        <v>-17740.320000000003</v>
      </c>
      <c r="BL34" s="875">
        <v>-74958.739999999976</v>
      </c>
      <c r="BM34" s="875">
        <v>-3344.9099999999994</v>
      </c>
      <c r="BN34" s="875">
        <v>-17886.420000000006</v>
      </c>
      <c r="BO34" s="875">
        <v>-113930.38999999998</v>
      </c>
      <c r="BU34" s="1196">
        <v>44682</v>
      </c>
      <c r="BV34" s="1454">
        <v>33453.15000000014</v>
      </c>
      <c r="BW34" s="1455">
        <v>0</v>
      </c>
      <c r="BX34" s="1455">
        <v>0</v>
      </c>
      <c r="BY34" s="1455">
        <v>0</v>
      </c>
      <c r="BZ34" s="1455">
        <v>0</v>
      </c>
      <c r="CA34" s="1456">
        <f t="shared" si="13"/>
        <v>33453.15000000014</v>
      </c>
      <c r="CB34" s="1457">
        <v>-8931.6300000000047</v>
      </c>
      <c r="CC34" s="1455">
        <v>0</v>
      </c>
      <c r="CD34" s="1455">
        <v>0</v>
      </c>
      <c r="CE34" s="1455">
        <v>0</v>
      </c>
      <c r="CF34" s="1455">
        <v>0</v>
      </c>
      <c r="CG34" s="1456">
        <f t="shared" si="14"/>
        <v>-8931.6300000000047</v>
      </c>
    </row>
    <row r="35" spans="1:85">
      <c r="A35" s="1389" t="s">
        <v>1151</v>
      </c>
      <c r="K35" s="877" t="str">
        <f t="shared" ref="K35:K46" si="15">K11</f>
        <v>202207</v>
      </c>
      <c r="L35" s="1462">
        <f>SUM($M$11:M11)+SUM($V$11:V11)</f>
        <v>392654.16000000009</v>
      </c>
      <c r="M35" s="1462"/>
      <c r="N35" s="1462">
        <f>SUM($O$11:O11)+SUM($X$11:X11)</f>
        <v>91362.800000000017</v>
      </c>
      <c r="O35" s="875">
        <f t="shared" ref="O35:O46" si="16">SUBTOTAL(9,L35:N35)</f>
        <v>484016.96000000008</v>
      </c>
      <c r="P35" s="1463">
        <f>SUM($Q$11:Q11)</f>
        <v>-59928.960000000006</v>
      </c>
      <c r="Q35" s="1464"/>
      <c r="R35" s="1464">
        <f>SUM($S$11:S11)</f>
        <v>-13986.800000000001</v>
      </c>
      <c r="S35" s="875">
        <f t="shared" ref="S35:S46" si="17">SUBTOTAL(9,P35:R35)</f>
        <v>-73915.760000000009</v>
      </c>
      <c r="T35" s="1465"/>
      <c r="U35" s="1465"/>
      <c r="V35" s="1465"/>
      <c r="W35" s="1465"/>
      <c r="X35" s="1465"/>
      <c r="Y35" s="875"/>
      <c r="Z35" s="531"/>
      <c r="AA35" s="1168"/>
      <c r="AB35" s="531"/>
      <c r="AC35" s="531"/>
      <c r="AD35" s="531"/>
      <c r="AE35" s="531"/>
      <c r="AF35" s="531"/>
      <c r="AS35" s="1445">
        <f>SUM(AS10:AS20)</f>
        <v>-555138199.88999999</v>
      </c>
      <c r="AV35" s="1078">
        <v>0.69469999999999998</v>
      </c>
      <c r="AZ35" s="1447"/>
      <c r="BJ35" s="1415">
        <v>5</v>
      </c>
      <c r="BK35" s="875">
        <v>-24163.260000000006</v>
      </c>
      <c r="BL35" s="875">
        <v>-81153.579999999958</v>
      </c>
      <c r="BM35" s="875">
        <v>-5489.89</v>
      </c>
      <c r="BN35" s="875">
        <v>-23373.299999999988</v>
      </c>
      <c r="BO35" s="875">
        <v>-134180.02999999997</v>
      </c>
      <c r="BU35" s="1196">
        <v>44713</v>
      </c>
      <c r="BV35" s="1454">
        <v>-865387.9700000002</v>
      </c>
      <c r="BW35" s="1455">
        <v>0</v>
      </c>
      <c r="BX35" s="1455">
        <v>0</v>
      </c>
      <c r="BY35" s="1455">
        <v>0</v>
      </c>
      <c r="BZ35" s="1455">
        <v>0</v>
      </c>
      <c r="CA35" s="1456">
        <f t="shared" si="13"/>
        <v>-865387.9700000002</v>
      </c>
      <c r="CB35" s="1454">
        <v>-139758.15000000002</v>
      </c>
      <c r="CC35" s="1455">
        <v>0</v>
      </c>
      <c r="CD35" s="1455">
        <v>0</v>
      </c>
      <c r="CE35" s="1455">
        <v>0</v>
      </c>
      <c r="CF35" s="1455">
        <v>0</v>
      </c>
      <c r="CG35" s="1456">
        <f t="shared" si="14"/>
        <v>-139758.15000000002</v>
      </c>
    </row>
    <row r="36" spans="1:85">
      <c r="K36" s="877">
        <f t="shared" si="15"/>
        <v>202208</v>
      </c>
      <c r="L36" s="1462">
        <f>SUM($M$11:M12)+SUM($V$11:V12)</f>
        <v>993625.9300000004</v>
      </c>
      <c r="M36" s="1462"/>
      <c r="N36" s="1462">
        <f>SUM($O$11:O12)+SUM($X$11:X12)</f>
        <v>224184.21000000008</v>
      </c>
      <c r="O36" s="875">
        <f t="shared" si="16"/>
        <v>1217810.1400000006</v>
      </c>
      <c r="P36" s="1463">
        <f>SUM($Q$11:Q12)</f>
        <v>-134682.54999999999</v>
      </c>
      <c r="Q36" s="1464"/>
      <c r="R36" s="1464">
        <f>SUM($S$11:S12)</f>
        <v>-28464.970000000012</v>
      </c>
      <c r="S36" s="875">
        <f t="shared" si="17"/>
        <v>-163147.51999999999</v>
      </c>
      <c r="T36" s="1465"/>
      <c r="U36" s="1465"/>
      <c r="V36" s="1465"/>
      <c r="W36" s="1465"/>
      <c r="X36" s="1465"/>
      <c r="Y36" s="875"/>
      <c r="Z36" s="531"/>
      <c r="AA36" s="1168"/>
      <c r="AB36" s="531"/>
      <c r="AC36" s="531"/>
      <c r="AD36" s="531"/>
      <c r="AE36" s="531"/>
      <c r="AF36" s="531"/>
      <c r="AS36" s="1445">
        <f>SUM(AS10:AS21)</f>
        <v>-601472946.94999993</v>
      </c>
      <c r="AV36" s="1078">
        <v>0.70499999999999996</v>
      </c>
      <c r="AZ36" s="1447"/>
      <c r="BJ36" s="1415">
        <v>6</v>
      </c>
      <c r="BK36" s="875">
        <v>-23869.969999999994</v>
      </c>
      <c r="BL36" s="875">
        <v>-66513.369999999937</v>
      </c>
      <c r="BM36" s="875">
        <v>-5391.579999999999</v>
      </c>
      <c r="BN36" s="875">
        <v>-18232.299999999996</v>
      </c>
      <c r="BO36" s="875">
        <v>-114007.21999999994</v>
      </c>
      <c r="BU36" s="1196">
        <v>44743</v>
      </c>
      <c r="BV36" s="1454">
        <v>22301.09</v>
      </c>
      <c r="BW36" s="1455">
        <v>0</v>
      </c>
      <c r="BX36" s="1455">
        <v>0</v>
      </c>
      <c r="BY36" s="1455">
        <v>0</v>
      </c>
      <c r="BZ36" s="1455">
        <v>0</v>
      </c>
      <c r="CA36" s="1456">
        <f t="shared" si="13"/>
        <v>22301.09</v>
      </c>
      <c r="CB36" s="1454">
        <v>-14631.73</v>
      </c>
      <c r="CC36" s="1455">
        <v>0</v>
      </c>
      <c r="CD36" s="1455">
        <v>0</v>
      </c>
      <c r="CE36" s="1455">
        <v>0</v>
      </c>
      <c r="CF36" s="1455">
        <v>0</v>
      </c>
      <c r="CG36" s="1456">
        <f t="shared" si="14"/>
        <v>-14631.73</v>
      </c>
    </row>
    <row r="37" spans="1:85">
      <c r="A37" s="1389" t="s">
        <v>1152</v>
      </c>
      <c r="K37" s="877">
        <f t="shared" si="15"/>
        <v>202209</v>
      </c>
      <c r="L37" s="1462">
        <f>SUM($M$11:M13)+SUM($V$11:V13)</f>
        <v>1177949.3000000005</v>
      </c>
      <c r="M37" s="1462"/>
      <c r="N37" s="1462">
        <f>SUM($O$11:O13)+SUM($X$11:X13)</f>
        <v>277407.39</v>
      </c>
      <c r="O37" s="875">
        <f t="shared" si="16"/>
        <v>1455356.6900000004</v>
      </c>
      <c r="P37" s="1463">
        <f>SUM($Q$11:Q13)</f>
        <v>-212292.82999999996</v>
      </c>
      <c r="Q37" s="1464"/>
      <c r="R37" s="1464">
        <f>SUM($S$11:S13)</f>
        <v>-46517.35000000002</v>
      </c>
      <c r="S37" s="875">
        <f t="shared" si="17"/>
        <v>-258810.18</v>
      </c>
      <c r="T37" s="1465"/>
      <c r="U37" s="1465"/>
      <c r="V37" s="1465"/>
      <c r="W37" s="1465"/>
      <c r="X37" s="1465"/>
      <c r="Y37" s="875"/>
      <c r="AA37" s="1168"/>
      <c r="AS37" s="1078"/>
      <c r="AZ37" s="1447"/>
      <c r="BJ37" s="1413" t="s">
        <v>1153</v>
      </c>
      <c r="BK37" s="1414"/>
      <c r="BL37" s="1414"/>
      <c r="BM37" s="1414"/>
      <c r="BN37" s="1414"/>
      <c r="BO37" s="1414"/>
      <c r="BU37" s="1196">
        <v>44774</v>
      </c>
      <c r="BV37" s="1454">
        <v>37370.79</v>
      </c>
      <c r="BW37" s="1455">
        <v>0</v>
      </c>
      <c r="BX37" s="1455">
        <v>0</v>
      </c>
      <c r="BY37" s="1455">
        <v>0</v>
      </c>
      <c r="BZ37" s="1455">
        <v>0</v>
      </c>
      <c r="CA37" s="1456">
        <f t="shared" si="13"/>
        <v>37370.79</v>
      </c>
      <c r="CB37" s="1454">
        <v>-2061.2600000000002</v>
      </c>
      <c r="CC37" s="1455">
        <v>0</v>
      </c>
      <c r="CD37" s="1455">
        <v>0</v>
      </c>
      <c r="CE37" s="1455">
        <v>0</v>
      </c>
      <c r="CF37" s="1455">
        <v>0</v>
      </c>
      <c r="CG37" s="1456">
        <f t="shared" si="14"/>
        <v>-2061.2600000000002</v>
      </c>
    </row>
    <row r="38" spans="1:85">
      <c r="K38" s="877">
        <f t="shared" si="15"/>
        <v>202210</v>
      </c>
      <c r="L38" s="1462">
        <f>SUM($M$11:M14)+SUM($V$11:V14)</f>
        <v>1541467.6300000008</v>
      </c>
      <c r="M38" s="1462"/>
      <c r="N38" s="1462">
        <f>SUM($O$11:O14)+SUM($X$11:X14)</f>
        <v>358771.37</v>
      </c>
      <c r="O38" s="875">
        <f t="shared" si="16"/>
        <v>1900239.0000000009</v>
      </c>
      <c r="P38" s="1463">
        <f>SUM($Q$11:Q14)</f>
        <v>-272646.43</v>
      </c>
      <c r="Q38" s="1464"/>
      <c r="R38" s="1464">
        <f>SUM($S$11:S14)</f>
        <v>-61224.090000000026</v>
      </c>
      <c r="S38" s="875">
        <f t="shared" si="17"/>
        <v>-333870.52</v>
      </c>
      <c r="T38" s="1465"/>
      <c r="U38" s="1465"/>
      <c r="V38" s="1465"/>
      <c r="W38" s="1465"/>
      <c r="X38" s="1465"/>
      <c r="Y38" s="875"/>
      <c r="AA38" s="1168"/>
      <c r="AG38" s="531"/>
      <c r="AH38" s="531"/>
      <c r="AI38" s="531"/>
      <c r="AZ38" s="1447"/>
      <c r="BJ38" s="1415">
        <v>7</v>
      </c>
      <c r="BK38" s="875">
        <v>104031.65000000001</v>
      </c>
      <c r="BL38" s="875">
        <v>392654.16000000009</v>
      </c>
      <c r="BM38" s="875">
        <v>22389.900000000009</v>
      </c>
      <c r="BN38" s="875">
        <v>91362.800000000017</v>
      </c>
      <c r="BO38" s="875">
        <v>610438.51000000013</v>
      </c>
      <c r="BQ38" s="1446" t="s">
        <v>1154</v>
      </c>
      <c r="BU38" s="1196">
        <v>44805</v>
      </c>
      <c r="BV38" s="1454">
        <v>-349964.06</v>
      </c>
      <c r="BW38" s="1455">
        <v>0</v>
      </c>
      <c r="BX38" s="1455">
        <v>0</v>
      </c>
      <c r="BY38" s="1455">
        <v>0</v>
      </c>
      <c r="BZ38" s="1455">
        <v>0</v>
      </c>
      <c r="CA38" s="1456">
        <f t="shared" si="13"/>
        <v>-349964.06</v>
      </c>
      <c r="CB38" s="1454">
        <v>-56782.05</v>
      </c>
      <c r="CC38" s="1455">
        <v>0</v>
      </c>
      <c r="CD38" s="1455">
        <v>0</v>
      </c>
      <c r="CE38" s="1455">
        <v>0</v>
      </c>
      <c r="CF38" s="1455">
        <v>0</v>
      </c>
      <c r="CG38" s="1456">
        <f t="shared" si="14"/>
        <v>-56782.05</v>
      </c>
    </row>
    <row r="39" spans="1:85">
      <c r="K39" s="877">
        <f t="shared" si="15"/>
        <v>202211</v>
      </c>
      <c r="L39" s="1462">
        <f>SUM($M$11:M15)+SUM($V$11:V15)</f>
        <v>1985988.55</v>
      </c>
      <c r="M39" s="1462"/>
      <c r="N39" s="1462">
        <f>SUM($O$11:O15)+SUM($X$11:X15)</f>
        <v>445960.05999999994</v>
      </c>
      <c r="O39" s="875">
        <f t="shared" si="16"/>
        <v>2431948.61</v>
      </c>
      <c r="P39" s="1463">
        <f>SUM($Q$11:Q15)</f>
        <v>-358991.30999999988</v>
      </c>
      <c r="Q39" s="1464"/>
      <c r="R39" s="1464">
        <f>SUM($S$11:S15)</f>
        <v>-79075.940000000031</v>
      </c>
      <c r="S39" s="875">
        <f t="shared" si="17"/>
        <v>-438067.24999999988</v>
      </c>
      <c r="T39" s="1465"/>
      <c r="U39" s="1465"/>
      <c r="V39" s="1465"/>
      <c r="W39" s="1465"/>
      <c r="X39" s="1465"/>
      <c r="Y39" s="875"/>
      <c r="AA39" s="1168"/>
      <c r="AG39" s="531"/>
      <c r="AH39" s="531"/>
      <c r="AI39" s="531"/>
      <c r="AZ39" s="1447"/>
      <c r="BJ39" s="1415">
        <v>8</v>
      </c>
      <c r="BK39" s="875">
        <v>99719.030000000013</v>
      </c>
      <c r="BL39" s="875">
        <v>600971.77000000037</v>
      </c>
      <c r="BM39" s="875">
        <v>22924.62000000001</v>
      </c>
      <c r="BN39" s="875">
        <v>132821.41000000006</v>
      </c>
      <c r="BO39" s="875">
        <v>856436.83000000042</v>
      </c>
      <c r="BU39" s="1196">
        <v>44835</v>
      </c>
      <c r="BV39" s="1454">
        <v>-403325.31</v>
      </c>
      <c r="BW39" s="1455">
        <v>0</v>
      </c>
      <c r="BX39" s="1455">
        <v>0</v>
      </c>
      <c r="BY39" s="1455">
        <v>0</v>
      </c>
      <c r="BZ39" s="1455">
        <v>0</v>
      </c>
      <c r="CA39" s="1456">
        <f t="shared" si="13"/>
        <v>-403325.31</v>
      </c>
      <c r="CB39" s="1454">
        <v>-56880.57</v>
      </c>
      <c r="CC39" s="1455">
        <v>0</v>
      </c>
      <c r="CD39" s="1455">
        <v>0</v>
      </c>
      <c r="CE39" s="1455">
        <v>0</v>
      </c>
      <c r="CF39" s="1455">
        <v>0</v>
      </c>
      <c r="CG39" s="1456">
        <f t="shared" si="14"/>
        <v>-56880.57</v>
      </c>
    </row>
    <row r="40" spans="1:85">
      <c r="A40" s="1388" t="s">
        <v>1155</v>
      </c>
      <c r="K40" s="877">
        <f t="shared" si="15"/>
        <v>202212</v>
      </c>
      <c r="L40" s="1462">
        <f>SUM($M$11:M16)+SUM($V$11:V16)</f>
        <v>2453014.9700000002</v>
      </c>
      <c r="M40" s="1462"/>
      <c r="N40" s="1462">
        <f>SUM($O$11:O16)+SUM($X$11:X16)</f>
        <v>531831.32999999996</v>
      </c>
      <c r="O40" s="875">
        <f t="shared" si="16"/>
        <v>2984846.3000000003</v>
      </c>
      <c r="P40" s="1463">
        <f>SUM($Q$11:Q16)</f>
        <v>-1714725.1099999999</v>
      </c>
      <c r="Q40" s="1464"/>
      <c r="R40" s="1464">
        <f>SUM($S$11:S16)</f>
        <v>-273323.32999999996</v>
      </c>
      <c r="S40" s="875">
        <f t="shared" si="17"/>
        <v>-1988048.44</v>
      </c>
      <c r="T40" s="1465"/>
      <c r="U40" s="1465"/>
      <c r="V40" s="1465"/>
      <c r="W40" s="1465"/>
      <c r="X40" s="1465"/>
      <c r="Y40" s="875"/>
      <c r="AA40" s="1168"/>
      <c r="BJ40" s="1415">
        <v>9</v>
      </c>
      <c r="BK40" s="875">
        <v>34251.69999999999</v>
      </c>
      <c r="BL40" s="875">
        <v>184323.37000000005</v>
      </c>
      <c r="BM40" s="875">
        <v>7932.5599999999995</v>
      </c>
      <c r="BN40" s="875">
        <v>53223.179999999964</v>
      </c>
      <c r="BO40" s="875">
        <v>279730.81</v>
      </c>
      <c r="BU40" s="1196">
        <v>44866</v>
      </c>
      <c r="BV40" s="1454">
        <v>-749615.66</v>
      </c>
      <c r="BW40" s="1455">
        <v>0</v>
      </c>
      <c r="BX40" s="1455">
        <v>0</v>
      </c>
      <c r="BY40" s="1455">
        <v>0</v>
      </c>
      <c r="BZ40" s="1455">
        <v>0</v>
      </c>
      <c r="CA40" s="1456">
        <f t="shared" si="13"/>
        <v>-749615.66</v>
      </c>
      <c r="CB40" s="1454">
        <v>-107378.32</v>
      </c>
      <c r="CC40" s="1455">
        <v>0</v>
      </c>
      <c r="CD40" s="1455">
        <v>0</v>
      </c>
      <c r="CE40" s="1455">
        <v>0</v>
      </c>
      <c r="CF40" s="1455">
        <v>0</v>
      </c>
      <c r="CG40" s="1456">
        <f t="shared" si="14"/>
        <v>-107378.32</v>
      </c>
    </row>
    <row r="41" spans="1:85">
      <c r="A41" s="1388"/>
      <c r="B41" s="1466"/>
      <c r="C41" s="1467" t="s">
        <v>1156</v>
      </c>
      <c r="D41" s="1466"/>
      <c r="E41" s="1467"/>
      <c r="F41" s="1466"/>
      <c r="G41" s="1467" t="s">
        <v>1157</v>
      </c>
      <c r="K41" s="877">
        <f t="shared" si="15"/>
        <v>202301</v>
      </c>
      <c r="L41" s="1462">
        <f>SUM($M$11:M17)+SUM($V$11:V17)</f>
        <v>2846030.54</v>
      </c>
      <c r="M41" s="1462"/>
      <c r="N41" s="1462">
        <f>SUM($O$11:O17)+SUM($X$11:X17)</f>
        <v>617280.89</v>
      </c>
      <c r="O41" s="875">
        <f t="shared" si="16"/>
        <v>3463311.43</v>
      </c>
      <c r="P41" s="1463">
        <f>SUM($Q$11:Q17)</f>
        <v>-1806703.2599999998</v>
      </c>
      <c r="Q41" s="1464"/>
      <c r="R41" s="1464">
        <f>SUM($S$11:S17)</f>
        <v>-293130.68999999994</v>
      </c>
      <c r="S41" s="875">
        <f t="shared" si="17"/>
        <v>-2099833.9499999997</v>
      </c>
      <c r="T41" s="1465"/>
      <c r="U41" s="1465"/>
      <c r="V41" s="1465"/>
      <c r="W41" s="1465"/>
      <c r="X41" s="1465"/>
      <c r="Y41" s="875"/>
      <c r="AA41" s="1168"/>
      <c r="BJ41" s="1415">
        <v>10</v>
      </c>
      <c r="BK41" s="875">
        <v>74623.169999999969</v>
      </c>
      <c r="BL41" s="875">
        <v>363518.33000000019</v>
      </c>
      <c r="BM41" s="875">
        <v>13696.790000000005</v>
      </c>
      <c r="BN41" s="875">
        <v>81363.98000000001</v>
      </c>
      <c r="BO41" s="875">
        <v>533202.27000000014</v>
      </c>
      <c r="BU41" s="1196">
        <v>44896</v>
      </c>
      <c r="BV41" s="1454">
        <v>-1495873.75</v>
      </c>
      <c r="BW41" s="1455">
        <v>0</v>
      </c>
      <c r="BX41" s="1455">
        <v>0</v>
      </c>
      <c r="BY41" s="1455">
        <v>0</v>
      </c>
      <c r="BZ41" s="1455">
        <v>0</v>
      </c>
      <c r="CA41" s="1456">
        <f t="shared" si="13"/>
        <v>-1495873.75</v>
      </c>
      <c r="CB41" s="1454">
        <v>-221950.46</v>
      </c>
      <c r="CC41" s="1455">
        <v>0</v>
      </c>
      <c r="CD41" s="1455">
        <v>0</v>
      </c>
      <c r="CE41" s="1455">
        <v>0</v>
      </c>
      <c r="CF41" s="1455">
        <v>0</v>
      </c>
      <c r="CG41" s="1456">
        <f t="shared" si="14"/>
        <v>-221950.46</v>
      </c>
    </row>
    <row r="42" spans="1:85" ht="15" thickBot="1">
      <c r="B42" s="1466"/>
      <c r="C42" s="1468" t="s">
        <v>1158</v>
      </c>
      <c r="D42" s="1466"/>
      <c r="E42" s="1468" t="s">
        <v>772</v>
      </c>
      <c r="F42" s="1466"/>
      <c r="G42" s="1468" t="s">
        <v>1159</v>
      </c>
      <c r="K42" s="877">
        <f t="shared" si="15"/>
        <v>202302</v>
      </c>
      <c r="L42" s="1462">
        <f>SUM($M$11:M18)+SUM($V$11:V18)</f>
        <v>3394485.1800000006</v>
      </c>
      <c r="M42" s="1462"/>
      <c r="N42" s="1462">
        <f>SUM($O$11:O18)+SUM($X$11:X18)</f>
        <v>701769.27</v>
      </c>
      <c r="O42" s="875">
        <f t="shared" si="16"/>
        <v>4096254.4500000007</v>
      </c>
      <c r="P42" s="1463">
        <f>SUM($Q$11:Q18)</f>
        <v>-1882519.9199999997</v>
      </c>
      <c r="Q42" s="1464"/>
      <c r="R42" s="1464">
        <f>SUM($S$11:S18)</f>
        <v>-311144.97999999992</v>
      </c>
      <c r="S42" s="875">
        <f t="shared" si="17"/>
        <v>-2193664.8999999994</v>
      </c>
      <c r="T42" s="1465"/>
      <c r="U42" s="1465"/>
      <c r="V42" s="1465"/>
      <c r="W42" s="1465"/>
      <c r="X42" s="1465"/>
      <c r="Y42" s="875"/>
      <c r="AA42" s="1168"/>
      <c r="BJ42" s="1415">
        <v>11</v>
      </c>
      <c r="BK42" s="875">
        <v>83147.049999999988</v>
      </c>
      <c r="BL42" s="875">
        <v>444520.91999999917</v>
      </c>
      <c r="BM42" s="875">
        <v>11729.769999999999</v>
      </c>
      <c r="BN42" s="875">
        <v>87188.689999999959</v>
      </c>
      <c r="BO42" s="875">
        <v>626586.42999999912</v>
      </c>
      <c r="BU42" s="1417" t="s">
        <v>1160</v>
      </c>
      <c r="BV42" s="1418">
        <f t="shared" ref="BV42:CG42" si="18">SUM(BV30:BV41)</f>
        <v>-2649331.3900000006</v>
      </c>
      <c r="BW42" s="1419">
        <f t="shared" si="18"/>
        <v>0</v>
      </c>
      <c r="BX42" s="1419">
        <f t="shared" si="18"/>
        <v>0</v>
      </c>
      <c r="BY42" s="1419">
        <f t="shared" si="18"/>
        <v>0</v>
      </c>
      <c r="BZ42" s="1419">
        <f t="shared" si="18"/>
        <v>0</v>
      </c>
      <c r="CA42" s="1420">
        <f t="shared" si="18"/>
        <v>-2649331.3900000006</v>
      </c>
      <c r="CB42" s="1418">
        <f t="shared" si="18"/>
        <v>-409564.33999999997</v>
      </c>
      <c r="CC42" s="1419">
        <f t="shared" si="18"/>
        <v>0</v>
      </c>
      <c r="CD42" s="1419">
        <f t="shared" si="18"/>
        <v>0</v>
      </c>
      <c r="CE42" s="1419">
        <f t="shared" si="18"/>
        <v>0</v>
      </c>
      <c r="CF42" s="1419">
        <f t="shared" si="18"/>
        <v>0</v>
      </c>
      <c r="CG42" s="1420">
        <f t="shared" si="18"/>
        <v>-409564.33999999997</v>
      </c>
    </row>
    <row r="43" spans="1:85" ht="13.5" thickTop="1">
      <c r="A43" s="1466"/>
      <c r="B43" s="1466"/>
      <c r="C43" s="1469" t="s">
        <v>922</v>
      </c>
      <c r="D43" s="1466"/>
      <c r="E43" s="1469" t="s">
        <v>923</v>
      </c>
      <c r="F43" s="1466"/>
      <c r="G43" s="1469" t="s">
        <v>924</v>
      </c>
      <c r="K43" s="877">
        <f t="shared" si="15"/>
        <v>202303</v>
      </c>
      <c r="L43" s="1462">
        <f>SUM($M$11:M19)+SUM($V$11:V19)</f>
        <v>3743270.68</v>
      </c>
      <c r="M43" s="1462"/>
      <c r="N43" s="1462">
        <f>SUM($O$11:O19)+SUM($X$11:X19)</f>
        <v>811374.21</v>
      </c>
      <c r="O43" s="875">
        <f t="shared" si="16"/>
        <v>4554644.8900000006</v>
      </c>
      <c r="P43" s="1463">
        <f>SUM($Q$11:Q19)</f>
        <v>-1959644.3099999998</v>
      </c>
      <c r="Q43" s="1464"/>
      <c r="R43" s="1464">
        <f>SUM($S$11:S19)</f>
        <v>-342234.40999999992</v>
      </c>
      <c r="S43" s="875">
        <f t="shared" si="17"/>
        <v>-2301878.7199999997</v>
      </c>
      <c r="T43" s="1465"/>
      <c r="U43" s="1465"/>
      <c r="V43" s="1465"/>
      <c r="W43" s="1465"/>
      <c r="X43" s="1465"/>
      <c r="Y43" s="875"/>
      <c r="AA43" s="1168"/>
      <c r="BJ43" s="1415">
        <v>12</v>
      </c>
      <c r="BK43" s="875">
        <v>68550.330000000016</v>
      </c>
      <c r="BL43" s="875">
        <v>467026.42000000004</v>
      </c>
      <c r="BM43" s="875">
        <v>8999.7299999999977</v>
      </c>
      <c r="BN43" s="875">
        <v>85871.270000000062</v>
      </c>
      <c r="BO43" s="875">
        <v>630447.75</v>
      </c>
      <c r="BU43" s="1196"/>
      <c r="BV43" s="1423"/>
      <c r="BW43" s="1424"/>
      <c r="BX43" s="1424"/>
      <c r="BY43" s="1424"/>
      <c r="BZ43" s="1424"/>
      <c r="CA43" s="1425"/>
      <c r="CB43" s="1423"/>
      <c r="CC43" s="1424"/>
      <c r="CD43" s="1424"/>
      <c r="CE43" s="1424"/>
      <c r="CF43" s="1424"/>
      <c r="CG43" s="1425"/>
    </row>
    <row r="44" spans="1:85">
      <c r="B44" s="1466"/>
      <c r="D44" s="1466"/>
      <c r="E44" s="1470"/>
      <c r="F44" s="1466"/>
      <c r="K44" s="877">
        <f t="shared" si="15"/>
        <v>202304</v>
      </c>
      <c r="L44" s="1462">
        <f>SUM($M$11:M20)+SUM($V$11:V20)</f>
        <v>4316144.4400000004</v>
      </c>
      <c r="M44" s="1462"/>
      <c r="N44" s="1462">
        <f>SUM($O$11:O20)+SUM($X$11:X20)</f>
        <v>976024.3600000001</v>
      </c>
      <c r="O44" s="875">
        <f t="shared" si="16"/>
        <v>5292168.8000000007</v>
      </c>
      <c r="P44" s="1463">
        <f>SUM($Q$11:Q20)</f>
        <v>-2034603.0499999998</v>
      </c>
      <c r="Q44" s="1464"/>
      <c r="R44" s="1464">
        <f>SUM($S$11:S20)</f>
        <v>-360120.8299999999</v>
      </c>
      <c r="S44" s="875">
        <f t="shared" si="17"/>
        <v>-2394723.88</v>
      </c>
      <c r="T44" s="1465"/>
      <c r="U44" s="1465"/>
      <c r="V44" s="1465"/>
      <c r="W44" s="1465"/>
      <c r="X44" s="1465"/>
      <c r="BJ44" s="1415">
        <v>1</v>
      </c>
      <c r="BK44" s="875">
        <v>51342.759999999944</v>
      </c>
      <c r="BL44" s="875">
        <v>393015.56999999995</v>
      </c>
      <c r="BM44" s="875">
        <v>7150.9700000000039</v>
      </c>
      <c r="BN44" s="875">
        <v>85449.560000000056</v>
      </c>
      <c r="BO44" s="875">
        <v>536958.86</v>
      </c>
      <c r="BU44" s="1196">
        <v>44927</v>
      </c>
      <c r="BV44" s="1454">
        <v>0</v>
      </c>
      <c r="BW44" s="1455">
        <v>0</v>
      </c>
      <c r="BX44" s="1455">
        <v>0</v>
      </c>
      <c r="BY44" s="1455">
        <v>0</v>
      </c>
      <c r="BZ44" s="1455">
        <v>0</v>
      </c>
      <c r="CA44" s="1456">
        <f t="shared" ref="CA44:CA49" si="19">BV44+BZ44</f>
        <v>0</v>
      </c>
      <c r="CB44" s="1454">
        <v>0</v>
      </c>
      <c r="CC44" s="1455">
        <v>0</v>
      </c>
      <c r="CD44" s="1455">
        <v>0</v>
      </c>
      <c r="CE44" s="1455">
        <v>0</v>
      </c>
      <c r="CF44" s="1455">
        <v>0</v>
      </c>
      <c r="CG44" s="1456">
        <f t="shared" ref="CG44:CG49" si="20">CB44+CF44</f>
        <v>0</v>
      </c>
    </row>
    <row r="45" spans="1:85">
      <c r="A45" s="1388" t="s">
        <v>1161</v>
      </c>
      <c r="B45" s="1466"/>
      <c r="D45" s="1466"/>
      <c r="E45" s="1470"/>
      <c r="F45" s="1466"/>
      <c r="K45" s="877">
        <f t="shared" si="15"/>
        <v>202305</v>
      </c>
      <c r="L45" s="1462">
        <f>SUM($M$11:M21)+SUM($V$11:V21)</f>
        <v>4777568.9399999995</v>
      </c>
      <c r="M45" s="1462"/>
      <c r="N45" s="1462">
        <f>SUM($O$11:O21)+SUM($X$11:X21)</f>
        <v>1133726.82</v>
      </c>
      <c r="O45" s="875">
        <f t="shared" si="16"/>
        <v>5911295.7599999998</v>
      </c>
      <c r="P45" s="1463">
        <f>SUM($Q$11:Q21)</f>
        <v>-2115756.63</v>
      </c>
      <c r="Q45" s="1464"/>
      <c r="R45" s="1464">
        <f>SUM($S$11:S21)</f>
        <v>-383494.12999999989</v>
      </c>
      <c r="S45" s="875">
        <f t="shared" si="17"/>
        <v>-2499250.7599999998</v>
      </c>
      <c r="T45" s="1465"/>
      <c r="U45" s="1465"/>
      <c r="V45" s="1465"/>
      <c r="W45" s="1465"/>
      <c r="X45" s="1465"/>
      <c r="BJ45" s="1415">
        <v>2</v>
      </c>
      <c r="BK45" s="875">
        <v>47489.049999999981</v>
      </c>
      <c r="BL45" s="875">
        <v>548454.64000000071</v>
      </c>
      <c r="BM45" s="875">
        <v>10381.799999999999</v>
      </c>
      <c r="BN45" s="875">
        <v>84488.380000000063</v>
      </c>
      <c r="BO45" s="875">
        <v>690813.87000000081</v>
      </c>
      <c r="BU45" s="1196">
        <v>44958</v>
      </c>
      <c r="BV45" s="1454">
        <v>0</v>
      </c>
      <c r="BW45" s="1455">
        <v>0</v>
      </c>
      <c r="BX45" s="1455">
        <v>0</v>
      </c>
      <c r="BY45" s="1455">
        <v>0</v>
      </c>
      <c r="BZ45" s="1455">
        <v>0</v>
      </c>
      <c r="CA45" s="1456">
        <f t="shared" si="19"/>
        <v>0</v>
      </c>
      <c r="CB45" s="1454">
        <v>0</v>
      </c>
      <c r="CC45" s="1455">
        <v>0</v>
      </c>
      <c r="CD45" s="1455">
        <v>0</v>
      </c>
      <c r="CE45" s="1455">
        <v>0</v>
      </c>
      <c r="CF45" s="1455">
        <v>0</v>
      </c>
      <c r="CG45" s="1456">
        <f t="shared" si="20"/>
        <v>0</v>
      </c>
    </row>
    <row r="46" spans="1:85">
      <c r="A46" s="1389" t="s">
        <v>1162</v>
      </c>
      <c r="B46" s="1471"/>
      <c r="C46" s="1410">
        <f>-'G-2.03 Uncoll'!AS22</f>
        <v>601472946.94999993</v>
      </c>
      <c r="D46" s="1421" t="s">
        <v>1163</v>
      </c>
      <c r="E46" s="1472">
        <f>ROUND(C46/C48,4)</f>
        <v>0.70499999999999996</v>
      </c>
      <c r="F46" s="1466"/>
      <c r="G46" s="1410">
        <f>ROUND(G48*E46,0)</f>
        <v>2978288</v>
      </c>
      <c r="K46" s="877">
        <f t="shared" si="15"/>
        <v>202306</v>
      </c>
      <c r="L46" s="1462">
        <f>SUM($M$11:M22)+SUM($V$11:V22)</f>
        <v>5467510.2999999989</v>
      </c>
      <c r="M46" s="1462"/>
      <c r="N46" s="1462">
        <f>SUM($O$11:O22)+SUM($X$11:X22)</f>
        <v>1341007.74</v>
      </c>
      <c r="O46" s="875">
        <f t="shared" si="16"/>
        <v>6808518.0399999991</v>
      </c>
      <c r="P46" s="1463">
        <f>SUM($Q$11:Q22)</f>
        <v>-2182270</v>
      </c>
      <c r="Q46" s="1462"/>
      <c r="R46" s="1464">
        <f>SUM($S$11:S22)</f>
        <v>-401726.42999999988</v>
      </c>
      <c r="S46" s="875">
        <f t="shared" si="17"/>
        <v>-2583996.4299999997</v>
      </c>
      <c r="T46" s="1465"/>
      <c r="U46" s="1465"/>
      <c r="V46" s="1465"/>
      <c r="W46" s="1465"/>
      <c r="X46" s="1465"/>
      <c r="BJ46" s="1415">
        <v>3</v>
      </c>
      <c r="BK46" s="875">
        <v>62051.390000000072</v>
      </c>
      <c r="BL46" s="875">
        <v>348785.49999999953</v>
      </c>
      <c r="BM46" s="875">
        <v>17425.949999999993</v>
      </c>
      <c r="BN46" s="875">
        <v>109604.93999999994</v>
      </c>
      <c r="BO46" s="875">
        <v>537867.77999999956</v>
      </c>
      <c r="BU46" s="1196">
        <v>44986</v>
      </c>
      <c r="BV46" s="1454">
        <v>492784.2</v>
      </c>
      <c r="BW46" s="1455">
        <v>0</v>
      </c>
      <c r="BX46" s="1457">
        <v>0</v>
      </c>
      <c r="BY46" s="1455">
        <v>0</v>
      </c>
      <c r="BZ46" s="1455">
        <v>0</v>
      </c>
      <c r="CA46" s="1456">
        <f t="shared" si="19"/>
        <v>492784.2</v>
      </c>
      <c r="CB46" s="1454">
        <v>109522.25</v>
      </c>
      <c r="CC46" s="1455">
        <v>0</v>
      </c>
      <c r="CD46" s="1455">
        <v>0</v>
      </c>
      <c r="CE46" s="1455">
        <v>0</v>
      </c>
      <c r="CF46" s="1455">
        <v>0</v>
      </c>
      <c r="CG46" s="1456">
        <f t="shared" si="20"/>
        <v>109522.25</v>
      </c>
    </row>
    <row r="47" spans="1:85">
      <c r="A47" s="1389" t="s">
        <v>1164</v>
      </c>
      <c r="B47" s="1471"/>
      <c r="C47" s="1473">
        <v>251720333.60999998</v>
      </c>
      <c r="D47" s="1421" t="s">
        <v>1163</v>
      </c>
      <c r="E47" s="1474">
        <f>1-E46</f>
        <v>0.29500000000000004</v>
      </c>
      <c r="F47" s="1466"/>
      <c r="G47" s="1473">
        <f>G48-G46</f>
        <v>1246234</v>
      </c>
      <c r="BJ47" s="1415">
        <v>4</v>
      </c>
      <c r="BK47" s="875">
        <v>79638.139999999985</v>
      </c>
      <c r="BL47" s="875">
        <v>572873.76000000024</v>
      </c>
      <c r="BM47" s="875">
        <v>21055.34</v>
      </c>
      <c r="BN47" s="875">
        <v>164650.15000000008</v>
      </c>
      <c r="BO47" s="875">
        <v>838217.39000000036</v>
      </c>
      <c r="BU47" s="1196">
        <v>45017</v>
      </c>
      <c r="BV47" s="1454">
        <v>-2157.17</v>
      </c>
      <c r="BW47" s="1455">
        <v>0</v>
      </c>
      <c r="BX47" s="1455">
        <v>0</v>
      </c>
      <c r="BY47" s="1455">
        <v>0</v>
      </c>
      <c r="BZ47" s="1455">
        <v>0</v>
      </c>
      <c r="CA47" s="1456">
        <f t="shared" si="19"/>
        <v>-2157.17</v>
      </c>
      <c r="CB47" s="1454">
        <v>23576.02</v>
      </c>
      <c r="CC47" s="1455">
        <v>0</v>
      </c>
      <c r="CD47" s="1455">
        <v>0</v>
      </c>
      <c r="CE47" s="1455">
        <v>0</v>
      </c>
      <c r="CF47" s="1455">
        <v>0</v>
      </c>
      <c r="CG47" s="1456">
        <f t="shared" si="20"/>
        <v>23576.02</v>
      </c>
    </row>
    <row r="48" spans="1:85">
      <c r="A48" s="1389" t="s">
        <v>24</v>
      </c>
      <c r="B48" s="1466"/>
      <c r="C48" s="1475">
        <f>C46+C47</f>
        <v>853193280.55999994</v>
      </c>
      <c r="D48" s="1466"/>
      <c r="E48" s="1472">
        <f>E46+E47</f>
        <v>1</v>
      </c>
      <c r="F48" s="1466"/>
      <c r="G48" s="1475">
        <f>ROUND(C67,0)</f>
        <v>4224522</v>
      </c>
      <c r="BJ48" s="1415">
        <v>5</v>
      </c>
      <c r="BK48" s="875">
        <v>82650.419999999984</v>
      </c>
      <c r="BL48" s="875">
        <v>461424.49999999948</v>
      </c>
      <c r="BM48" s="875">
        <v>26935.069999999985</v>
      </c>
      <c r="BN48" s="875">
        <v>157702.45999999988</v>
      </c>
      <c r="BO48" s="875">
        <v>728712.44999999925</v>
      </c>
      <c r="BU48" s="1196">
        <v>45047</v>
      </c>
      <c r="BV48" s="1454">
        <v>68615.92</v>
      </c>
      <c r="BW48" s="1455">
        <v>0</v>
      </c>
      <c r="BX48" s="1455">
        <v>0</v>
      </c>
      <c r="BY48" s="1455">
        <v>0</v>
      </c>
      <c r="BZ48" s="1455">
        <v>0</v>
      </c>
      <c r="CA48" s="1456">
        <f t="shared" si="19"/>
        <v>68615.92</v>
      </c>
      <c r="CB48" s="1457">
        <v>5650.46</v>
      </c>
      <c r="CC48" s="1455">
        <v>0</v>
      </c>
      <c r="CD48" s="1455">
        <v>0</v>
      </c>
      <c r="CE48" s="1455">
        <v>0</v>
      </c>
      <c r="CF48" s="1455">
        <v>0</v>
      </c>
      <c r="CG48" s="1456">
        <f t="shared" si="20"/>
        <v>5650.46</v>
      </c>
    </row>
    <row r="49" spans="1:85">
      <c r="B49" s="1466"/>
      <c r="C49" s="1410"/>
      <c r="D49" s="1466"/>
      <c r="E49" s="1472"/>
      <c r="F49" s="1466"/>
      <c r="G49" s="1410"/>
      <c r="BJ49" s="1415">
        <v>6</v>
      </c>
      <c r="BK49" s="875">
        <v>89523.840000000011</v>
      </c>
      <c r="BL49" s="875">
        <v>689941.35999999952</v>
      </c>
      <c r="BM49" s="875">
        <v>32976.800000000017</v>
      </c>
      <c r="BN49" s="875">
        <v>207280.91999999984</v>
      </c>
      <c r="BO49" s="875">
        <v>1019722.9199999993</v>
      </c>
      <c r="BU49" s="1196">
        <v>45078</v>
      </c>
      <c r="BV49" s="1454">
        <v>44428.52</v>
      </c>
      <c r="BW49" s="1455">
        <v>0</v>
      </c>
      <c r="BX49" s="1455">
        <v>0</v>
      </c>
      <c r="BY49" s="1455">
        <v>0</v>
      </c>
      <c r="BZ49" s="1455">
        <v>0</v>
      </c>
      <c r="CA49" s="1456">
        <f t="shared" si="19"/>
        <v>44428.52</v>
      </c>
      <c r="CB49" s="1454">
        <v>17225.599999999999</v>
      </c>
      <c r="CC49" s="1455">
        <v>0</v>
      </c>
      <c r="CD49" s="1455">
        <v>0</v>
      </c>
      <c r="CE49" s="1455">
        <v>0</v>
      </c>
      <c r="CF49" s="1455">
        <v>0</v>
      </c>
      <c r="CG49" s="1456">
        <f t="shared" si="20"/>
        <v>17225.599999999999</v>
      </c>
    </row>
    <row r="50" spans="1:85" ht="15" thickBot="1">
      <c r="B50" s="1466"/>
      <c r="C50" s="1410"/>
      <c r="D50" s="1466"/>
      <c r="E50" s="1472"/>
      <c r="F50" s="1466"/>
      <c r="G50" s="1410"/>
      <c r="BJ50" s="1476" t="s">
        <v>978</v>
      </c>
      <c r="BK50" s="1477">
        <f>SUBTOTAL(9,BK12:BK49)</f>
        <v>-191741.89000000025</v>
      </c>
      <c r="BL50" s="1477">
        <f>SUBTOTAL(9,BL12:BL49)</f>
        <v>919567.65999999922</v>
      </c>
      <c r="BM50" s="1477">
        <f>SUBTOTAL(9,BM12:BM49)</f>
        <v>24388.910000000011</v>
      </c>
      <c r="BN50" s="1477">
        <f>SUBTOTAL(9,BN12:BN49)</f>
        <v>449511.61</v>
      </c>
      <c r="BO50" s="1477">
        <f>SUBTOTAL(9,BO12:BO49)</f>
        <v>1201726.2899999991</v>
      </c>
      <c r="BU50" s="1417" t="s">
        <v>1165</v>
      </c>
      <c r="BV50" s="1418">
        <f t="shared" ref="BV50:CG50" si="21">SUM(BV44:BV49)</f>
        <v>603671.47000000009</v>
      </c>
      <c r="BW50" s="1419">
        <f t="shared" si="21"/>
        <v>0</v>
      </c>
      <c r="BX50" s="1419">
        <f t="shared" si="21"/>
        <v>0</v>
      </c>
      <c r="BY50" s="1419">
        <f t="shared" si="21"/>
        <v>0</v>
      </c>
      <c r="BZ50" s="1419">
        <f t="shared" si="21"/>
        <v>0</v>
      </c>
      <c r="CA50" s="1420">
        <f t="shared" si="21"/>
        <v>603671.47000000009</v>
      </c>
      <c r="CB50" s="1418">
        <f t="shared" si="21"/>
        <v>155974.32999999999</v>
      </c>
      <c r="CC50" s="1419">
        <f t="shared" si="21"/>
        <v>0</v>
      </c>
      <c r="CD50" s="1419">
        <f t="shared" si="21"/>
        <v>0</v>
      </c>
      <c r="CE50" s="1419">
        <f t="shared" si="21"/>
        <v>0</v>
      </c>
      <c r="CF50" s="1419">
        <f t="shared" si="21"/>
        <v>0</v>
      </c>
      <c r="CG50" s="1420">
        <f t="shared" si="21"/>
        <v>155974.32999999999</v>
      </c>
    </row>
    <row r="51" spans="1:85" ht="13.5" thickTop="1">
      <c r="B51" s="1466"/>
      <c r="C51" s="1410"/>
      <c r="D51" s="1466"/>
      <c r="E51" s="1472"/>
      <c r="F51" s="1466"/>
      <c r="G51" s="1410"/>
      <c r="BU51" s="1196"/>
      <c r="BV51" s="1423"/>
      <c r="BW51" s="1424"/>
      <c r="BX51" s="1424"/>
      <c r="BY51" s="1424"/>
      <c r="BZ51" s="1424"/>
      <c r="CA51" s="1425"/>
      <c r="CB51" s="1423"/>
      <c r="CC51" s="1424"/>
      <c r="CD51" s="1424"/>
      <c r="CE51" s="1424"/>
      <c r="CF51" s="1424"/>
      <c r="CG51" s="1425"/>
    </row>
    <row r="52" spans="1:85" ht="15" thickBot="1">
      <c r="A52" s="1388" t="s">
        <v>1166</v>
      </c>
      <c r="B52" s="1466"/>
      <c r="C52" s="1410"/>
      <c r="D52" s="1466"/>
      <c r="E52" s="1472"/>
      <c r="F52" s="1466"/>
      <c r="G52" s="1410"/>
      <c r="BU52" s="1217" t="s">
        <v>978</v>
      </c>
      <c r="BV52" s="1478">
        <f t="shared" ref="BV52:CG52" si="22">BV12+BV28+BV42+BV50</f>
        <v>1223445.255397663</v>
      </c>
      <c r="BW52" s="1479">
        <f t="shared" si="22"/>
        <v>5206446.18</v>
      </c>
      <c r="BX52" s="1479">
        <f t="shared" si="22"/>
        <v>131628.55870129232</v>
      </c>
      <c r="BY52" s="1479">
        <f t="shared" si="22"/>
        <v>156969.17804883517</v>
      </c>
      <c r="BZ52" s="1480">
        <f t="shared" si="22"/>
        <v>5495043.9167501274</v>
      </c>
      <c r="CA52" s="1481">
        <f t="shared" si="22"/>
        <v>6718489.172147789</v>
      </c>
      <c r="CB52" s="1478">
        <f t="shared" si="22"/>
        <v>695878.3984726225</v>
      </c>
      <c r="CC52" s="1479">
        <f t="shared" si="22"/>
        <v>1149893.82</v>
      </c>
      <c r="CD52" s="1479">
        <f t="shared" si="22"/>
        <v>29071.441298707672</v>
      </c>
      <c r="CE52" s="1479">
        <f t="shared" si="22"/>
        <v>34668.145098480243</v>
      </c>
      <c r="CF52" s="1480">
        <f t="shared" si="22"/>
        <v>1213633.4063971878</v>
      </c>
      <c r="CG52" s="1481">
        <f t="shared" si="22"/>
        <v>1909511.8048698111</v>
      </c>
    </row>
    <row r="53" spans="1:85">
      <c r="A53" s="1389" t="s">
        <v>1162</v>
      </c>
      <c r="B53" s="1471"/>
      <c r="C53" s="1410">
        <f>-'G-2.03 Uncoll'!BE22</f>
        <v>282503665.85000002</v>
      </c>
      <c r="D53" s="1421" t="s">
        <v>1163</v>
      </c>
      <c r="E53" s="1472">
        <f>ROUND(C53/C55,4)</f>
        <v>0.72640000000000005</v>
      </c>
      <c r="F53" s="1466"/>
      <c r="G53" s="1410">
        <f>ROUND(G55*E53,0)</f>
        <v>534622</v>
      </c>
      <c r="BU53" s="477"/>
      <c r="BV53" s="477"/>
      <c r="BW53" s="477"/>
      <c r="BX53" s="477"/>
      <c r="BY53" s="477"/>
      <c r="BZ53" s="477"/>
      <c r="CA53" s="477"/>
      <c r="CB53" s="477"/>
      <c r="CC53" s="477"/>
      <c r="CD53" s="477"/>
      <c r="CE53" s="477"/>
      <c r="CF53" s="477"/>
      <c r="CG53" s="477"/>
    </row>
    <row r="54" spans="1:85" ht="15" thickBot="1">
      <c r="A54" s="1389" t="s">
        <v>1164</v>
      </c>
      <c r="B54" s="1471"/>
      <c r="C54" s="1473">
        <v>106386482.02</v>
      </c>
      <c r="D54" s="1421" t="s">
        <v>1163</v>
      </c>
      <c r="E54" s="1474">
        <f>1-E53</f>
        <v>0.27359999999999995</v>
      </c>
      <c r="F54" s="1466"/>
      <c r="G54" s="1473">
        <f>G55-G53</f>
        <v>201366</v>
      </c>
      <c r="BU54" s="1482" t="s">
        <v>1167</v>
      </c>
      <c r="BV54" s="1483">
        <v>4864714.43</v>
      </c>
      <c r="BW54" s="1483">
        <v>0</v>
      </c>
      <c r="BX54" s="1483">
        <v>0</v>
      </c>
      <c r="BY54" s="1483">
        <v>0</v>
      </c>
      <c r="BZ54" s="1483">
        <v>0</v>
      </c>
      <c r="CA54" s="1483">
        <v>4864714.4299999988</v>
      </c>
      <c r="CB54" s="1483">
        <v>1311657.7799999998</v>
      </c>
      <c r="CC54" s="1483">
        <v>0</v>
      </c>
      <c r="CD54" s="1483">
        <v>0</v>
      </c>
      <c r="CE54" s="1483">
        <v>0</v>
      </c>
      <c r="CF54" s="1483">
        <v>0</v>
      </c>
      <c r="CG54" s="1483">
        <v>1311657.7799999998</v>
      </c>
    </row>
    <row r="55" spans="1:85" ht="15" thickTop="1">
      <c r="A55" s="1389" t="s">
        <v>24</v>
      </c>
      <c r="B55" s="1466"/>
      <c r="C55" s="1475">
        <f>C53+C54</f>
        <v>388890147.87</v>
      </c>
      <c r="D55" s="1466"/>
      <c r="E55" s="1472">
        <f>E53+E54</f>
        <v>1</v>
      </c>
      <c r="F55" s="1466"/>
      <c r="G55" s="1475">
        <f>C71</f>
        <v>735988</v>
      </c>
      <c r="BJ55" s="1405" t="str">
        <f>BJ8</f>
        <v>TWELVE MONTHS ENDED JUNE 30, 2023</v>
      </c>
      <c r="BK55" s="1405"/>
      <c r="BU55" s="1217"/>
      <c r="BV55" s="477"/>
      <c r="BW55" s="477"/>
      <c r="BX55" s="477"/>
      <c r="BY55" s="477"/>
      <c r="BZ55" s="477"/>
      <c r="CA55" s="477"/>
      <c r="CB55" s="477"/>
      <c r="CC55" s="477"/>
      <c r="CD55" s="477"/>
      <c r="CE55" s="477"/>
      <c r="CF55" s="477"/>
      <c r="CG55" s="477"/>
    </row>
    <row r="56" spans="1:85" ht="15" thickBot="1">
      <c r="B56" s="1466"/>
      <c r="C56" s="1410"/>
      <c r="D56" s="1466"/>
      <c r="F56" s="1466"/>
      <c r="G56" s="1410"/>
      <c r="BJ56" s="1405"/>
      <c r="BK56" s="1405" t="s">
        <v>682</v>
      </c>
      <c r="BU56" s="1484" t="s">
        <v>1168</v>
      </c>
      <c r="BV56" s="1485">
        <v>-1595609.25460233</v>
      </c>
      <c r="BW56" s="1485">
        <v>5206446.18</v>
      </c>
      <c r="BX56" s="1485">
        <v>131628.55870129232</v>
      </c>
      <c r="BY56" s="1485">
        <v>156969.17804883517</v>
      </c>
      <c r="BZ56" s="1485">
        <v>5495043.9167501274</v>
      </c>
      <c r="CA56" s="1485">
        <v>3899434.662147793</v>
      </c>
      <c r="CB56" s="1485">
        <v>-362189.37152737728</v>
      </c>
      <c r="CC56" s="1485">
        <v>1149893.82</v>
      </c>
      <c r="CD56" s="1485">
        <v>29071.441298707672</v>
      </c>
      <c r="CE56" s="1485">
        <v>34668.145098480243</v>
      </c>
      <c r="CF56" s="1485">
        <v>1213633.4063971878</v>
      </c>
      <c r="CG56" s="1485">
        <v>851444.03486981068</v>
      </c>
    </row>
    <row r="57" spans="1:85" ht="14" thickTop="1" thickBot="1">
      <c r="A57" s="1388" t="s">
        <v>1169</v>
      </c>
      <c r="B57" s="1466"/>
      <c r="C57" s="1486">
        <f>C55+C48</f>
        <v>1242083428.4299998</v>
      </c>
      <c r="D57" s="1466"/>
      <c r="F57" s="1466"/>
      <c r="G57" s="1486">
        <f>G55+G48</f>
        <v>4960510</v>
      </c>
      <c r="BJ57" s="1408" t="s">
        <v>1170</v>
      </c>
      <c r="BK57" s="1408" t="s">
        <v>678</v>
      </c>
      <c r="BU57" s="477"/>
      <c r="BV57" s="916">
        <v>0</v>
      </c>
      <c r="BW57" s="916">
        <v>0</v>
      </c>
      <c r="BX57" s="916">
        <v>0</v>
      </c>
      <c r="BY57" s="916">
        <v>0</v>
      </c>
      <c r="BZ57" s="916">
        <v>0</v>
      </c>
      <c r="CA57" s="916">
        <v>0</v>
      </c>
      <c r="CB57" s="916">
        <v>0</v>
      </c>
      <c r="CC57" s="916">
        <v>0</v>
      </c>
      <c r="CD57" s="916">
        <v>0</v>
      </c>
      <c r="CE57" s="916">
        <v>0</v>
      </c>
      <c r="CF57" s="916">
        <v>0</v>
      </c>
      <c r="CG57" s="916">
        <v>0</v>
      </c>
    </row>
    <row r="58" spans="1:85" ht="13.5" thickTop="1">
      <c r="C58" s="1410"/>
      <c r="Y58" s="531"/>
      <c r="Z58" s="531"/>
      <c r="AA58" s="531"/>
      <c r="AB58" s="531"/>
      <c r="AC58" s="531"/>
      <c r="AD58" s="531"/>
      <c r="AE58" s="531"/>
      <c r="AF58" s="531"/>
      <c r="BJ58" s="1413" t="s">
        <v>1128</v>
      </c>
      <c r="BK58" s="1414"/>
      <c r="BQ58" s="1446" t="s">
        <v>1171</v>
      </c>
    </row>
    <row r="59" spans="1:85">
      <c r="A59" s="1389" t="s">
        <v>1172</v>
      </c>
      <c r="Y59" s="531"/>
      <c r="Z59" s="531"/>
      <c r="AA59" s="531"/>
      <c r="AB59" s="531"/>
      <c r="AC59" s="531"/>
      <c r="AD59" s="531"/>
      <c r="AE59" s="531"/>
      <c r="AF59" s="531"/>
      <c r="BJ59" s="1415">
        <v>7</v>
      </c>
      <c r="BK59" s="875">
        <v>613130.38000000024</v>
      </c>
      <c r="BX59" s="1487" t="s">
        <v>1173</v>
      </c>
      <c r="BY59" s="633" t="s">
        <v>1174</v>
      </c>
      <c r="BZ59" s="633" t="s">
        <v>1175</v>
      </c>
      <c r="CA59" s="633" t="s">
        <v>1176</v>
      </c>
    </row>
    <row r="60" spans="1:85">
      <c r="BJ60" s="1415">
        <v>8</v>
      </c>
      <c r="BK60" s="875">
        <v>400295.71000000025</v>
      </c>
      <c r="BX60" s="1487" t="s">
        <v>1177</v>
      </c>
      <c r="BY60" s="515">
        <f>SUM(BV44:BV49,BV36:BV41)</f>
        <v>-2335435.4299999997</v>
      </c>
      <c r="BZ60" s="515">
        <f>SUM(CB44:CB49,CB36:CB41)</f>
        <v>-303710.06000000006</v>
      </c>
      <c r="CA60" s="515">
        <f>SUM(CC38:CC43,CC46:CC49)</f>
        <v>0</v>
      </c>
    </row>
    <row r="61" spans="1:85">
      <c r="A61" s="1389" t="s">
        <v>1178</v>
      </c>
      <c r="K61" s="531"/>
      <c r="L61" s="531"/>
      <c r="M61" s="531"/>
      <c r="N61" s="531"/>
      <c r="O61" s="531"/>
      <c r="P61" s="531"/>
      <c r="Q61" s="531"/>
      <c r="R61" s="531"/>
      <c r="S61" s="531"/>
      <c r="T61" s="531"/>
      <c r="U61" s="531"/>
      <c r="V61" s="531"/>
      <c r="W61" s="531"/>
      <c r="X61" s="531"/>
      <c r="AG61" s="531"/>
      <c r="AH61" s="531"/>
      <c r="AI61" s="531"/>
      <c r="BJ61" s="1415">
        <v>9</v>
      </c>
      <c r="BK61" s="875">
        <v>333690.08999999962</v>
      </c>
      <c r="BX61" s="1487" t="s">
        <v>1179</v>
      </c>
      <c r="BY61" s="916">
        <f>SUM(BW44:BW49,BW36:BW41)</f>
        <v>0</v>
      </c>
      <c r="BZ61" s="916">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15">
        <v>10</v>
      </c>
      <c r="BK62" s="875">
        <v>341404.77999999974</v>
      </c>
      <c r="BX62" s="1487" t="s">
        <v>1180</v>
      </c>
      <c r="BY62" s="515">
        <f>SUM(BX44:BY49,BX36:BY41)</f>
        <v>0</v>
      </c>
      <c r="BZ62" s="515">
        <f>SUM(CD44:CE49,CD36:CE41)</f>
        <v>0</v>
      </c>
      <c r="CA62" s="477" t="s">
        <v>1181</v>
      </c>
    </row>
    <row r="63" spans="1:85">
      <c r="B63" s="1406" t="s">
        <v>1182</v>
      </c>
      <c r="C63" s="1488" t="s">
        <v>1183</v>
      </c>
      <c r="BJ63" s="1415">
        <v>11</v>
      </c>
      <c r="BK63" s="875">
        <v>211048.30999999971</v>
      </c>
      <c r="BX63" s="477"/>
      <c r="BY63" s="1129">
        <f>SUM(BY60:BY62)</f>
        <v>-2335435.4299999997</v>
      </c>
      <c r="BZ63" s="1129">
        <f>SUM(BZ60:BZ62)</f>
        <v>-303710.06000000006</v>
      </c>
      <c r="CA63" s="1323" t="s">
        <v>485</v>
      </c>
    </row>
    <row r="64" spans="1:85">
      <c r="A64" s="1489" t="s">
        <v>80</v>
      </c>
      <c r="BJ64" s="1415">
        <v>12</v>
      </c>
      <c r="BK64" s="875">
        <v>231156.85000000027</v>
      </c>
    </row>
    <row r="65" spans="1:69">
      <c r="A65" s="1389" t="s">
        <v>1184</v>
      </c>
      <c r="B65" s="1490"/>
      <c r="C65" s="1491">
        <f>ROUND('G-2.03 Uncoll'!L30,0)</f>
        <v>6808518</v>
      </c>
      <c r="D65" s="1421" t="s">
        <v>1133</v>
      </c>
      <c r="E65" s="1492"/>
      <c r="F65" s="477"/>
      <c r="G65" s="477"/>
      <c r="BJ65" s="1415">
        <v>1</v>
      </c>
      <c r="BK65" s="875">
        <v>265993.34000000003</v>
      </c>
    </row>
    <row r="66" spans="1:69">
      <c r="A66" s="1389" t="s">
        <v>1185</v>
      </c>
      <c r="B66" s="1490"/>
      <c r="C66" s="1491">
        <f>'G-2.03 Uncoll'!P30</f>
        <v>-2583996.4299999997</v>
      </c>
      <c r="D66" s="1421" t="s">
        <v>1133</v>
      </c>
      <c r="E66" s="477"/>
      <c r="F66" s="477"/>
      <c r="G66" s="477"/>
      <c r="BJ66" s="1415">
        <v>2</v>
      </c>
      <c r="BK66" s="875">
        <v>208995.60999999964</v>
      </c>
    </row>
    <row r="67" spans="1:69">
      <c r="B67" s="1490"/>
      <c r="C67" s="1493">
        <f>SUM(C65:C66)</f>
        <v>4224521.57</v>
      </c>
      <c r="D67" s="1422"/>
      <c r="E67" s="477"/>
      <c r="F67" s="477"/>
      <c r="G67" s="477"/>
      <c r="BJ67" s="1415">
        <v>3</v>
      </c>
      <c r="BK67" s="875">
        <v>228521.90000000002</v>
      </c>
    </row>
    <row r="68" spans="1:69">
      <c r="A68" s="1489" t="s">
        <v>81</v>
      </c>
      <c r="B68" s="1490"/>
      <c r="C68" s="1494"/>
      <c r="D68" s="1422"/>
      <c r="E68" s="477"/>
      <c r="F68" s="477"/>
      <c r="G68" s="477"/>
      <c r="BJ68" s="1415">
        <v>4</v>
      </c>
      <c r="BK68" s="875">
        <v>422975.90999999951</v>
      </c>
    </row>
    <row r="69" spans="1:69">
      <c r="A69" s="1389" t="s">
        <v>1186</v>
      </c>
      <c r="B69" s="1490"/>
      <c r="C69" s="1491">
        <f>ROUND('G-2.03 Uncoll'!L29,0)</f>
        <v>1080618</v>
      </c>
      <c r="D69" s="1421" t="s">
        <v>1133</v>
      </c>
      <c r="E69" s="477"/>
      <c r="F69" s="477"/>
      <c r="G69" s="477"/>
      <c r="BJ69" s="1415">
        <v>5</v>
      </c>
      <c r="BK69" s="875">
        <v>419135.15999999974</v>
      </c>
    </row>
    <row r="70" spans="1:69">
      <c r="A70" s="1389" t="s">
        <v>1187</v>
      </c>
      <c r="B70" s="1490"/>
      <c r="C70" s="1491">
        <f>ROUND('G-2.03 Uncoll'!P29,0)</f>
        <v>-344630</v>
      </c>
      <c r="D70" s="1421" t="s">
        <v>1133</v>
      </c>
      <c r="E70" s="477"/>
      <c r="F70" s="477"/>
      <c r="G70" s="477"/>
      <c r="BJ70" s="1415">
        <v>6</v>
      </c>
      <c r="BK70" s="875">
        <v>537113.00000000023</v>
      </c>
    </row>
    <row r="71" spans="1:69">
      <c r="C71" s="1493">
        <f>SUM(C69:C70)</f>
        <v>735988</v>
      </c>
      <c r="E71" s="477"/>
      <c r="F71" s="477"/>
      <c r="G71" s="477"/>
      <c r="BJ71" s="1413" t="s">
        <v>1153</v>
      </c>
      <c r="BK71" s="1414"/>
      <c r="BQ71" s="1446" t="s">
        <v>1188</v>
      </c>
    </row>
    <row r="72" spans="1:69">
      <c r="C72" s="1494"/>
      <c r="E72" s="477"/>
      <c r="F72" s="477"/>
      <c r="G72" s="477"/>
      <c r="BJ72" s="1415">
        <v>7</v>
      </c>
      <c r="BK72" s="875">
        <v>0</v>
      </c>
    </row>
    <row r="73" spans="1:69">
      <c r="C73" s="1494">
        <f>C67+C71</f>
        <v>4960509.57</v>
      </c>
      <c r="E73" s="1495">
        <f>ROUND(G57-C73,0)</f>
        <v>0</v>
      </c>
      <c r="F73" s="1496" t="s">
        <v>1189</v>
      </c>
      <c r="BJ73" s="1415">
        <v>8</v>
      </c>
      <c r="BK73" s="875">
        <v>0</v>
      </c>
    </row>
    <row r="74" spans="1:69">
      <c r="BJ74" s="1415">
        <v>9</v>
      </c>
      <c r="BK74" s="875">
        <v>0</v>
      </c>
    </row>
    <row r="75" spans="1:69">
      <c r="A75" s="1497"/>
      <c r="BJ75" s="1415">
        <v>10</v>
      </c>
      <c r="BK75" s="875">
        <v>0</v>
      </c>
    </row>
    <row r="76" spans="1:69">
      <c r="BJ76" s="1415">
        <v>11</v>
      </c>
      <c r="BK76" s="875">
        <v>0</v>
      </c>
    </row>
    <row r="77" spans="1:69">
      <c r="BJ77" s="1415">
        <v>12</v>
      </c>
      <c r="BK77" s="875">
        <v>0</v>
      </c>
    </row>
    <row r="78" spans="1:69">
      <c r="BJ78" s="1415">
        <v>1</v>
      </c>
      <c r="BK78" s="875">
        <v>0</v>
      </c>
    </row>
    <row r="79" spans="1:69">
      <c r="Y79" s="531"/>
      <c r="Z79" s="531"/>
      <c r="AA79" s="531"/>
      <c r="AB79" s="531"/>
      <c r="AC79" s="531"/>
      <c r="AD79" s="531"/>
      <c r="AE79" s="531"/>
      <c r="AF79" s="531"/>
      <c r="BJ79" s="1415">
        <v>2</v>
      </c>
      <c r="BK79" s="875">
        <v>0</v>
      </c>
    </row>
    <row r="80" spans="1:69">
      <c r="BJ80" s="1415">
        <v>3</v>
      </c>
      <c r="BK80" s="875">
        <v>0</v>
      </c>
    </row>
    <row r="81" spans="11:63">
      <c r="BJ81" s="1415">
        <v>4</v>
      </c>
      <c r="BK81" s="875">
        <v>0</v>
      </c>
    </row>
    <row r="82" spans="11:63">
      <c r="K82" s="531"/>
      <c r="L82" s="531"/>
      <c r="M82" s="531"/>
      <c r="N82" s="531"/>
      <c r="O82" s="531"/>
      <c r="P82" s="531"/>
      <c r="Q82" s="531"/>
      <c r="R82" s="531"/>
      <c r="S82" s="531"/>
      <c r="T82" s="531"/>
      <c r="U82" s="531"/>
      <c r="V82" s="531"/>
      <c r="W82" s="531"/>
      <c r="X82" s="531"/>
      <c r="AG82" s="531"/>
      <c r="AH82" s="531"/>
      <c r="AI82" s="531"/>
      <c r="BJ82" s="1415">
        <v>5</v>
      </c>
      <c r="BK82" s="875">
        <v>0</v>
      </c>
    </row>
    <row r="83" spans="11:63">
      <c r="BJ83" s="1415">
        <v>6</v>
      </c>
      <c r="BK83" s="875">
        <v>0</v>
      </c>
    </row>
    <row r="84" spans="11:63">
      <c r="BJ84" s="1476" t="s">
        <v>978</v>
      </c>
      <c r="BK84" s="1498">
        <f>SUM(BK59:BK83)</f>
        <v>4213461.0399999991</v>
      </c>
    </row>
    <row r="85" spans="11:63">
      <c r="BJ85" s="1499"/>
      <c r="BK85" s="1500"/>
    </row>
    <row r="86" spans="11:63">
      <c r="BI86" s="1395" t="s">
        <v>1190</v>
      </c>
      <c r="BK86" s="1501"/>
    </row>
    <row r="87" spans="11:63">
      <c r="BK87" s="1501"/>
    </row>
    <row r="88" spans="11:63">
      <c r="BK88" s="1501"/>
    </row>
    <row r="89" spans="11:63">
      <c r="BK89" s="1501"/>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3"/>
  <cols>
    <col min="1" max="1" width="33.1796875" style="1502" customWidth="1"/>
    <col min="2" max="3" width="13.1796875" style="1502" customWidth="1"/>
    <col min="4" max="4" width="11.81640625" style="1502" customWidth="1"/>
    <col min="6" max="6" width="1.54296875" style="995" customWidth="1"/>
    <col min="8" max="8" width="5.1796875" style="1512" customWidth="1"/>
    <col min="9" max="9" width="9.81640625" style="1512" customWidth="1"/>
    <col min="10" max="10" width="10.81640625" style="1512" customWidth="1"/>
    <col min="11" max="11" width="13.1796875" style="1512" customWidth="1"/>
    <col min="12" max="12" width="14.1796875" style="1512" customWidth="1"/>
    <col min="13" max="14" width="13.1796875" style="1512" customWidth="1"/>
    <col min="16" max="16" width="1.54296875" style="995" customWidth="1"/>
    <col min="18" max="28" width="8.81640625" style="477"/>
    <col min="29" max="29" width="11.7265625" style="477" customWidth="1"/>
    <col min="30" max="30" width="13.1796875" style="477" customWidth="1"/>
    <col min="31" max="31" width="11.26953125" style="477" bestFit="1" customWidth="1"/>
    <col min="32" max="32" width="8.81640625" style="477"/>
    <col min="33" max="33" width="10.26953125" style="477" bestFit="1" customWidth="1"/>
    <col min="34" max="34" width="8.81640625" style="477"/>
    <col min="35" max="35" width="11.26953125" style="477" bestFit="1" customWidth="1"/>
    <col min="36" max="36" width="8.81640625" style="477"/>
    <col min="37" max="37" width="1.7265625" style="995" customWidth="1"/>
    <col min="38" max="38" width="8.81640625" style="477"/>
    <col min="39" max="39" width="13.453125" style="511" bestFit="1" customWidth="1"/>
    <col min="40" max="40" width="10.1796875" style="511" bestFit="1" customWidth="1"/>
    <col min="41" max="41" width="19.453125" style="511" bestFit="1" customWidth="1"/>
    <col min="42" max="44" width="12.26953125" style="511" bestFit="1" customWidth="1"/>
    <col min="45" max="50" width="13.54296875" style="511" bestFit="1" customWidth="1"/>
    <col min="51" max="52" width="12.26953125" style="511" bestFit="1" customWidth="1"/>
    <col min="53" max="53" width="17" style="511" customWidth="1"/>
  </cols>
  <sheetData>
    <row r="1" spans="1:53" ht="15.5">
      <c r="A1" s="1511" t="s">
        <v>1204</v>
      </c>
      <c r="B1" s="1510"/>
      <c r="C1" s="1510"/>
      <c r="D1" s="1510"/>
      <c r="H1" s="1533" t="s">
        <v>1204</v>
      </c>
      <c r="I1" s="1531"/>
      <c r="J1" s="1531"/>
      <c r="K1" s="1531"/>
      <c r="L1" s="1531"/>
      <c r="M1" s="1531"/>
      <c r="N1" s="1531"/>
      <c r="R1" s="1534" t="s">
        <v>1232</v>
      </c>
      <c r="S1" s="1535" t="s">
        <v>1233</v>
      </c>
      <c r="T1" s="1535" t="s">
        <v>1234</v>
      </c>
      <c r="U1" s="1535" t="s">
        <v>1235</v>
      </c>
      <c r="AM1" s="1569" t="s">
        <v>1232</v>
      </c>
      <c r="AN1" s="1569" t="s">
        <v>1236</v>
      </c>
      <c r="AO1" s="1569" t="s">
        <v>1237</v>
      </c>
      <c r="AP1" s="1569" t="s">
        <v>865</v>
      </c>
    </row>
    <row r="2" spans="1:53" ht="15.5">
      <c r="A2" s="1511" t="s">
        <v>1203</v>
      </c>
      <c r="B2" s="1510"/>
      <c r="C2" s="1510"/>
      <c r="D2" s="1510"/>
      <c r="H2" s="1533" t="s">
        <v>1231</v>
      </c>
      <c r="I2" s="1531"/>
      <c r="J2" s="1531"/>
      <c r="K2" s="1531"/>
      <c r="L2" s="1531"/>
      <c r="M2" s="1531"/>
      <c r="N2" s="1531"/>
      <c r="AV2" s="1570">
        <v>-1</v>
      </c>
    </row>
    <row r="3" spans="1:53" ht="15.5">
      <c r="A3" s="1511" t="s">
        <v>1060</v>
      </c>
      <c r="B3" s="1510"/>
      <c r="C3" s="1510"/>
      <c r="D3" s="1510"/>
      <c r="H3" s="1533" t="s">
        <v>1060</v>
      </c>
      <c r="I3" s="1531"/>
      <c r="J3" s="1531"/>
      <c r="K3" s="1531"/>
      <c r="L3" s="1531"/>
      <c r="M3" s="1531"/>
      <c r="N3" s="1531"/>
      <c r="R3" s="1536"/>
      <c r="S3" s="1537"/>
      <c r="T3" s="1538"/>
      <c r="U3" s="1539"/>
      <c r="V3" s="1540"/>
      <c r="W3" s="1540"/>
      <c r="X3" s="1540"/>
      <c r="Y3" s="1540"/>
      <c r="Z3" s="1540"/>
      <c r="AA3" s="1540"/>
      <c r="AB3" s="1540"/>
      <c r="AC3" s="1540"/>
      <c r="AD3" s="1540"/>
      <c r="AE3" s="1540"/>
      <c r="AF3" s="1540"/>
      <c r="AG3" s="1541"/>
      <c r="AM3" s="1571"/>
      <c r="AN3" s="1572"/>
      <c r="AO3" s="1573"/>
      <c r="AP3" s="1574"/>
      <c r="AQ3" s="1574"/>
      <c r="AR3" s="1574"/>
      <c r="AS3" s="1574"/>
      <c r="AT3" s="1574"/>
      <c r="AU3" s="1574"/>
      <c r="AV3" s="1574"/>
      <c r="AW3" s="1574"/>
      <c r="AX3" s="1574"/>
      <c r="AY3" s="1574"/>
      <c r="AZ3" s="1574"/>
      <c r="BA3" s="1575"/>
    </row>
    <row r="4" spans="1:53" ht="15.5">
      <c r="H4" s="1532"/>
      <c r="I4" s="1531"/>
      <c r="J4" s="1531"/>
      <c r="K4" s="1531"/>
      <c r="L4" s="1531"/>
      <c r="M4" s="1531"/>
      <c r="N4" s="1531"/>
      <c r="R4" s="1543"/>
      <c r="S4" s="1544"/>
      <c r="T4" s="1545"/>
      <c r="U4" s="1546">
        <v>0</v>
      </c>
      <c r="V4" s="1546">
        <f>U4+1</f>
        <v>1</v>
      </c>
      <c r="W4" s="1546">
        <f>V4+1</f>
        <v>2</v>
      </c>
      <c r="X4" s="1546">
        <f>W4+1</f>
        <v>3</v>
      </c>
      <c r="Y4" s="1546">
        <f>X4+1</f>
        <v>4</v>
      </c>
      <c r="Z4" s="1546">
        <f>Y4+1</f>
        <v>5</v>
      </c>
      <c r="AA4" s="1546">
        <v>202301</v>
      </c>
      <c r="AB4" s="1546">
        <f>AA4+1</f>
        <v>202302</v>
      </c>
      <c r="AC4" s="1546">
        <f>AB4+1</f>
        <v>202303</v>
      </c>
      <c r="AD4" s="1546">
        <f>AC4+1</f>
        <v>202304</v>
      </c>
      <c r="AE4" s="1546">
        <f>AD4+1</f>
        <v>202305</v>
      </c>
      <c r="AF4" s="1546">
        <f>AE4+1</f>
        <v>202306</v>
      </c>
      <c r="AG4" s="1547" t="s">
        <v>1238</v>
      </c>
      <c r="AM4" s="1576"/>
      <c r="AN4" s="1577"/>
      <c r="AO4" s="1578">
        <v>202207</v>
      </c>
      <c r="AP4" s="1578">
        <f>AO4+1</f>
        <v>202208</v>
      </c>
      <c r="AQ4" s="1578">
        <f>AP4+1</f>
        <v>202209</v>
      </c>
      <c r="AR4" s="1578">
        <f>AQ4+1</f>
        <v>202210</v>
      </c>
      <c r="AS4" s="1578">
        <f>AR4+1</f>
        <v>202211</v>
      </c>
      <c r="AT4" s="1578">
        <f>AS4+1</f>
        <v>202212</v>
      </c>
      <c r="AU4" s="1578">
        <v>202301</v>
      </c>
      <c r="AV4" s="1578">
        <f>AU4+1</f>
        <v>202302</v>
      </c>
      <c r="AW4" s="1578">
        <f>AV4+1</f>
        <v>202303</v>
      </c>
      <c r="AX4" s="1578">
        <f>AW4+1</f>
        <v>202304</v>
      </c>
      <c r="AY4" s="1578">
        <f>AX4+1</f>
        <v>202305</v>
      </c>
      <c r="AZ4" s="1578">
        <f>AY4+1</f>
        <v>202306</v>
      </c>
      <c r="BA4" s="1579" t="s">
        <v>1238</v>
      </c>
    </row>
    <row r="5" spans="1:53" ht="14">
      <c r="M5" s="1530" t="s">
        <v>1230</v>
      </c>
      <c r="N5" s="1530" t="s">
        <v>1229</v>
      </c>
      <c r="R5" s="1549" t="s">
        <v>681</v>
      </c>
      <c r="S5" s="1535" t="s">
        <v>1239</v>
      </c>
      <c r="T5" s="1550" t="s">
        <v>763</v>
      </c>
      <c r="U5" s="1551">
        <v>95276.46</v>
      </c>
      <c r="V5" s="1551">
        <v>95276.46</v>
      </c>
      <c r="W5" s="1551">
        <v>95276.45</v>
      </c>
      <c r="X5" s="1551">
        <v>95276.46</v>
      </c>
      <c r="Y5" s="1551">
        <v>95276.45</v>
      </c>
      <c r="Z5" s="1551">
        <v>95276.45</v>
      </c>
      <c r="AA5" s="1551">
        <v>198091.67</v>
      </c>
      <c r="AB5" s="1551">
        <v>198091.67</v>
      </c>
      <c r="AC5" s="1551">
        <v>198091.67</v>
      </c>
      <c r="AD5" s="1551">
        <v>198075.42</v>
      </c>
      <c r="AE5" s="1551">
        <v>198075.42</v>
      </c>
      <c r="AF5" s="1551">
        <v>198075.42</v>
      </c>
      <c r="AG5" s="1551">
        <f t="shared" ref="AG5:AG10" si="0">SUM(U5:AF5)</f>
        <v>1760159.9999999998</v>
      </c>
      <c r="AM5" s="1578" t="s">
        <v>683</v>
      </c>
      <c r="AN5" s="1580" t="s">
        <v>1041</v>
      </c>
      <c r="AO5" s="1570">
        <v>1677673.2999999998</v>
      </c>
      <c r="AP5" s="1570">
        <v>1419655.71</v>
      </c>
      <c r="AQ5" s="1570">
        <v>1577274.98</v>
      </c>
      <c r="AR5" s="1570">
        <v>2195889.66</v>
      </c>
      <c r="AS5" s="1570">
        <v>6676175.129999999</v>
      </c>
      <c r="AT5" s="1570">
        <v>11824263.41</v>
      </c>
      <c r="AU5" s="1570">
        <v>11957155.77</v>
      </c>
      <c r="AV5" s="1570">
        <v>9896180.7299999967</v>
      </c>
      <c r="AW5" s="1570">
        <v>10489168.610000001</v>
      </c>
      <c r="AX5" s="1570">
        <v>6839565.5500000017</v>
      </c>
      <c r="AY5" s="1570">
        <v>3881309.75</v>
      </c>
      <c r="AZ5" s="1570">
        <v>2027409.5200000003</v>
      </c>
      <c r="BA5" s="1552">
        <f t="shared" ref="BA5:BA13" si="1">SUM(AO5:AZ5)</f>
        <v>70461722.11999999</v>
      </c>
    </row>
    <row r="6" spans="1:53" ht="14">
      <c r="A6" s="1509"/>
      <c r="B6" s="1508" t="s">
        <v>79</v>
      </c>
      <c r="C6" s="1508" t="s">
        <v>80</v>
      </c>
      <c r="D6" s="1508" t="s">
        <v>81</v>
      </c>
      <c r="L6" s="1529" t="s">
        <v>24</v>
      </c>
      <c r="M6" s="1529" t="s">
        <v>80</v>
      </c>
      <c r="N6" s="1529" t="s">
        <v>81</v>
      </c>
      <c r="R6" s="1553"/>
      <c r="S6" s="1535" t="s">
        <v>1240</v>
      </c>
      <c r="T6" s="1550" t="s">
        <v>683</v>
      </c>
      <c r="U6" s="1551">
        <v>43878.11</v>
      </c>
      <c r="V6" s="1551">
        <v>43878.11</v>
      </c>
      <c r="W6" s="1551">
        <v>43878.1</v>
      </c>
      <c r="X6" s="1551">
        <v>43878.11</v>
      </c>
      <c r="Y6" s="1551">
        <v>43878.11</v>
      </c>
      <c r="Z6" s="1551">
        <v>43878.1</v>
      </c>
      <c r="AA6" s="1551">
        <v>53025</v>
      </c>
      <c r="AB6" s="1551">
        <v>53025</v>
      </c>
      <c r="AC6" s="1551">
        <v>53025</v>
      </c>
      <c r="AD6" s="1551">
        <v>53025</v>
      </c>
      <c r="AE6" s="1551">
        <v>45741.37</v>
      </c>
      <c r="AF6" s="1551">
        <v>45741.37</v>
      </c>
      <c r="AG6" s="1551">
        <f t="shared" si="0"/>
        <v>566851.38</v>
      </c>
      <c r="AM6" s="1581"/>
      <c r="AN6" s="1580" t="s">
        <v>1038</v>
      </c>
      <c r="AO6" s="1570">
        <v>828274.74</v>
      </c>
      <c r="AP6" s="1570">
        <v>895432.59</v>
      </c>
      <c r="AQ6" s="1570">
        <v>815476.93999999983</v>
      </c>
      <c r="AR6" s="1570">
        <v>1055340.8800000001</v>
      </c>
      <c r="AS6" s="1570">
        <v>2868698.06</v>
      </c>
      <c r="AT6" s="1570">
        <v>5659144.6400000006</v>
      </c>
      <c r="AU6" s="1570">
        <v>5737561.8899999987</v>
      </c>
      <c r="AV6" s="1570">
        <v>4026142.2199999997</v>
      </c>
      <c r="AW6" s="1570">
        <v>5221921.4000000013</v>
      </c>
      <c r="AX6" s="1570">
        <v>3081652.7600000002</v>
      </c>
      <c r="AY6" s="1570">
        <v>2047685.8599999999</v>
      </c>
      <c r="AZ6" s="1570">
        <v>1219119.22</v>
      </c>
      <c r="BA6" s="1552">
        <f t="shared" si="1"/>
        <v>33456451.200000003</v>
      </c>
    </row>
    <row r="7" spans="1:53" ht="14">
      <c r="H7" s="1522" t="s">
        <v>1228</v>
      </c>
      <c r="K7" s="1528"/>
      <c r="L7" s="1525"/>
      <c r="M7" s="1525"/>
      <c r="N7" s="1525"/>
      <c r="R7" s="1554"/>
      <c r="S7" s="1535" t="s">
        <v>1241</v>
      </c>
      <c r="T7" s="1550" t="s">
        <v>677</v>
      </c>
      <c r="U7" s="1551">
        <v>3120892.48</v>
      </c>
      <c r="V7" s="1551">
        <v>-2386995.7399999998</v>
      </c>
      <c r="W7" s="1551">
        <v>366948.4</v>
      </c>
      <c r="X7" s="1551">
        <v>270776.67000000004</v>
      </c>
      <c r="Y7" s="1551">
        <v>270776.67000000004</v>
      </c>
      <c r="Z7" s="1551">
        <v>270776.67000000004</v>
      </c>
      <c r="AA7" s="1551">
        <v>270776.67000000004</v>
      </c>
      <c r="AB7" s="1551">
        <v>270776.67000000004</v>
      </c>
      <c r="AC7" s="1551">
        <v>270776.67000000004</v>
      </c>
      <c r="AD7" s="1551">
        <v>270776.67000000004</v>
      </c>
      <c r="AE7" s="1551">
        <v>270776.67000000004</v>
      </c>
      <c r="AF7" s="1551">
        <v>322056.67000000004</v>
      </c>
      <c r="AG7" s="1555">
        <f t="shared" si="0"/>
        <v>3589115.1699999995</v>
      </c>
      <c r="AM7" s="1581"/>
      <c r="AN7" s="1580" t="s">
        <v>1033</v>
      </c>
      <c r="AO7" s="1570">
        <v>72191.23</v>
      </c>
      <c r="AP7" s="1570">
        <v>96771.87999999999</v>
      </c>
      <c r="AQ7" s="1570">
        <v>87112.189999999988</v>
      </c>
      <c r="AR7" s="1570">
        <v>96601.22</v>
      </c>
      <c r="AS7" s="1570">
        <v>140474.30000000002</v>
      </c>
      <c r="AT7" s="1570">
        <v>260612.48000000001</v>
      </c>
      <c r="AU7" s="1570">
        <v>239736.12999999998</v>
      </c>
      <c r="AV7" s="1570">
        <v>201533.77</v>
      </c>
      <c r="AW7" s="1570">
        <v>225528.53000000003</v>
      </c>
      <c r="AX7" s="1570">
        <v>142223.84000000003</v>
      </c>
      <c r="AY7" s="1570">
        <v>103327.55</v>
      </c>
      <c r="AZ7" s="1570">
        <v>61799.810000000005</v>
      </c>
      <c r="BA7" s="1552">
        <f t="shared" si="1"/>
        <v>1727912.9300000002</v>
      </c>
    </row>
    <row r="8" spans="1:53" ht="14">
      <c r="A8" s="1502" t="s">
        <v>1202</v>
      </c>
      <c r="L8" s="1525"/>
      <c r="M8" s="1525"/>
      <c r="N8" s="1525"/>
      <c r="R8" s="1549" t="s">
        <v>680</v>
      </c>
      <c r="S8" s="1535" t="s">
        <v>1242</v>
      </c>
      <c r="T8" s="1550" t="s">
        <v>763</v>
      </c>
      <c r="U8" s="1551">
        <v>27512.52</v>
      </c>
      <c r="V8" s="1551">
        <v>27512.52</v>
      </c>
      <c r="W8" s="1551">
        <v>27512.52</v>
      </c>
      <c r="X8" s="1551">
        <v>27512.52</v>
      </c>
      <c r="Y8" s="1551">
        <v>27512.52</v>
      </c>
      <c r="Z8" s="1551">
        <v>27562.53</v>
      </c>
      <c r="AA8" s="1551">
        <v>73966.67</v>
      </c>
      <c r="AB8" s="1551">
        <v>73966.67</v>
      </c>
      <c r="AC8" s="1551">
        <v>73966.67</v>
      </c>
      <c r="AD8" s="1551">
        <v>73950.789999999994</v>
      </c>
      <c r="AE8" s="1551">
        <v>73950.789999999994</v>
      </c>
      <c r="AF8" s="1551">
        <v>73950.789999999994</v>
      </c>
      <c r="AG8" s="1551">
        <f t="shared" si="0"/>
        <v>608877.51</v>
      </c>
      <c r="AM8" s="1581"/>
      <c r="AN8" s="1580" t="s">
        <v>1031</v>
      </c>
      <c r="AO8" s="1570">
        <v>1023.3900000000001</v>
      </c>
      <c r="AP8" s="1570">
        <v>764.64999999999986</v>
      </c>
      <c r="AQ8" s="1570">
        <v>980.08999999999992</v>
      </c>
      <c r="AR8" s="1570">
        <v>1423.6299999999999</v>
      </c>
      <c r="AS8" s="1570">
        <v>3998.2999999999997</v>
      </c>
      <c r="AT8" s="1570">
        <v>7882.64</v>
      </c>
      <c r="AU8" s="1570">
        <v>8499.4</v>
      </c>
      <c r="AV8" s="1570">
        <v>6257</v>
      </c>
      <c r="AW8" s="1570">
        <v>7211.86</v>
      </c>
      <c r="AX8" s="1570">
        <v>4518.5599999999995</v>
      </c>
      <c r="AY8" s="1570">
        <v>2259.21</v>
      </c>
      <c r="AZ8" s="1570">
        <v>1120.99</v>
      </c>
      <c r="BA8" s="1552">
        <f t="shared" si="1"/>
        <v>45939.719999999994</v>
      </c>
    </row>
    <row r="9" spans="1:53" ht="14">
      <c r="A9" s="1502" t="s">
        <v>1201</v>
      </c>
      <c r="B9" s="1505">
        <f>C9</f>
        <v>1006744</v>
      </c>
      <c r="C9" s="1505">
        <f>'G-2.04 Reg Exp'!M28</f>
        <v>1006744</v>
      </c>
      <c r="D9" s="1505"/>
      <c r="H9" s="1512" t="s">
        <v>1227</v>
      </c>
      <c r="L9" s="1525"/>
      <c r="M9" s="1525"/>
      <c r="N9" s="1525"/>
      <c r="R9" s="1553"/>
      <c r="S9" s="1535" t="s">
        <v>1243</v>
      </c>
      <c r="T9" s="1550" t="s">
        <v>683</v>
      </c>
      <c r="U9" s="1551">
        <v>10460.33</v>
      </c>
      <c r="V9" s="1551">
        <v>10460.33</v>
      </c>
      <c r="W9" s="1551">
        <v>10460.32</v>
      </c>
      <c r="X9" s="1551">
        <v>10460.33</v>
      </c>
      <c r="Y9" s="1551">
        <v>10460.33</v>
      </c>
      <c r="Z9" s="1551">
        <v>10460.32</v>
      </c>
      <c r="AA9" s="1551">
        <v>16491.669999999998</v>
      </c>
      <c r="AB9" s="1551">
        <v>16491.669999999998</v>
      </c>
      <c r="AC9" s="1551">
        <v>16491.669999999998</v>
      </c>
      <c r="AD9" s="1551">
        <v>16491.669999999998</v>
      </c>
      <c r="AE9" s="1551">
        <v>14238.2</v>
      </c>
      <c r="AF9" s="1551">
        <v>14238.2</v>
      </c>
      <c r="AG9" s="1551">
        <f t="shared" si="0"/>
        <v>157205.04</v>
      </c>
      <c r="AM9" s="1581"/>
      <c r="AN9" s="1580" t="s">
        <v>1276</v>
      </c>
      <c r="AO9" s="1570">
        <v>248</v>
      </c>
      <c r="AP9" s="1570">
        <v>268</v>
      </c>
      <c r="AQ9" s="1570">
        <v>292</v>
      </c>
      <c r="AR9" s="1570">
        <v>720</v>
      </c>
      <c r="AS9" s="1570">
        <v>428</v>
      </c>
      <c r="AT9" s="1570">
        <v>232</v>
      </c>
      <c r="AU9" s="1570">
        <v>408</v>
      </c>
      <c r="AV9" s="1570">
        <v>236</v>
      </c>
      <c r="AW9" s="1570">
        <v>564</v>
      </c>
      <c r="AX9" s="1570">
        <v>648</v>
      </c>
      <c r="AY9" s="1570">
        <v>648</v>
      </c>
      <c r="AZ9" s="1570">
        <v>396</v>
      </c>
      <c r="BA9" s="1552">
        <f t="shared" si="1"/>
        <v>5088</v>
      </c>
    </row>
    <row r="10" spans="1:53" ht="14">
      <c r="A10" s="1502" t="s">
        <v>1200</v>
      </c>
      <c r="B10" s="1505">
        <f>D10</f>
        <v>207782.73624905999</v>
      </c>
      <c r="C10" s="1505"/>
      <c r="D10" s="1505">
        <f>'G-2.04 Reg Exp'!N28</f>
        <v>207782.73624905999</v>
      </c>
      <c r="I10" s="1512" t="s">
        <v>1226</v>
      </c>
      <c r="L10" s="1505">
        <f>M10+N10</f>
        <v>231115080.48999995</v>
      </c>
      <c r="M10" s="1505">
        <f>'G-2.04 Reg Exp'!BA30</f>
        <v>160653358.36999997</v>
      </c>
      <c r="N10" s="1505">
        <f>'G-2.04 Reg Exp'!BA5</f>
        <v>70461722.11999999</v>
      </c>
      <c r="R10" s="1554"/>
      <c r="S10" s="1535" t="s">
        <v>1244</v>
      </c>
      <c r="T10" s="1550" t="s">
        <v>676</v>
      </c>
      <c r="U10" s="1551">
        <v>67282.67</v>
      </c>
      <c r="V10" s="1551">
        <v>67282.66</v>
      </c>
      <c r="W10" s="1551">
        <v>67282.66</v>
      </c>
      <c r="X10" s="1551">
        <v>67282.66</v>
      </c>
      <c r="Y10" s="1551">
        <v>67282.66</v>
      </c>
      <c r="Z10" s="1551">
        <v>67282.66</v>
      </c>
      <c r="AA10" s="1551">
        <v>83816</v>
      </c>
      <c r="AB10" s="1551">
        <v>83816</v>
      </c>
      <c r="AC10" s="1551">
        <v>80256.91</v>
      </c>
      <c r="AD10" s="1551">
        <v>80256.91</v>
      </c>
      <c r="AE10" s="1551">
        <v>80256.91</v>
      </c>
      <c r="AF10" s="1551">
        <v>80256.91</v>
      </c>
      <c r="AG10" s="1551">
        <f t="shared" si="0"/>
        <v>892355.61000000022</v>
      </c>
      <c r="AM10" s="1581"/>
      <c r="AN10" s="1580" t="s">
        <v>1028</v>
      </c>
      <c r="AO10" s="1570">
        <v>48238.55</v>
      </c>
      <c r="AP10" s="1570">
        <v>38601.530000000006</v>
      </c>
      <c r="AQ10" s="1570">
        <v>34615.19</v>
      </c>
      <c r="AR10" s="1570">
        <v>45374.03</v>
      </c>
      <c r="AS10" s="1570">
        <v>41800.370000000003</v>
      </c>
      <c r="AT10" s="1570">
        <v>50517.760000000002</v>
      </c>
      <c r="AU10" s="1570">
        <v>46365.96</v>
      </c>
      <c r="AV10" s="1570">
        <v>48548.439999999995</v>
      </c>
      <c r="AW10" s="1570">
        <v>40621.24</v>
      </c>
      <c r="AX10" s="1570">
        <v>43718.27</v>
      </c>
      <c r="AY10" s="1570">
        <v>53247.700000000004</v>
      </c>
      <c r="AZ10" s="1570">
        <v>75309.010000000009</v>
      </c>
      <c r="BA10" s="1552">
        <f t="shared" si="1"/>
        <v>566958.05000000005</v>
      </c>
    </row>
    <row r="11" spans="1:53" ht="14">
      <c r="A11" s="1502" t="s">
        <v>1199</v>
      </c>
      <c r="B11" s="1506">
        <f>SUM(B9:B10)</f>
        <v>1214526.7362490599</v>
      </c>
      <c r="C11" s="1506">
        <f>SUM(C9:C10)</f>
        <v>1006744</v>
      </c>
      <c r="D11" s="1506">
        <f>SUM(D9:D10)</f>
        <v>207782.73624905999</v>
      </c>
      <c r="I11" s="1512" t="s">
        <v>1225</v>
      </c>
      <c r="L11" s="1505">
        <f>M11+N11</f>
        <v>120728310.10999998</v>
      </c>
      <c r="M11" s="1505">
        <f>('G-2.04 Reg Exp'!BA31+'G-2.04 Reg Exp'!BA32+'G-2.04 Reg Exp'!BA33)</f>
        <v>85543945.979999989</v>
      </c>
      <c r="N11" s="1505">
        <f>('G-2.04 Reg Exp'!BA6+'G-2.04 Reg Exp'!BA7)</f>
        <v>35184364.130000003</v>
      </c>
      <c r="AM11" s="1581"/>
      <c r="AN11" s="1580" t="s">
        <v>1247</v>
      </c>
      <c r="AO11" s="1570">
        <v>-101035</v>
      </c>
      <c r="AP11" s="1570">
        <v>-64549</v>
      </c>
      <c r="AQ11" s="1570">
        <v>191899</v>
      </c>
      <c r="AR11" s="1570">
        <v>1028997</v>
      </c>
      <c r="AS11" s="1570">
        <v>2985615</v>
      </c>
      <c r="AT11" s="1570">
        <v>-53274</v>
      </c>
      <c r="AU11" s="1570">
        <v>187051.45999999996</v>
      </c>
      <c r="AV11" s="1570">
        <v>964418.54</v>
      </c>
      <c r="AW11" s="1570">
        <v>-2378189</v>
      </c>
      <c r="AX11" s="1570">
        <v>-991236</v>
      </c>
      <c r="AY11" s="1570">
        <v>-1542355</v>
      </c>
      <c r="AZ11" s="1570">
        <v>-203112</v>
      </c>
      <c r="BA11" s="1552">
        <f t="shared" si="1"/>
        <v>24231</v>
      </c>
    </row>
    <row r="12" spans="1:53" ht="14">
      <c r="B12" s="1505"/>
      <c r="C12" s="1505"/>
      <c r="D12" s="1505"/>
      <c r="I12" s="1512" t="s">
        <v>1224</v>
      </c>
      <c r="L12" s="1505">
        <f>M12+N12</f>
        <v>489512.19</v>
      </c>
      <c r="M12" s="1505">
        <f>'G-2.04 Reg Exp'!BA34</f>
        <v>443572.47000000003</v>
      </c>
      <c r="N12" s="1505">
        <f>'G-2.04 Reg Exp'!BA8</f>
        <v>45939.719999999994</v>
      </c>
      <c r="AM12" s="1581"/>
      <c r="AN12" s="1580" t="s">
        <v>1250</v>
      </c>
      <c r="AO12" s="1570">
        <v>-59653</v>
      </c>
      <c r="AP12" s="1570">
        <v>43308</v>
      </c>
      <c r="AQ12" s="1570">
        <v>32629</v>
      </c>
      <c r="AR12" s="1570">
        <v>459568</v>
      </c>
      <c r="AS12" s="1570">
        <v>1018331</v>
      </c>
      <c r="AT12" s="1570">
        <v>154933</v>
      </c>
      <c r="AU12" s="1570">
        <v>79563.530000000028</v>
      </c>
      <c r="AV12" s="1570">
        <v>210563.46999999997</v>
      </c>
      <c r="AW12" s="1570">
        <v>-624404</v>
      </c>
      <c r="AX12" s="1570">
        <v>-582461</v>
      </c>
      <c r="AY12" s="1570">
        <v>-632204</v>
      </c>
      <c r="AZ12" s="1570">
        <v>3697</v>
      </c>
      <c r="BA12" s="1552">
        <f t="shared" si="1"/>
        <v>103871</v>
      </c>
    </row>
    <row r="13" spans="1:53" ht="14">
      <c r="A13" s="1507"/>
      <c r="B13" s="1505"/>
      <c r="C13" s="1505"/>
      <c r="D13" s="1505"/>
      <c r="I13" s="1512" t="s">
        <v>1223</v>
      </c>
      <c r="L13" s="1505">
        <f>M13+N13</f>
        <v>27394</v>
      </c>
      <c r="M13" s="1505">
        <f>('G-2.04 Reg Exp'!BA39+'G-2.04 Reg Exp'!BA40+'G-2.04 Reg Exp'!BA41)</f>
        <v>-100104</v>
      </c>
      <c r="N13" s="1505">
        <f>('G-2.04 Reg Exp'!BA11+'G-2.04 Reg Exp'!BA12+'G-2.04 Reg Exp'!BA13)</f>
        <v>127498</v>
      </c>
      <c r="AM13" s="1581"/>
      <c r="AN13" s="1580" t="s">
        <v>1277</v>
      </c>
      <c r="AO13" s="1570">
        <v>-9728</v>
      </c>
      <c r="AP13" s="1570">
        <v>-3911</v>
      </c>
      <c r="AQ13" s="1570">
        <v>8577</v>
      </c>
      <c r="AR13" s="1570">
        <v>-3425</v>
      </c>
      <c r="AS13" s="1570">
        <v>8098</v>
      </c>
      <c r="AT13" s="1570">
        <v>-4091</v>
      </c>
      <c r="AU13" s="1570">
        <v>3880</v>
      </c>
      <c r="AV13" s="1570">
        <v>-7709</v>
      </c>
      <c r="AW13" s="1570">
        <v>3142</v>
      </c>
      <c r="AX13" s="1570">
        <v>14973</v>
      </c>
      <c r="AY13" s="1570">
        <v>10334</v>
      </c>
      <c r="AZ13" s="1570">
        <v>-20744</v>
      </c>
      <c r="BA13" s="1552">
        <f t="shared" si="1"/>
        <v>-604</v>
      </c>
    </row>
    <row r="14" spans="1:53" ht="14">
      <c r="A14" s="1502" t="s">
        <v>1198</v>
      </c>
      <c r="B14" s="1505"/>
      <c r="C14" s="1505"/>
      <c r="D14" s="1505"/>
      <c r="H14" s="1512" t="s">
        <v>1222</v>
      </c>
      <c r="L14" s="1527">
        <f>SUM(L10:L13)</f>
        <v>352360296.7899999</v>
      </c>
      <c r="M14" s="1527">
        <f>SUM(M10:M13)</f>
        <v>246540772.81999996</v>
      </c>
      <c r="N14" s="1527">
        <f>SUM(N10:N13)</f>
        <v>105819523.97</v>
      </c>
      <c r="AM14" s="1582"/>
      <c r="AN14" s="1573" t="s">
        <v>1238</v>
      </c>
      <c r="AO14" s="1552">
        <f t="shared" ref="AO14:BA14" si="2">SUM(AO5:AO13)</f>
        <v>2457233.21</v>
      </c>
      <c r="AP14" s="1552">
        <f t="shared" si="2"/>
        <v>2426342.3599999994</v>
      </c>
      <c r="AQ14" s="1552">
        <f t="shared" si="2"/>
        <v>2748856.3899999997</v>
      </c>
      <c r="AR14" s="1552">
        <f t="shared" si="2"/>
        <v>4880489.42</v>
      </c>
      <c r="AS14" s="1552">
        <f t="shared" si="2"/>
        <v>13743618.16</v>
      </c>
      <c r="AT14" s="1552">
        <f t="shared" si="2"/>
        <v>17900220.930000003</v>
      </c>
      <c r="AU14" s="1552">
        <f t="shared" si="2"/>
        <v>18260222.139999997</v>
      </c>
      <c r="AV14" s="1552">
        <f t="shared" si="2"/>
        <v>15346171.169999996</v>
      </c>
      <c r="AW14" s="1552">
        <f t="shared" si="2"/>
        <v>12985564.640000001</v>
      </c>
      <c r="AX14" s="1552">
        <f t="shared" si="2"/>
        <v>8553602.9800000023</v>
      </c>
      <c r="AY14" s="1552">
        <f t="shared" si="2"/>
        <v>3924253.0699999994</v>
      </c>
      <c r="AZ14" s="1552">
        <f t="shared" si="2"/>
        <v>3164995.5500000007</v>
      </c>
      <c r="BA14" s="1552">
        <f t="shared" si="2"/>
        <v>106391570.02</v>
      </c>
    </row>
    <row r="15" spans="1:53" ht="14">
      <c r="A15" s="1502" t="s">
        <v>1197</v>
      </c>
      <c r="B15" s="1505">
        <f>C15</f>
        <v>608877.51</v>
      </c>
      <c r="C15" s="1505">
        <f>AG8</f>
        <v>608877.51</v>
      </c>
      <c r="D15" s="1505"/>
      <c r="L15" s="1505"/>
      <c r="M15" s="1505"/>
      <c r="N15" s="1505"/>
      <c r="AM15" s="1578" t="s">
        <v>676</v>
      </c>
      <c r="AN15" s="1580" t="s">
        <v>1041</v>
      </c>
      <c r="AO15" s="1570">
        <v>2649550.06</v>
      </c>
      <c r="AP15" s="1570">
        <v>2203043.16</v>
      </c>
      <c r="AQ15" s="1570">
        <v>2269521.2400000002</v>
      </c>
      <c r="AR15" s="1570">
        <v>2707138.5300000003</v>
      </c>
      <c r="AS15" s="1570">
        <v>7300694.1899999976</v>
      </c>
      <c r="AT15" s="1570">
        <v>14154517.110000001</v>
      </c>
      <c r="AU15" s="1570">
        <v>14492230.76</v>
      </c>
      <c r="AV15" s="1570">
        <v>11711390.259999998</v>
      </c>
      <c r="AW15" s="1570">
        <v>14418438.199999999</v>
      </c>
      <c r="AX15" s="1570">
        <v>9915991.5099999998</v>
      </c>
      <c r="AY15" s="1570">
        <v>6284721.2000000002</v>
      </c>
      <c r="AZ15" s="1570">
        <v>3102733.09</v>
      </c>
      <c r="BA15" s="1552">
        <f t="shared" ref="BA15:BA28" si="3">SUM(AO15:AZ15)</f>
        <v>91209969.310000002</v>
      </c>
    </row>
    <row r="16" spans="1:53" ht="14">
      <c r="A16" s="1502" t="s">
        <v>1196</v>
      </c>
      <c r="B16" s="1505">
        <f>D16</f>
        <v>157205.04</v>
      </c>
      <c r="C16" s="1505"/>
      <c r="D16" s="1505">
        <f>AG9</f>
        <v>157205.04</v>
      </c>
      <c r="H16" s="1512" t="s">
        <v>1221</v>
      </c>
      <c r="L16" s="1505"/>
      <c r="M16" s="1505"/>
      <c r="N16" s="1505"/>
      <c r="R16" s="1556" t="s">
        <v>1245</v>
      </c>
      <c r="S16" s="1556" t="s">
        <v>1246</v>
      </c>
      <c r="AM16" s="1581"/>
      <c r="AN16" s="1580" t="s">
        <v>1038</v>
      </c>
      <c r="AO16" s="1570">
        <v>1421291.13</v>
      </c>
      <c r="AP16" s="1570">
        <v>1196126.9499999997</v>
      </c>
      <c r="AQ16" s="1570">
        <v>1216331.8399999999</v>
      </c>
      <c r="AR16" s="1570">
        <v>1419250.5599999998</v>
      </c>
      <c r="AS16" s="1570">
        <v>3554532.0100000002</v>
      </c>
      <c r="AT16" s="1570">
        <v>7337128.0999999996</v>
      </c>
      <c r="AU16" s="1570">
        <v>7647359.3200000003</v>
      </c>
      <c r="AV16" s="1570">
        <v>6367522.080000001</v>
      </c>
      <c r="AW16" s="1570">
        <v>7620027.2799999993</v>
      </c>
      <c r="AX16" s="1570">
        <v>5452348.7199999997</v>
      </c>
      <c r="AY16" s="1570">
        <v>3468109.7600000002</v>
      </c>
      <c r="AZ16" s="1570">
        <v>1799236.8800000001</v>
      </c>
      <c r="BA16" s="1552">
        <f t="shared" si="3"/>
        <v>48499264.630000003</v>
      </c>
    </row>
    <row r="17" spans="1:53" ht="14">
      <c r="A17" s="1502" t="s">
        <v>1195</v>
      </c>
      <c r="B17" s="1506">
        <f>SUM(B15:B16)</f>
        <v>766082.55</v>
      </c>
      <c r="C17" s="1506">
        <f>SUM(C15:C16)</f>
        <v>608877.51</v>
      </c>
      <c r="D17" s="1506">
        <f>SUM(D15:D16)</f>
        <v>157205.04</v>
      </c>
      <c r="I17" s="1512" t="s">
        <v>1220</v>
      </c>
      <c r="L17" s="1505">
        <f>M17+N17</f>
        <v>8163</v>
      </c>
      <c r="M17" s="1505">
        <f>'G-2.04 Reg Exp'!BA35</f>
        <v>3075</v>
      </c>
      <c r="N17" s="1505">
        <f>'G-2.04 Reg Exp'!BA9</f>
        <v>5088</v>
      </c>
      <c r="R17" s="1557" t="s">
        <v>1248</v>
      </c>
      <c r="S17" s="1558" t="s">
        <v>1249</v>
      </c>
      <c r="AM17" s="1581"/>
      <c r="AN17" s="1580" t="s">
        <v>1036</v>
      </c>
      <c r="AO17" s="1570">
        <v>81852.02</v>
      </c>
      <c r="AP17" s="1570">
        <v>78033.33</v>
      </c>
      <c r="AQ17" s="1570">
        <v>77998.5</v>
      </c>
      <c r="AR17" s="1570">
        <v>79984.36</v>
      </c>
      <c r="AS17" s="1570">
        <v>108559.75</v>
      </c>
      <c r="AT17" s="1570">
        <v>244472.74</v>
      </c>
      <c r="AU17" s="1570">
        <v>280891.31</v>
      </c>
      <c r="AV17" s="1570">
        <v>505718.14999999997</v>
      </c>
      <c r="AW17" s="1570">
        <v>477594.40000000014</v>
      </c>
      <c r="AX17" s="1570">
        <v>488678.10000000009</v>
      </c>
      <c r="AY17" s="1570">
        <v>444602.94</v>
      </c>
      <c r="AZ17" s="1570">
        <v>351679.90000000008</v>
      </c>
      <c r="BA17" s="1552">
        <f t="shared" si="3"/>
        <v>3220065.5</v>
      </c>
    </row>
    <row r="18" spans="1:53" ht="14">
      <c r="B18" s="1505"/>
      <c r="C18" s="1505"/>
      <c r="D18" s="1505"/>
      <c r="I18" s="1512" t="s">
        <v>1219</v>
      </c>
      <c r="L18" s="1505">
        <f>M18+N18</f>
        <v>5746518.8399999999</v>
      </c>
      <c r="M18" s="1505">
        <f>('G-2.04 Reg Exp'!BA36+'G-2.04 Reg Exp'!BA37)</f>
        <v>5179560.79</v>
      </c>
      <c r="N18" s="1505">
        <f>'G-2.04 Reg Exp'!BA10</f>
        <v>566958.05000000005</v>
      </c>
      <c r="AM18" s="1581"/>
      <c r="AN18" s="1580" t="s">
        <v>1033</v>
      </c>
      <c r="AO18" s="1570">
        <v>22215.18</v>
      </c>
      <c r="AP18" s="1570">
        <v>22038.270000000004</v>
      </c>
      <c r="AQ18" s="1570">
        <v>35109.550000000003</v>
      </c>
      <c r="AR18" s="1570">
        <v>31769.359999999997</v>
      </c>
      <c r="AS18" s="1570">
        <v>53473.69</v>
      </c>
      <c r="AT18" s="1570">
        <v>42589.149999999994</v>
      </c>
      <c r="AU18" s="1570">
        <v>33955</v>
      </c>
      <c r="AV18" s="1570">
        <v>28964.409999999996</v>
      </c>
      <c r="AW18" s="1570">
        <v>45754.68</v>
      </c>
      <c r="AX18" s="1570">
        <v>31870.1</v>
      </c>
      <c r="AY18" s="1570">
        <v>26514.510000000002</v>
      </c>
      <c r="AZ18" s="1570">
        <v>53314.68</v>
      </c>
      <c r="BA18" s="1552">
        <f t="shared" si="3"/>
        <v>427568.57999999996</v>
      </c>
    </row>
    <row r="19" spans="1:53" ht="14">
      <c r="B19" s="1505"/>
      <c r="C19" s="1505"/>
      <c r="D19" s="1505"/>
      <c r="I19" s="1512" t="s">
        <v>1218</v>
      </c>
      <c r="L19" s="1505">
        <f>M19+N19</f>
        <v>0</v>
      </c>
      <c r="M19" s="1505">
        <v>0</v>
      </c>
      <c r="N19" s="1505">
        <v>0</v>
      </c>
      <c r="R19" s="1559" t="s">
        <v>1251</v>
      </c>
      <c r="S19" s="1559" t="s">
        <v>1252</v>
      </c>
      <c r="AM19" s="1581"/>
      <c r="AN19" s="1580" t="s">
        <v>1278</v>
      </c>
      <c r="AO19" s="1570">
        <v>303237.77999999997</v>
      </c>
      <c r="AP19" s="1570">
        <v>302919.27</v>
      </c>
      <c r="AQ19" s="1570">
        <v>265442.8</v>
      </c>
      <c r="AR19" s="1570">
        <v>272426.5</v>
      </c>
      <c r="AS19" s="1570">
        <v>312627.21999999997</v>
      </c>
      <c r="AT19" s="1570">
        <v>466271.06000000006</v>
      </c>
      <c r="AU19" s="1570">
        <v>525869.49000000011</v>
      </c>
      <c r="AV19" s="1570">
        <v>566342.67999999993</v>
      </c>
      <c r="AW19" s="1570">
        <v>581292.24</v>
      </c>
      <c r="AX19" s="1570">
        <v>630374.87</v>
      </c>
      <c r="AY19" s="1570">
        <v>591871.01</v>
      </c>
      <c r="AZ19" s="1570">
        <v>531645.36</v>
      </c>
      <c r="BA19" s="1552">
        <f t="shared" si="3"/>
        <v>5350320.28</v>
      </c>
    </row>
    <row r="20" spans="1:53" ht="14.5" thickBot="1">
      <c r="A20" s="1502" t="s">
        <v>19</v>
      </c>
      <c r="B20" s="1503">
        <f>B11-B17</f>
        <v>448444.18624905986</v>
      </c>
      <c r="C20" s="1504">
        <f>C11-C17</f>
        <v>397866.49</v>
      </c>
      <c r="D20" s="1503">
        <f>D11-D17</f>
        <v>50577.696249059984</v>
      </c>
      <c r="H20" s="1512" t="s">
        <v>1217</v>
      </c>
      <c r="L20" s="1527">
        <f>SUM(L17:L19)</f>
        <v>5754681.8399999999</v>
      </c>
      <c r="M20" s="1527">
        <f>SUM(M17:M19)</f>
        <v>5182635.79</v>
      </c>
      <c r="N20" s="1527">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81"/>
      <c r="AN20" s="1580" t="s">
        <v>1031</v>
      </c>
      <c r="AO20" s="1570">
        <v>455.94</v>
      </c>
      <c r="AP20" s="1570">
        <v>400.72</v>
      </c>
      <c r="AQ20" s="1570">
        <v>427.29999999999995</v>
      </c>
      <c r="AR20" s="1570">
        <v>334.87</v>
      </c>
      <c r="AS20" s="1570">
        <v>1772.8200000000002</v>
      </c>
      <c r="AT20" s="1570">
        <v>4222.45</v>
      </c>
      <c r="AU20" s="1570">
        <v>4885.1400000000003</v>
      </c>
      <c r="AV20" s="1570">
        <v>4070.07</v>
      </c>
      <c r="AW20" s="1570">
        <v>4036.1800000000003</v>
      </c>
      <c r="AX20" s="1570">
        <v>3023.69</v>
      </c>
      <c r="AY20" s="1570">
        <v>1328.21</v>
      </c>
      <c r="AZ20" s="1570">
        <v>446.72</v>
      </c>
      <c r="BA20" s="1552">
        <f t="shared" si="3"/>
        <v>25404.11</v>
      </c>
    </row>
    <row r="21" spans="1:53" ht="15" thickTop="1" thickBot="1">
      <c r="L21" s="1526"/>
      <c r="M21" s="1526"/>
      <c r="N21" s="1526"/>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81"/>
      <c r="AN21" s="1580" t="s">
        <v>1276</v>
      </c>
      <c r="AO21" s="1570">
        <v>1405</v>
      </c>
      <c r="AP21" s="1570">
        <v>1725</v>
      </c>
      <c r="AQ21" s="1570">
        <v>1725</v>
      </c>
      <c r="AR21" s="1570">
        <v>2190</v>
      </c>
      <c r="AS21" s="1570">
        <v>2080</v>
      </c>
      <c r="AT21" s="1570">
        <v>2440</v>
      </c>
      <c r="AU21" s="1570">
        <v>2565</v>
      </c>
      <c r="AV21" s="1570">
        <v>1825</v>
      </c>
      <c r="AW21" s="1570">
        <v>5660</v>
      </c>
      <c r="AX21" s="1570">
        <v>6035</v>
      </c>
      <c r="AY21" s="1570">
        <v>7228</v>
      </c>
      <c r="AZ21" s="1570">
        <v>6485</v>
      </c>
      <c r="BA21" s="1552">
        <f t="shared" si="3"/>
        <v>41363</v>
      </c>
    </row>
    <row r="22" spans="1:53" ht="14.5" thickBot="1">
      <c r="H22" s="1522" t="s">
        <v>1216</v>
      </c>
      <c r="L22" s="1505">
        <f>L14+L20</f>
        <v>358114978.62999988</v>
      </c>
      <c r="M22" s="1505">
        <f>M14+M20</f>
        <v>251723408.60999995</v>
      </c>
      <c r="N22" s="1505">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60">
        <v>647671</v>
      </c>
      <c r="AM22" s="1581"/>
      <c r="AN22" s="1580">
        <v>489300</v>
      </c>
      <c r="AO22" s="1570">
        <v>236625.94999999998</v>
      </c>
      <c r="AP22" s="1570">
        <v>200475.65999999997</v>
      </c>
      <c r="AQ22" s="1570">
        <v>205018.88</v>
      </c>
      <c r="AR22" s="1570">
        <v>197561.03</v>
      </c>
      <c r="AS22" s="1570">
        <v>225089.18</v>
      </c>
      <c r="AT22" s="1570">
        <v>236980.33</v>
      </c>
      <c r="AU22" s="1570">
        <v>231651.54</v>
      </c>
      <c r="AV22" s="1570">
        <v>238687.04</v>
      </c>
      <c r="AW22" s="1570">
        <v>216837.84000000003</v>
      </c>
      <c r="AX22" s="1570">
        <v>231752.81</v>
      </c>
      <c r="AY22" s="1570">
        <v>216391.1</v>
      </c>
      <c r="AZ22" s="1570">
        <v>200524.46</v>
      </c>
      <c r="BA22" s="1552">
        <f t="shared" si="3"/>
        <v>2637595.8200000003</v>
      </c>
    </row>
    <row r="23" spans="1:53" ht="14">
      <c r="A23" s="1502" t="s">
        <v>482</v>
      </c>
      <c r="L23" s="1502"/>
      <c r="M23" s="1502"/>
      <c r="N23" s="1502"/>
      <c r="AE23" s="1561">
        <f>AE22</f>
        <v>647671</v>
      </c>
      <c r="AM23" s="1581"/>
      <c r="AN23" s="1580" t="s">
        <v>1279</v>
      </c>
      <c r="AO23" s="1570">
        <v>1000</v>
      </c>
      <c r="AP23" s="1570">
        <v>1000</v>
      </c>
      <c r="AQ23" s="1570">
        <v>1000</v>
      </c>
      <c r="AR23" s="1570">
        <v>1000</v>
      </c>
      <c r="AS23" s="1570">
        <v>1000</v>
      </c>
      <c r="AT23" s="1570">
        <v>1000</v>
      </c>
      <c r="AU23" s="1570">
        <v>1000</v>
      </c>
      <c r="AV23" s="1570">
        <v>1000</v>
      </c>
      <c r="AW23" s="1570">
        <v>1000</v>
      </c>
      <c r="AX23" s="1570">
        <v>1000</v>
      </c>
      <c r="AY23" s="1570">
        <v>1000</v>
      </c>
      <c r="AZ23" s="1570">
        <v>1000</v>
      </c>
      <c r="BA23" s="1552">
        <f t="shared" si="3"/>
        <v>12000</v>
      </c>
    </row>
    <row r="24" spans="1:53" ht="14">
      <c r="A24" s="1502" t="s">
        <v>1194</v>
      </c>
      <c r="H24" s="1522" t="s">
        <v>1215</v>
      </c>
      <c r="L24" s="1502"/>
      <c r="M24" s="1502"/>
      <c r="N24" s="1502"/>
      <c r="R24" s="1556" t="s">
        <v>1245</v>
      </c>
      <c r="S24" s="1556" t="s">
        <v>1264</v>
      </c>
      <c r="AM24" s="1581"/>
      <c r="AN24" s="1580" t="s">
        <v>1247</v>
      </c>
      <c r="AO24" s="1570">
        <v>-328769</v>
      </c>
      <c r="AP24" s="1570">
        <v>-190201</v>
      </c>
      <c r="AQ24" s="1570">
        <v>203595</v>
      </c>
      <c r="AR24" s="1570">
        <v>1244716</v>
      </c>
      <c r="AS24" s="1570">
        <v>3689144</v>
      </c>
      <c r="AT24" s="1570">
        <v>79189</v>
      </c>
      <c r="AU24" s="1570">
        <v>330848.33000000007</v>
      </c>
      <c r="AV24" s="1570">
        <v>519222.66999999993</v>
      </c>
      <c r="AW24" s="1570">
        <v>-1293223</v>
      </c>
      <c r="AX24" s="1570">
        <v>-2289837</v>
      </c>
      <c r="AY24" s="1570">
        <v>-1899218</v>
      </c>
      <c r="AZ24" s="1570">
        <v>-670730</v>
      </c>
      <c r="BA24" s="1552">
        <f t="shared" si="3"/>
        <v>-605263</v>
      </c>
    </row>
    <row r="25" spans="1:53" ht="14">
      <c r="A25" s="1502" t="s">
        <v>1193</v>
      </c>
      <c r="H25" s="1512" t="s">
        <v>1214</v>
      </c>
      <c r="L25" s="1502"/>
      <c r="M25" s="1524">
        <v>1E-3</v>
      </c>
      <c r="N25" s="1524">
        <v>0</v>
      </c>
      <c r="R25" s="1557" t="s">
        <v>1248</v>
      </c>
      <c r="S25" s="1557" t="s">
        <v>1265</v>
      </c>
      <c r="AM25" s="1581"/>
      <c r="AN25" s="1580" t="s">
        <v>1250</v>
      </c>
      <c r="AO25" s="1570">
        <v>-206951</v>
      </c>
      <c r="AP25" s="1570">
        <v>-8926</v>
      </c>
      <c r="AQ25" s="1570">
        <v>120931</v>
      </c>
      <c r="AR25" s="1570">
        <v>746976</v>
      </c>
      <c r="AS25" s="1570">
        <v>1675643</v>
      </c>
      <c r="AT25" s="1570">
        <v>103766</v>
      </c>
      <c r="AU25" s="1570">
        <v>242917.06000000006</v>
      </c>
      <c r="AV25" s="1570">
        <v>412258.93999999994</v>
      </c>
      <c r="AW25" s="1570">
        <v>-813315</v>
      </c>
      <c r="AX25" s="1570">
        <v>-1176839</v>
      </c>
      <c r="AY25" s="1570">
        <v>-1126287</v>
      </c>
      <c r="AZ25" s="1570">
        <v>-223352</v>
      </c>
      <c r="BA25" s="1552">
        <f t="shared" si="3"/>
        <v>-253178</v>
      </c>
    </row>
    <row r="26" spans="1:53" ht="14">
      <c r="A26" s="1502" t="s">
        <v>1192</v>
      </c>
      <c r="H26" s="1512" t="s">
        <v>1213</v>
      </c>
      <c r="K26" s="1525"/>
      <c r="L26" s="1502"/>
      <c r="M26" s="1524">
        <v>4.0000000000000001E-3</v>
      </c>
      <c r="N26" s="1524">
        <v>1.9530000000000001E-3</v>
      </c>
      <c r="AM26" s="1581"/>
      <c r="AN26" s="1580" t="s">
        <v>1280</v>
      </c>
      <c r="AO26" s="1570">
        <v>-13084</v>
      </c>
      <c r="AP26" s="1570">
        <v>4982</v>
      </c>
      <c r="AQ26" s="1570">
        <v>8163</v>
      </c>
      <c r="AR26" s="1570">
        <v>42954</v>
      </c>
      <c r="AS26" s="1570">
        <v>-408</v>
      </c>
      <c r="AT26" s="1570">
        <v>7202</v>
      </c>
      <c r="AU26" s="1570">
        <v>48699</v>
      </c>
      <c r="AV26" s="1570">
        <v>159518</v>
      </c>
      <c r="AW26" s="1570">
        <v>-110090</v>
      </c>
      <c r="AX26" s="1570">
        <v>-32516</v>
      </c>
      <c r="AY26" s="1570">
        <v>-90930</v>
      </c>
      <c r="AZ26" s="1570">
        <v>-1175</v>
      </c>
      <c r="BA26" s="1552">
        <f t="shared" si="3"/>
        <v>23315</v>
      </c>
    </row>
    <row r="27" spans="1:53" ht="14">
      <c r="L27" s="1502"/>
      <c r="M27" s="1502"/>
      <c r="N27" s="1523"/>
      <c r="R27" s="1559" t="s">
        <v>1251</v>
      </c>
      <c r="S27" s="1559" t="s">
        <v>1252</v>
      </c>
      <c r="AM27" s="1581"/>
      <c r="AN27" s="1580">
        <v>499400</v>
      </c>
      <c r="AO27" s="1570">
        <v>-19405</v>
      </c>
      <c r="AP27" s="1570">
        <v>22210</v>
      </c>
      <c r="AQ27" s="1570">
        <v>18640</v>
      </c>
      <c r="AR27" s="1570">
        <v>148914</v>
      </c>
      <c r="AS27" s="1570">
        <v>28439</v>
      </c>
      <c r="AT27" s="1570">
        <v>-127190</v>
      </c>
      <c r="AU27" s="1570">
        <v>96573</v>
      </c>
      <c r="AV27" s="1570">
        <v>79624</v>
      </c>
      <c r="AW27" s="1570">
        <v>-107446</v>
      </c>
      <c r="AX27" s="1570">
        <v>-29559</v>
      </c>
      <c r="AY27" s="1570">
        <v>-115418</v>
      </c>
      <c r="AZ27" s="1570">
        <v>7602</v>
      </c>
      <c r="BA27" s="1552">
        <f t="shared" si="3"/>
        <v>2984</v>
      </c>
    </row>
    <row r="28" spans="1:53" ht="14.5" thickBot="1">
      <c r="A28" s="1502" t="s">
        <v>1191</v>
      </c>
      <c r="H28" s="1522" t="s">
        <v>1212</v>
      </c>
      <c r="I28" s="1522"/>
      <c r="J28" s="1522"/>
      <c r="K28" s="1522"/>
      <c r="L28" s="1521">
        <f>M28+N28</f>
        <v>1214526.7362490599</v>
      </c>
      <c r="M28" s="1520">
        <f>ROUND(M25*50000+(M22-50000)*M26,0)</f>
        <v>1006744</v>
      </c>
      <c r="N28" s="1519">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81"/>
      <c r="AN28" s="1580" t="s">
        <v>1277</v>
      </c>
      <c r="AO28" s="1570">
        <v>-15271</v>
      </c>
      <c r="AP28" s="1570">
        <v>4205</v>
      </c>
      <c r="AQ28" s="1570">
        <v>-4323</v>
      </c>
      <c r="AR28" s="1570">
        <v>12987</v>
      </c>
      <c r="AS28" s="1570">
        <v>3380</v>
      </c>
      <c r="AT28" s="1570">
        <v>-2555</v>
      </c>
      <c r="AU28" s="1570">
        <v>-6296</v>
      </c>
      <c r="AV28" s="1570">
        <v>-6981</v>
      </c>
      <c r="AW28" s="1570">
        <v>13874</v>
      </c>
      <c r="AX28" s="1570">
        <v>-8409</v>
      </c>
      <c r="AY28" s="1570">
        <v>-7531</v>
      </c>
      <c r="AZ28" s="1570">
        <v>-6982</v>
      </c>
      <c r="BA28" s="1552">
        <f t="shared" si="3"/>
        <v>-23902</v>
      </c>
    </row>
    <row r="29" spans="1:53" ht="15" thickTop="1" thickBot="1">
      <c r="K29" s="1518"/>
      <c r="L29" s="1505"/>
      <c r="M29" s="1517"/>
      <c r="N29" s="1505"/>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82"/>
      <c r="AN29" s="1573" t="s">
        <v>1238</v>
      </c>
      <c r="AO29" s="1552">
        <f t="shared" ref="AO29:BA29" si="4">SUM(AO15:AO28)</f>
        <v>4134153.0600000005</v>
      </c>
      <c r="AP29" s="1552">
        <f t="shared" si="4"/>
        <v>3838032.3600000003</v>
      </c>
      <c r="AQ29" s="1552">
        <f t="shared" si="4"/>
        <v>4419581.1099999994</v>
      </c>
      <c r="AR29" s="1552">
        <f t="shared" si="4"/>
        <v>6908202.2100000009</v>
      </c>
      <c r="AS29" s="1552">
        <f t="shared" si="4"/>
        <v>16956026.859999999</v>
      </c>
      <c r="AT29" s="1552">
        <f t="shared" si="4"/>
        <v>22550032.939999994</v>
      </c>
      <c r="AU29" s="1552">
        <f t="shared" si="4"/>
        <v>23933148.949999992</v>
      </c>
      <c r="AV29" s="1552">
        <f t="shared" si="4"/>
        <v>20589162.300000001</v>
      </c>
      <c r="AW29" s="1552">
        <f t="shared" si="4"/>
        <v>21060440.819999993</v>
      </c>
      <c r="AX29" s="1552">
        <f t="shared" si="4"/>
        <v>13223914.799999999</v>
      </c>
      <c r="AY29" s="1552">
        <f t="shared" si="4"/>
        <v>7802382.7300000004</v>
      </c>
      <c r="AZ29" s="1552">
        <f t="shared" si="4"/>
        <v>5152429.09</v>
      </c>
      <c r="BA29" s="1552">
        <f t="shared" si="4"/>
        <v>150567507.23000002</v>
      </c>
    </row>
    <row r="30" spans="1:53" ht="14.5" thickBot="1">
      <c r="L30" s="1502"/>
      <c r="M30" s="1502"/>
      <c r="N30" s="1502"/>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60">
        <v>2941444.1699999995</v>
      </c>
      <c r="AM30" s="1578" t="s">
        <v>763</v>
      </c>
      <c r="AN30" s="1580" t="s">
        <v>1041</v>
      </c>
      <c r="AO30" s="1570">
        <v>4016587.7400000007</v>
      </c>
      <c r="AP30" s="1570">
        <v>3597628.4799999995</v>
      </c>
      <c r="AQ30" s="1570">
        <v>3775216.8100000005</v>
      </c>
      <c r="AR30" s="1570">
        <v>4674363.5900000008</v>
      </c>
      <c r="AS30" s="1570">
        <v>13971809.529999999</v>
      </c>
      <c r="AT30" s="1570">
        <v>27486833.150000006</v>
      </c>
      <c r="AU30" s="1570">
        <v>27920329.57</v>
      </c>
      <c r="AV30" s="1570">
        <v>21827859.5</v>
      </c>
      <c r="AW30" s="1570">
        <v>23698897.84</v>
      </c>
      <c r="AX30" s="1570">
        <v>15108002.949999997</v>
      </c>
      <c r="AY30" s="1570">
        <v>9349449.2899999991</v>
      </c>
      <c r="AZ30" s="1570">
        <v>5226379.9200000009</v>
      </c>
      <c r="BA30" s="1552">
        <f t="shared" ref="BA30:BA37" si="5">SUM(AO30:AZ30)</f>
        <v>160653358.36999997</v>
      </c>
    </row>
    <row r="31" spans="1:53" ht="14">
      <c r="I31" s="1516" t="s">
        <v>1208</v>
      </c>
      <c r="J31" s="1512" t="s">
        <v>1211</v>
      </c>
      <c r="L31" s="1502"/>
      <c r="M31" s="1502"/>
      <c r="N31" s="1502"/>
      <c r="AE31" s="1561">
        <f>AE30</f>
        <v>2941444.1699999995</v>
      </c>
      <c r="AM31" s="1581"/>
      <c r="AN31" s="1580" t="s">
        <v>1038</v>
      </c>
      <c r="AO31" s="1570">
        <v>1941161.8900000001</v>
      </c>
      <c r="AP31" s="1570">
        <v>1802327.1800000002</v>
      </c>
      <c r="AQ31" s="1570">
        <v>1881024.5099999998</v>
      </c>
      <c r="AR31" s="1570">
        <v>2492901.5299999998</v>
      </c>
      <c r="AS31" s="1570">
        <v>7165629.6000000015</v>
      </c>
      <c r="AT31" s="1570">
        <v>13745470.26</v>
      </c>
      <c r="AU31" s="1570">
        <v>14303772.699999997</v>
      </c>
      <c r="AV31" s="1570">
        <v>10685152.649999999</v>
      </c>
      <c r="AW31" s="1570">
        <v>12502754.830000002</v>
      </c>
      <c r="AX31" s="1570">
        <v>7688309.1600000011</v>
      </c>
      <c r="AY31" s="1570">
        <v>4732093.01</v>
      </c>
      <c r="AZ31" s="1570">
        <v>2536517.71</v>
      </c>
      <c r="BA31" s="1552">
        <f t="shared" si="5"/>
        <v>81477115.029999986</v>
      </c>
    </row>
    <row r="32" spans="1:53" ht="14">
      <c r="I32" s="1516"/>
      <c r="J32" s="1512" t="s">
        <v>1210</v>
      </c>
      <c r="L32" s="1502"/>
      <c r="M32" s="1502"/>
      <c r="N32" s="1502"/>
      <c r="AM32" s="1581"/>
      <c r="AN32" s="1580" t="s">
        <v>1036</v>
      </c>
      <c r="AO32" s="1570">
        <v>29208.83</v>
      </c>
      <c r="AP32" s="1570">
        <v>29276.980000000003</v>
      </c>
      <c r="AQ32" s="1570">
        <v>30259.42</v>
      </c>
      <c r="AR32" s="1570">
        <v>36541.089999999997</v>
      </c>
      <c r="AS32" s="1570">
        <v>117432.92</v>
      </c>
      <c r="AT32" s="1570">
        <v>179958.16999999998</v>
      </c>
      <c r="AU32" s="1570">
        <v>336967.94</v>
      </c>
      <c r="AV32" s="1570">
        <v>163809.08000000002</v>
      </c>
      <c r="AW32" s="1570">
        <v>251624.42</v>
      </c>
      <c r="AX32" s="1570">
        <v>176414.22999999998</v>
      </c>
      <c r="AY32" s="1570">
        <v>140493.90000000002</v>
      </c>
      <c r="AZ32" s="1570">
        <v>110004.89</v>
      </c>
      <c r="BA32" s="1552">
        <f t="shared" si="5"/>
        <v>1601991.8699999999</v>
      </c>
    </row>
    <row r="33" spans="8:53" ht="14">
      <c r="I33" s="1516"/>
      <c r="J33" s="1512" t="s">
        <v>1209</v>
      </c>
      <c r="L33" s="1502"/>
      <c r="M33" s="1502"/>
      <c r="N33" s="1502"/>
      <c r="AM33" s="1581"/>
      <c r="AN33" s="1580" t="s">
        <v>1033</v>
      </c>
      <c r="AO33" s="1570">
        <v>137053.62</v>
      </c>
      <c r="AP33" s="1570">
        <v>125886.73999999998</v>
      </c>
      <c r="AQ33" s="1570">
        <v>111801.1</v>
      </c>
      <c r="AR33" s="1570">
        <v>134001.08000000002</v>
      </c>
      <c r="AS33" s="1570">
        <v>230170.87999999998</v>
      </c>
      <c r="AT33" s="1570">
        <v>325414.72000000003</v>
      </c>
      <c r="AU33" s="1570">
        <v>332954.64999999997</v>
      </c>
      <c r="AV33" s="1570">
        <v>265631.41999999993</v>
      </c>
      <c r="AW33" s="1570">
        <v>297106.60000000003</v>
      </c>
      <c r="AX33" s="1570">
        <v>209881.87</v>
      </c>
      <c r="AY33" s="1570">
        <v>164642.19</v>
      </c>
      <c r="AZ33" s="1570">
        <v>130294.20999999999</v>
      </c>
      <c r="BA33" s="1552">
        <f t="shared" si="5"/>
        <v>2464839.0799999996</v>
      </c>
    </row>
    <row r="34" spans="8:53" ht="14">
      <c r="L34" s="1502"/>
      <c r="M34" s="1502"/>
      <c r="N34" s="1502"/>
      <c r="AM34" s="1581"/>
      <c r="AN34" s="1580" t="s">
        <v>1031</v>
      </c>
      <c r="AO34" s="1570">
        <v>15666.999999999998</v>
      </c>
      <c r="AP34" s="1570">
        <v>16176.3</v>
      </c>
      <c r="AQ34" s="1570">
        <v>16119.160000000003</v>
      </c>
      <c r="AR34" s="1570">
        <v>21500.000000000004</v>
      </c>
      <c r="AS34" s="1570">
        <v>34084.639999999992</v>
      </c>
      <c r="AT34" s="1570">
        <v>71952.289999999994</v>
      </c>
      <c r="AU34" s="1570">
        <v>77782.679999999993</v>
      </c>
      <c r="AV34" s="1570">
        <v>60766.429999999993</v>
      </c>
      <c r="AW34" s="1570">
        <v>56534.77</v>
      </c>
      <c r="AX34" s="1570">
        <v>47390.130000000005</v>
      </c>
      <c r="AY34" s="1570">
        <v>21034.39</v>
      </c>
      <c r="AZ34" s="1570">
        <v>4564.6799999999994</v>
      </c>
      <c r="BA34" s="1552">
        <f t="shared" si="5"/>
        <v>443572.47000000003</v>
      </c>
    </row>
    <row r="35" spans="8:53" ht="14">
      <c r="I35" s="1516" t="s">
        <v>1208</v>
      </c>
      <c r="J35" s="1512" t="s">
        <v>1207</v>
      </c>
      <c r="L35" s="1502"/>
      <c r="M35" s="1502"/>
      <c r="N35" s="1502"/>
      <c r="AM35" s="1581"/>
      <c r="AN35" s="1580" t="s">
        <v>1276</v>
      </c>
      <c r="AO35" s="1570">
        <v>270</v>
      </c>
      <c r="AP35" s="1570">
        <v>135</v>
      </c>
      <c r="AQ35" s="1570">
        <v>120</v>
      </c>
      <c r="AR35" s="1570">
        <v>180</v>
      </c>
      <c r="AS35" s="1570">
        <v>240</v>
      </c>
      <c r="AT35" s="1570">
        <v>270</v>
      </c>
      <c r="AU35" s="1570">
        <v>255</v>
      </c>
      <c r="AV35" s="1570">
        <v>315</v>
      </c>
      <c r="AW35" s="1570">
        <v>420</v>
      </c>
      <c r="AX35" s="1570">
        <v>300</v>
      </c>
      <c r="AY35" s="1570">
        <v>360</v>
      </c>
      <c r="AZ35" s="1570">
        <v>210</v>
      </c>
      <c r="BA35" s="1552">
        <f t="shared" si="5"/>
        <v>3075</v>
      </c>
    </row>
    <row r="36" spans="8:53" ht="14">
      <c r="I36" s="1516"/>
      <c r="J36" s="1512" t="s">
        <v>1206</v>
      </c>
      <c r="L36" s="1502"/>
      <c r="M36" s="1502"/>
      <c r="N36" s="1502"/>
      <c r="AH36" s="477">
        <v>92890</v>
      </c>
      <c r="AI36" s="1561">
        <f>AH36*12</f>
        <v>1114680</v>
      </c>
      <c r="AM36" s="1581"/>
      <c r="AN36" s="1580" t="s">
        <v>1028</v>
      </c>
      <c r="AO36" s="1570">
        <v>370924.58999999997</v>
      </c>
      <c r="AP36" s="1570">
        <v>335608.27999999997</v>
      </c>
      <c r="AQ36" s="1570">
        <v>378515.02</v>
      </c>
      <c r="AR36" s="1570">
        <v>348015.34</v>
      </c>
      <c r="AS36" s="1570">
        <v>386231.66000000003</v>
      </c>
      <c r="AT36" s="1570">
        <v>489848.36999999994</v>
      </c>
      <c r="AU36" s="1570">
        <v>502582.81</v>
      </c>
      <c r="AV36" s="1570">
        <v>477260.85</v>
      </c>
      <c r="AW36" s="1570">
        <v>462108.43</v>
      </c>
      <c r="AX36" s="1570">
        <v>443403.24000000005</v>
      </c>
      <c r="AY36" s="1570">
        <v>412468.71000000008</v>
      </c>
      <c r="AZ36" s="1570">
        <v>362507.02</v>
      </c>
      <c r="BA36" s="1552">
        <f t="shared" si="5"/>
        <v>4969474.32</v>
      </c>
    </row>
    <row r="37" spans="8:53" ht="14">
      <c r="I37" s="1516"/>
      <c r="L37" s="1502"/>
      <c r="M37" s="1502"/>
      <c r="N37" s="1502"/>
      <c r="AB37" s="1190" t="s">
        <v>1266</v>
      </c>
      <c r="AC37" s="531"/>
      <c r="AD37" s="1562">
        <f>AG7</f>
        <v>3589115.1699999995</v>
      </c>
      <c r="AH37" s="477">
        <v>327645</v>
      </c>
      <c r="AI37" s="1561">
        <f>AH37*12</f>
        <v>3931740</v>
      </c>
      <c r="AM37" s="1581"/>
      <c r="AN37" s="1580" t="s">
        <v>1281</v>
      </c>
      <c r="AO37" s="1570">
        <v>2417.0100000000002</v>
      </c>
      <c r="AP37" s="1570">
        <v>10383.330000000002</v>
      </c>
      <c r="AQ37" s="1570">
        <v>19449.23</v>
      </c>
      <c r="AR37" s="1570">
        <v>27595.41</v>
      </c>
      <c r="AS37" s="1570">
        <v>31638.52</v>
      </c>
      <c r="AT37" s="1570">
        <v>24778.7</v>
      </c>
      <c r="AU37" s="1570">
        <v>24049.469999999998</v>
      </c>
      <c r="AV37" s="1570">
        <v>7035.86</v>
      </c>
      <c r="AW37" s="1570">
        <v>7718.59</v>
      </c>
      <c r="AX37" s="1570">
        <v>18134.3</v>
      </c>
      <c r="AY37" s="1570">
        <v>32185.54</v>
      </c>
      <c r="AZ37" s="1570">
        <v>4700.51</v>
      </c>
      <c r="BA37" s="1552">
        <f t="shared" si="5"/>
        <v>210086.46999999997</v>
      </c>
    </row>
    <row r="38" spans="8:53" ht="14">
      <c r="H38" s="1512" t="s">
        <v>1150</v>
      </c>
      <c r="L38" s="1502"/>
      <c r="M38" s="1502"/>
      <c r="N38" s="1502"/>
      <c r="AM38" s="1581"/>
      <c r="AN38" s="1580">
        <v>493000</v>
      </c>
      <c r="AO38" s="1570">
        <v>-208.83</v>
      </c>
      <c r="AP38" s="1570">
        <v>0</v>
      </c>
      <c r="AQ38" s="1570">
        <v>0</v>
      </c>
      <c r="AR38" s="1570">
        <v>0</v>
      </c>
      <c r="AS38" s="1570">
        <v>0</v>
      </c>
      <c r="AT38" s="1570">
        <v>0</v>
      </c>
      <c r="AU38" s="1570">
        <v>0</v>
      </c>
      <c r="AV38" s="1570">
        <v>0</v>
      </c>
      <c r="AW38" s="1570">
        <v>0</v>
      </c>
      <c r="AX38" s="1570">
        <v>0</v>
      </c>
      <c r="AY38" s="1570">
        <v>0</v>
      </c>
      <c r="AZ38" s="1570">
        <v>0</v>
      </c>
      <c r="BA38" s="1552"/>
    </row>
    <row r="39" spans="8:53" ht="14">
      <c r="H39" s="1515">
        <v>1</v>
      </c>
      <c r="I39" s="1512" t="s">
        <v>1205</v>
      </c>
      <c r="AB39" s="877" t="s">
        <v>1267</v>
      </c>
      <c r="AD39" s="1563">
        <f>AE23</f>
        <v>647671</v>
      </c>
      <c r="AM39" s="1581"/>
      <c r="AN39" s="1580" t="s">
        <v>1247</v>
      </c>
      <c r="AO39" s="1570">
        <v>-231796</v>
      </c>
      <c r="AP39" s="1570">
        <v>-158046</v>
      </c>
      <c r="AQ39" s="1570">
        <v>453631</v>
      </c>
      <c r="AR39" s="1570">
        <v>2128772</v>
      </c>
      <c r="AS39" s="1570">
        <v>6579809</v>
      </c>
      <c r="AT39" s="1570">
        <v>1121722</v>
      </c>
      <c r="AU39" s="1570">
        <v>-511612.80000000075</v>
      </c>
      <c r="AV39" s="1570">
        <v>1586008.8000000007</v>
      </c>
      <c r="AW39" s="1570">
        <v>-4979878</v>
      </c>
      <c r="AX39" s="1570">
        <v>-2325026</v>
      </c>
      <c r="AY39" s="1570">
        <v>-3303111</v>
      </c>
      <c r="AZ39" s="1570">
        <v>-506660</v>
      </c>
      <c r="BA39" s="1552">
        <f>SUM(AO39:AZ39)</f>
        <v>-146187</v>
      </c>
    </row>
    <row r="40" spans="8:53" ht="14">
      <c r="H40" s="1515"/>
      <c r="AB40" s="877" t="s">
        <v>1268</v>
      </c>
      <c r="AD40" s="1103">
        <f>AE31</f>
        <v>2941444.1699999995</v>
      </c>
      <c r="AM40" s="1581"/>
      <c r="AN40" s="1580" t="s">
        <v>1250</v>
      </c>
      <c r="AO40" s="1570">
        <v>-117615</v>
      </c>
      <c r="AP40" s="1570">
        <v>-7877</v>
      </c>
      <c r="AQ40" s="1570">
        <v>184991</v>
      </c>
      <c r="AR40" s="1570">
        <v>1159466</v>
      </c>
      <c r="AS40" s="1570">
        <v>2585179</v>
      </c>
      <c r="AT40" s="1570">
        <v>386575</v>
      </c>
      <c r="AU40" s="1570">
        <v>127734.95999999996</v>
      </c>
      <c r="AV40" s="1570">
        <v>568591.04</v>
      </c>
      <c r="AW40" s="1570">
        <v>-1991622</v>
      </c>
      <c r="AX40" s="1570">
        <v>-1196635</v>
      </c>
      <c r="AY40" s="1570">
        <v>-1536642</v>
      </c>
      <c r="AZ40" s="1570">
        <v>-76978</v>
      </c>
      <c r="BA40" s="1552">
        <f>SUM(AO40:AZ40)</f>
        <v>85168</v>
      </c>
    </row>
    <row r="41" spans="8:53" ht="14">
      <c r="I41" s="1514"/>
      <c r="J41" s="1513"/>
      <c r="K41" s="1513"/>
      <c r="L41" s="1513"/>
      <c r="M41" s="1513"/>
      <c r="N41" s="1513"/>
      <c r="AD41" s="1564">
        <f>SUM(AD39:AD40)</f>
        <v>3589115.1699999995</v>
      </c>
      <c r="AM41" s="1581"/>
      <c r="AN41" s="1580" t="s">
        <v>1277</v>
      </c>
      <c r="AO41" s="1570">
        <v>-39287</v>
      </c>
      <c r="AP41" s="1570">
        <v>1251</v>
      </c>
      <c r="AQ41" s="1570">
        <v>9746</v>
      </c>
      <c r="AR41" s="1570">
        <v>37940</v>
      </c>
      <c r="AS41" s="1570">
        <v>127819</v>
      </c>
      <c r="AT41" s="1570">
        <v>10466</v>
      </c>
      <c r="AU41" s="1570">
        <v>-14934</v>
      </c>
      <c r="AV41" s="1570">
        <v>-9080</v>
      </c>
      <c r="AW41" s="1570">
        <v>-10388</v>
      </c>
      <c r="AX41" s="1570">
        <v>-54449</v>
      </c>
      <c r="AY41" s="1570">
        <v>-62295</v>
      </c>
      <c r="AZ41" s="1570">
        <v>-35874</v>
      </c>
      <c r="BA41" s="1552">
        <f>SUM(AO41:AZ41)</f>
        <v>-39085</v>
      </c>
    </row>
    <row r="42" spans="8:53" ht="14">
      <c r="I42" s="1513"/>
      <c r="J42" s="1513"/>
      <c r="K42" s="1513"/>
      <c r="L42" s="1513"/>
      <c r="M42" s="1513"/>
      <c r="N42" s="1513"/>
      <c r="AM42" s="1582"/>
      <c r="AN42" s="1573" t="s">
        <v>1238</v>
      </c>
      <c r="AO42" s="1552">
        <f t="shared" ref="AO42:BA42" si="6">SUM(AO30:AO41)</f>
        <v>6124383.8500000006</v>
      </c>
      <c r="AP42" s="1552">
        <f t="shared" si="6"/>
        <v>5752750.290000001</v>
      </c>
      <c r="AQ42" s="1552">
        <f t="shared" si="6"/>
        <v>6860873.25</v>
      </c>
      <c r="AR42" s="1552">
        <f t="shared" si="6"/>
        <v>11061276.040000001</v>
      </c>
      <c r="AS42" s="1552">
        <f t="shared" si="6"/>
        <v>31230044.750000004</v>
      </c>
      <c r="AT42" s="1552">
        <f t="shared" si="6"/>
        <v>43843288.660000004</v>
      </c>
      <c r="AU42" s="1552">
        <f t="shared" si="6"/>
        <v>43099882.979999997</v>
      </c>
      <c r="AV42" s="1552">
        <f t="shared" si="6"/>
        <v>35633350.630000003</v>
      </c>
      <c r="AW42" s="1552">
        <f t="shared" si="6"/>
        <v>30295277.480000012</v>
      </c>
      <c r="AX42" s="1552">
        <f t="shared" si="6"/>
        <v>20115725.879999999</v>
      </c>
      <c r="AY42" s="1552">
        <f t="shared" si="6"/>
        <v>9950679.0299999993</v>
      </c>
      <c r="AZ42" s="1552">
        <f t="shared" si="6"/>
        <v>7755666.9399999995</v>
      </c>
      <c r="BA42" s="1552">
        <f t="shared" si="6"/>
        <v>251723408.60999998</v>
      </c>
    </row>
    <row r="43" spans="8:53">
      <c r="AB43" s="877" t="s">
        <v>1269</v>
      </c>
      <c r="AC43" s="1069">
        <v>921981</v>
      </c>
    </row>
    <row r="44" spans="8:53" ht="13.5" thickBot="1">
      <c r="AB44" s="877" t="s">
        <v>1268</v>
      </c>
      <c r="AC44" s="1103">
        <f>AD40</f>
        <v>2941444.1699999995</v>
      </c>
      <c r="BA44" s="1583">
        <f>SUM(BA42,BA29,BA14)</f>
        <v>508682485.86000001</v>
      </c>
    </row>
    <row r="45" spans="8:53" ht="13.5" thickBot="1">
      <c r="AD45" s="1565">
        <f>AC43+AC44</f>
        <v>3863425.1699999995</v>
      </c>
    </row>
    <row r="46" spans="8:53">
      <c r="AB46" s="877"/>
      <c r="AD46" s="1563"/>
    </row>
    <row r="47" spans="8:53" ht="13.5" thickBot="1">
      <c r="AB47" s="877"/>
      <c r="AC47" s="877" t="s">
        <v>1270</v>
      </c>
      <c r="AD47" s="1566">
        <f>AD45-AD41</f>
        <v>274310</v>
      </c>
    </row>
    <row r="48" spans="8:53" ht="13.5" thickTop="1"/>
    <row r="51" spans="18:30" ht="14.5">
      <c r="R51" s="1567" t="s">
        <v>1271</v>
      </c>
    </row>
    <row r="52" spans="18:30" ht="14.5">
      <c r="R52" s="3926" t="s">
        <v>1272</v>
      </c>
      <c r="S52" s="3926"/>
      <c r="T52" s="3926"/>
      <c r="U52" s="3926"/>
      <c r="V52" s="3926"/>
      <c r="W52" s="3926"/>
      <c r="X52" s="3926"/>
      <c r="Y52" s="3926"/>
      <c r="Z52" s="3926"/>
      <c r="AA52" s="3926"/>
      <c r="AB52" s="3926"/>
      <c r="AC52" s="3926"/>
      <c r="AD52" s="3926"/>
    </row>
    <row r="53" spans="18:30" ht="15" thickBot="1">
      <c r="R53" s="1567" t="s">
        <v>1273</v>
      </c>
    </row>
    <row r="54" spans="18:30" ht="15" thickBot="1">
      <c r="R54" s="1568"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5"/>
  <cols>
    <col min="1" max="1" width="32.453125" style="477" customWidth="1"/>
    <col min="2" max="2" width="8.81640625" style="477"/>
    <col min="3" max="3" width="9.26953125" style="477" bestFit="1" customWidth="1"/>
    <col min="4" max="4" width="10.7265625" style="477" bestFit="1" customWidth="1"/>
    <col min="5" max="6" width="8.81640625" style="477"/>
    <col min="8" max="8" width="1.7265625" style="995" customWidth="1"/>
    <col min="9" max="9" width="8.81640625" style="477"/>
    <col min="10" max="10" width="20.1796875" style="477" customWidth="1"/>
    <col min="11" max="11" width="9.26953125" style="477" bestFit="1" customWidth="1"/>
    <col min="12" max="17" width="8.81640625" style="477"/>
    <col min="18" max="18" width="1.7265625" style="995" customWidth="1"/>
    <col min="19" max="19" width="8.81640625" style="477"/>
    <col min="20" max="20" width="10" style="477" customWidth="1"/>
    <col min="21" max="21" width="12.81640625" style="477" customWidth="1"/>
    <col min="22" max="22" width="11.81640625" style="477" bestFit="1" customWidth="1"/>
    <col min="23" max="23" width="13" style="477" customWidth="1"/>
    <col min="24" max="24" width="1.26953125" style="477" customWidth="1"/>
    <col min="25" max="25" width="10.1796875" style="477" customWidth="1"/>
    <col min="26" max="26" width="10.7265625" style="477" customWidth="1"/>
    <col min="27" max="27" width="8.81640625" style="477"/>
    <col min="28" max="28" width="8.81640625" style="477" bestFit="1"/>
    <col min="29" max="29" width="11.1796875" style="477" bestFit="1" customWidth="1"/>
    <col min="30" max="30" width="12.54296875" style="477" customWidth="1"/>
    <col min="31" max="31" width="8.81640625" style="477"/>
    <col min="32" max="32" width="9.26953125" style="477" bestFit="1" customWidth="1"/>
    <col min="33" max="33" width="8.81640625" style="477"/>
    <col min="34" max="34" width="1.7265625" style="995" customWidth="1"/>
    <col min="35" max="35" width="8.81640625" style="477"/>
    <col min="36" max="36" width="22.7265625" style="477" bestFit="1" customWidth="1"/>
    <col min="37" max="37" width="16.1796875" style="477" bestFit="1" customWidth="1"/>
    <col min="38" max="38" width="11.54296875" style="477" bestFit="1" customWidth="1"/>
    <col min="39" max="39" width="12.453125" style="477" customWidth="1"/>
    <col min="40" max="40" width="10.7265625" style="477" customWidth="1"/>
    <col min="41" max="41" width="9.81640625" style="477" customWidth="1"/>
    <col min="42" max="42" width="11.7265625" style="477" customWidth="1"/>
  </cols>
  <sheetData>
    <row r="1" spans="1:42" ht="13.5" thickBot="1">
      <c r="A1" s="3933" t="s">
        <v>1204</v>
      </c>
      <c r="B1" s="3933"/>
      <c r="C1" s="3933"/>
      <c r="D1" s="3933"/>
      <c r="E1" s="3933"/>
      <c r="F1" s="3933"/>
      <c r="J1" s="3929" t="s">
        <v>1282</v>
      </c>
      <c r="K1" s="3929"/>
      <c r="L1" s="3929"/>
      <c r="M1" s="3929"/>
      <c r="N1" s="3929"/>
      <c r="O1" s="3929"/>
      <c r="P1" s="3929"/>
    </row>
    <row r="2" spans="1:42" ht="13.5" thickBot="1">
      <c r="A2" s="3933" t="s">
        <v>1314</v>
      </c>
      <c r="B2" s="3933"/>
      <c r="C2" s="3933"/>
      <c r="D2" s="3933"/>
      <c r="E2" s="3933"/>
      <c r="F2" s="3933"/>
      <c r="J2" s="3929" t="s">
        <v>1283</v>
      </c>
      <c r="K2" s="3929"/>
      <c r="L2" s="3929"/>
      <c r="M2" s="3929"/>
      <c r="N2" s="3929"/>
      <c r="O2" s="3929"/>
      <c r="P2" s="3929"/>
      <c r="U2" s="3930" t="s">
        <v>1284</v>
      </c>
      <c r="V2" s="3931"/>
      <c r="W2" s="3932"/>
      <c r="Y2" s="3930" t="s">
        <v>1285</v>
      </c>
      <c r="Z2" s="3931"/>
      <c r="AA2" s="3931"/>
      <c r="AB2" s="3931"/>
      <c r="AC2" s="3931"/>
      <c r="AD2" s="3932"/>
    </row>
    <row r="3" spans="1:42" ht="13">
      <c r="A3" s="3933" t="s">
        <v>1283</v>
      </c>
      <c r="B3" s="3933"/>
      <c r="C3" s="3933"/>
      <c r="D3" s="3933"/>
      <c r="E3" s="3933"/>
      <c r="F3" s="3933"/>
      <c r="J3" s="3929" t="s">
        <v>1060</v>
      </c>
      <c r="K3" s="3929"/>
      <c r="L3" s="3929"/>
      <c r="M3" s="3929"/>
      <c r="N3" s="3929"/>
      <c r="O3" s="3929"/>
      <c r="P3" s="3929"/>
      <c r="T3" s="531"/>
      <c r="U3" s="1104">
        <v>228200</v>
      </c>
      <c r="V3" s="1104">
        <v>228200</v>
      </c>
      <c r="W3" s="1104">
        <v>228200</v>
      </c>
      <c r="X3" s="531"/>
      <c r="Y3" s="1104">
        <v>228210</v>
      </c>
      <c r="Z3" s="1104">
        <v>228210</v>
      </c>
      <c r="AA3" s="1104">
        <v>228210</v>
      </c>
      <c r="AB3" s="1104">
        <v>228210</v>
      </c>
      <c r="AC3" s="1104">
        <v>228210</v>
      </c>
      <c r="AD3" s="1104">
        <v>228210</v>
      </c>
      <c r="AM3" s="477" t="s">
        <v>1057</v>
      </c>
      <c r="AN3" s="974" t="s">
        <v>1058</v>
      </c>
      <c r="AO3" s="974"/>
      <c r="AP3" s="974"/>
    </row>
    <row r="4" spans="1:42" ht="13">
      <c r="A4" s="3933" t="s">
        <v>1313</v>
      </c>
      <c r="B4" s="3933"/>
      <c r="C4" s="3933"/>
      <c r="D4" s="3933"/>
      <c r="E4" s="3933"/>
      <c r="F4" s="3933"/>
      <c r="J4" s="1584"/>
      <c r="K4" s="1585"/>
      <c r="L4" s="1585"/>
      <c r="M4" s="1585"/>
      <c r="N4" s="1585"/>
      <c r="O4" s="1585"/>
      <c r="P4" s="1585"/>
      <c r="T4" s="531"/>
      <c r="U4" s="1104" t="s">
        <v>681</v>
      </c>
      <c r="V4" s="1104" t="s">
        <v>680</v>
      </c>
      <c r="W4" s="1104" t="s">
        <v>680</v>
      </c>
      <c r="X4" s="531"/>
      <c r="Y4" s="1104" t="s">
        <v>681</v>
      </c>
      <c r="Z4" s="1104" t="s">
        <v>681</v>
      </c>
      <c r="AA4" s="1104" t="s">
        <v>681</v>
      </c>
      <c r="AB4" s="1104" t="s">
        <v>680</v>
      </c>
      <c r="AC4" s="1104" t="s">
        <v>680</v>
      </c>
      <c r="AD4" s="1104" t="s">
        <v>680</v>
      </c>
      <c r="AM4" s="477" t="s">
        <v>677</v>
      </c>
      <c r="AN4" s="1586"/>
      <c r="AO4" s="1586" t="s">
        <v>676</v>
      </c>
      <c r="AP4" s="1586" t="s">
        <v>978</v>
      </c>
    </row>
    <row r="5" spans="1:42" ht="14">
      <c r="A5" s="3934" t="s">
        <v>1060</v>
      </c>
      <c r="B5" s="3934"/>
      <c r="C5" s="3934"/>
      <c r="D5" s="3934"/>
      <c r="E5" s="3934"/>
      <c r="F5" s="3934"/>
      <c r="J5" s="3927" t="s">
        <v>1286</v>
      </c>
      <c r="K5" s="3928"/>
      <c r="L5" s="3928"/>
      <c r="M5" s="3928"/>
      <c r="N5" s="3928"/>
      <c r="O5" s="3928"/>
      <c r="P5" s="3928"/>
      <c r="T5" s="1587" t="s">
        <v>1103</v>
      </c>
      <c r="U5" s="1104" t="s">
        <v>677</v>
      </c>
      <c r="V5" s="1104" t="s">
        <v>677</v>
      </c>
      <c r="W5" s="1104" t="s">
        <v>676</v>
      </c>
      <c r="X5" s="531"/>
      <c r="Y5" s="1104" t="s">
        <v>683</v>
      </c>
      <c r="Z5" s="1104" t="s">
        <v>763</v>
      </c>
      <c r="AA5" s="1104" t="s">
        <v>1067</v>
      </c>
      <c r="AB5" s="1104" t="s">
        <v>683</v>
      </c>
      <c r="AC5" s="1104" t="s">
        <v>763</v>
      </c>
      <c r="AD5" s="1104" t="s">
        <v>676</v>
      </c>
      <c r="AJ5" s="477" t="s">
        <v>1287</v>
      </c>
      <c r="AK5" s="937" t="s">
        <v>679</v>
      </c>
      <c r="AL5" s="937" t="s">
        <v>1288</v>
      </c>
      <c r="AM5" s="937" t="s">
        <v>681</v>
      </c>
      <c r="AN5" s="1588" t="s">
        <v>680</v>
      </c>
      <c r="AO5" s="1588" t="s">
        <v>680</v>
      </c>
      <c r="AP5" s="1588"/>
    </row>
    <row r="6" spans="1:42" ht="13">
      <c r="J6" s="1589"/>
      <c r="K6" s="1589"/>
      <c r="L6" s="1589"/>
      <c r="M6" s="1589"/>
      <c r="N6" s="1589"/>
      <c r="O6" s="1589"/>
      <c r="P6" s="1589"/>
      <c r="T6" s="1590">
        <v>202207</v>
      </c>
      <c r="U6" s="1591">
        <v>-7348.21</v>
      </c>
      <c r="V6" s="1591"/>
      <c r="W6" s="1591"/>
      <c r="X6" s="531"/>
      <c r="Y6" s="1592">
        <v>1894</v>
      </c>
      <c r="Z6" s="1592">
        <v>5454.2099999999991</v>
      </c>
      <c r="AA6" s="1592"/>
      <c r="AB6" s="1592"/>
      <c r="AC6" s="1592"/>
      <c r="AD6" s="1592"/>
      <c r="AF6" s="875">
        <f t="shared" ref="AF6:AF19" si="0">SUM(U6:AD6)</f>
        <v>0</v>
      </c>
      <c r="AJ6" s="477" t="s">
        <v>1289</v>
      </c>
      <c r="AK6" s="182" t="s">
        <v>1126</v>
      </c>
      <c r="AL6" s="477" t="s">
        <v>1290</v>
      </c>
      <c r="AM6" s="1069">
        <v>7348.21</v>
      </c>
      <c r="AN6" s="1593"/>
      <c r="AO6" s="1593"/>
      <c r="AP6" s="1593">
        <f t="shared" ref="AP6:AP11" si="1">SUM(AM6:AO6)</f>
        <v>7348.21</v>
      </c>
    </row>
    <row r="7" spans="1:42" ht="13">
      <c r="A7" s="1626"/>
      <c r="B7" s="1626"/>
      <c r="C7" s="3933"/>
      <c r="D7" s="3933"/>
      <c r="E7" s="3933"/>
      <c r="F7" s="1626"/>
      <c r="J7" s="1585"/>
      <c r="K7" s="1585"/>
      <c r="L7" s="1585"/>
      <c r="M7" s="1594"/>
      <c r="N7" s="1585"/>
      <c r="O7" s="1594"/>
      <c r="P7" s="1594"/>
      <c r="T7" s="1590">
        <v>202208</v>
      </c>
      <c r="U7" s="1591">
        <v>-18013.23</v>
      </c>
      <c r="V7" s="1591"/>
      <c r="W7" s="1591"/>
      <c r="X7" s="531"/>
      <c r="Y7" s="1592"/>
      <c r="Z7" s="1592">
        <v>18013.23</v>
      </c>
      <c r="AA7" s="1592"/>
      <c r="AB7" s="1592"/>
      <c r="AC7" s="1592"/>
      <c r="AD7" s="1592"/>
      <c r="AF7" s="875">
        <f t="shared" si="0"/>
        <v>0</v>
      </c>
      <c r="AK7" s="182" t="s">
        <v>1253</v>
      </c>
      <c r="AL7" s="477" t="s">
        <v>1290</v>
      </c>
      <c r="AM7" s="1069">
        <v>18013.23</v>
      </c>
      <c r="AN7" s="1593"/>
      <c r="AO7" s="1593"/>
      <c r="AP7" s="1593">
        <f t="shared" si="1"/>
        <v>18013.23</v>
      </c>
    </row>
    <row r="8" spans="1:42" ht="13">
      <c r="A8" s="1626"/>
      <c r="B8" s="1626"/>
      <c r="C8" s="1628"/>
      <c r="D8" s="1628"/>
      <c r="E8" s="1628"/>
      <c r="F8" s="1631"/>
      <c r="J8" s="1585"/>
      <c r="K8" s="1595" t="s">
        <v>729</v>
      </c>
      <c r="L8" s="1596"/>
      <c r="M8" s="1597"/>
      <c r="N8" s="1595" t="s">
        <v>787</v>
      </c>
      <c r="O8" s="1596"/>
      <c r="P8" s="1597"/>
      <c r="T8" s="1590">
        <v>202209</v>
      </c>
      <c r="U8" s="1591">
        <v>-9945.92</v>
      </c>
      <c r="V8" s="1591">
        <v>-15338.83</v>
      </c>
      <c r="W8" s="1591">
        <v>-1582</v>
      </c>
      <c r="X8" s="531"/>
      <c r="Y8" s="1592">
        <v>8800.57</v>
      </c>
      <c r="Z8" s="1592">
        <v>1145.3500000000001</v>
      </c>
      <c r="AA8" s="1592"/>
      <c r="AB8" s="1592">
        <v>1918.98</v>
      </c>
      <c r="AC8" s="1592">
        <v>13419.85</v>
      </c>
      <c r="AD8" s="1592">
        <v>1582</v>
      </c>
      <c r="AF8" s="875">
        <f t="shared" si="0"/>
        <v>-1.8189894035458565E-12</v>
      </c>
      <c r="AK8" s="182" t="s">
        <v>1254</v>
      </c>
      <c r="AL8" s="477" t="s">
        <v>1290</v>
      </c>
      <c r="AM8" s="1069">
        <v>9945.92</v>
      </c>
      <c r="AN8" s="1593">
        <v>15338.83</v>
      </c>
      <c r="AO8" s="1593">
        <v>1582</v>
      </c>
      <c r="AP8" s="1593">
        <f t="shared" si="1"/>
        <v>26866.75</v>
      </c>
    </row>
    <row r="9" spans="1:42" ht="13">
      <c r="A9" s="1628"/>
      <c r="B9" s="1628"/>
      <c r="C9" s="1640" t="s">
        <v>1312</v>
      </c>
      <c r="D9" s="1640" t="s">
        <v>80</v>
      </c>
      <c r="E9" s="1639" t="s">
        <v>81</v>
      </c>
      <c r="F9" s="1631"/>
      <c r="J9" s="1598" t="s">
        <v>1291</v>
      </c>
      <c r="K9" s="1599" t="s">
        <v>80</v>
      </c>
      <c r="L9" s="1600" t="s">
        <v>81</v>
      </c>
      <c r="M9" s="1601" t="s">
        <v>24</v>
      </c>
      <c r="N9" s="1599" t="s">
        <v>80</v>
      </c>
      <c r="O9" s="1600" t="s">
        <v>81</v>
      </c>
      <c r="P9" s="1601" t="s">
        <v>24</v>
      </c>
      <c r="T9" s="1590">
        <v>202210</v>
      </c>
      <c r="U9" s="1591">
        <v>-3424.23</v>
      </c>
      <c r="V9" s="1591">
        <v>-3372.8</v>
      </c>
      <c r="W9" s="1591">
        <v>-734</v>
      </c>
      <c r="X9" s="531"/>
      <c r="Y9" s="1592">
        <v>2915.62</v>
      </c>
      <c r="Z9" s="1592">
        <v>508.61</v>
      </c>
      <c r="AA9" s="1592"/>
      <c r="AB9" s="1592"/>
      <c r="AC9" s="1592">
        <v>3372.8</v>
      </c>
      <c r="AD9" s="1592">
        <v>734</v>
      </c>
      <c r="AF9" s="875">
        <f t="shared" si="0"/>
        <v>-9.0949470177292824E-13</v>
      </c>
      <c r="AK9" s="182" t="s">
        <v>1255</v>
      </c>
      <c r="AL9" s="477" t="s">
        <v>1290</v>
      </c>
      <c r="AM9" s="1069">
        <v>3424.23</v>
      </c>
      <c r="AN9" s="1593">
        <v>3372.8</v>
      </c>
      <c r="AO9" s="1593">
        <v>734</v>
      </c>
      <c r="AP9" s="1593">
        <f t="shared" si="1"/>
        <v>7531.0300000000007</v>
      </c>
    </row>
    <row r="10" spans="1:42" ht="13">
      <c r="A10" s="1628" t="s">
        <v>1311</v>
      </c>
      <c r="B10" s="1628"/>
      <c r="C10" s="1626"/>
      <c r="D10" s="1626"/>
      <c r="E10" s="1626"/>
      <c r="F10" s="1631"/>
      <c r="J10" s="1602"/>
      <c r="K10" s="1603"/>
      <c r="L10" s="1603"/>
      <c r="M10" s="1603"/>
      <c r="N10" s="1585"/>
      <c r="O10" s="1585"/>
      <c r="P10" s="1603"/>
      <c r="T10" s="1590">
        <v>202211</v>
      </c>
      <c r="U10" s="1591">
        <v>-17978.5</v>
      </c>
      <c r="V10" s="1591"/>
      <c r="W10" s="1591">
        <v>-3850.1</v>
      </c>
      <c r="X10" s="531"/>
      <c r="Y10" s="1592"/>
      <c r="Z10" s="1592">
        <v>17978.5</v>
      </c>
      <c r="AA10" s="1592"/>
      <c r="AB10" s="1592"/>
      <c r="AC10" s="1592"/>
      <c r="AD10" s="1592">
        <v>3850.1</v>
      </c>
      <c r="AF10" s="875">
        <f t="shared" si="0"/>
        <v>0</v>
      </c>
      <c r="AK10" s="182" t="s">
        <v>1256</v>
      </c>
      <c r="AL10" s="477" t="s">
        <v>1290</v>
      </c>
      <c r="AM10" s="1069">
        <v>17978.5</v>
      </c>
      <c r="AN10" s="1593"/>
      <c r="AO10" s="1593">
        <v>3850.1</v>
      </c>
      <c r="AP10" s="1593">
        <f t="shared" si="1"/>
        <v>21828.6</v>
      </c>
    </row>
    <row r="11" spans="1:42" ht="13">
      <c r="A11" s="1628" t="s">
        <v>1310</v>
      </c>
      <c r="B11" s="1628"/>
      <c r="C11" s="1632">
        <f>D11+E11</f>
        <v>0</v>
      </c>
      <c r="D11" s="1638">
        <v>0</v>
      </c>
      <c r="E11" s="1638">
        <v>0</v>
      </c>
      <c r="F11" s="1631"/>
      <c r="J11" s="1598"/>
      <c r="K11" s="1603"/>
      <c r="L11" s="1603"/>
      <c r="M11" s="1603"/>
      <c r="N11" s="1603"/>
      <c r="O11" s="1603"/>
      <c r="P11" s="1603"/>
      <c r="T11" s="1590">
        <v>202212</v>
      </c>
      <c r="U11" s="1591">
        <v>-447002.99</v>
      </c>
      <c r="V11" s="1591"/>
      <c r="W11" s="1591"/>
      <c r="X11" s="531"/>
      <c r="Y11" s="1592">
        <v>9502.99</v>
      </c>
      <c r="Z11" s="1592">
        <v>12500</v>
      </c>
      <c r="AA11" s="1592"/>
      <c r="AB11" s="1592"/>
      <c r="AC11" s="1592"/>
      <c r="AD11" s="1592"/>
      <c r="AF11" s="875">
        <f t="shared" si="0"/>
        <v>-425000</v>
      </c>
      <c r="AK11" s="182" t="s">
        <v>1257</v>
      </c>
      <c r="AL11" s="477" t="s">
        <v>1290</v>
      </c>
      <c r="AM11" s="1069">
        <v>447002.99</v>
      </c>
      <c r="AN11" s="1593"/>
      <c r="AO11" s="1593"/>
      <c r="AP11" s="1593">
        <f t="shared" si="1"/>
        <v>447002.99</v>
      </c>
    </row>
    <row r="12" spans="1:42" ht="13">
      <c r="A12" s="1628" t="s">
        <v>1309</v>
      </c>
      <c r="B12" s="1628"/>
      <c r="C12" s="1632">
        <f>-V21</f>
        <v>77470.67</v>
      </c>
      <c r="D12" s="1632">
        <f>C12*D22</f>
        <v>55582.1068982</v>
      </c>
      <c r="E12" s="1632">
        <f>C12*E22</f>
        <v>21888.563101800002</v>
      </c>
      <c r="F12" s="1631"/>
      <c r="J12" s="1598" t="s">
        <v>1292</v>
      </c>
      <c r="K12" s="1603">
        <v>155700.53</v>
      </c>
      <c r="L12" s="1603">
        <v>12099.73</v>
      </c>
      <c r="M12" s="1603">
        <f>SUM(K12:L12)</f>
        <v>167800.26</v>
      </c>
      <c r="N12" s="1603">
        <v>9034.76</v>
      </c>
      <c r="O12" s="1603">
        <v>11290.46</v>
      </c>
      <c r="P12" s="1603">
        <f>SUM(N12:O12)</f>
        <v>20325.22</v>
      </c>
      <c r="T12" s="1604" t="s">
        <v>1160</v>
      </c>
      <c r="U12" s="1605">
        <f t="shared" ref="U12:AD12" si="2">SUM(U6:U11)</f>
        <v>-503713.08</v>
      </c>
      <c r="V12" s="1605">
        <f t="shared" si="2"/>
        <v>-18711.63</v>
      </c>
      <c r="W12" s="1605">
        <f t="shared" si="2"/>
        <v>-6166.1</v>
      </c>
      <c r="X12" s="1605">
        <f t="shared" si="2"/>
        <v>0</v>
      </c>
      <c r="Y12" s="1605">
        <f t="shared" si="2"/>
        <v>23113.18</v>
      </c>
      <c r="Z12" s="1605">
        <f t="shared" si="2"/>
        <v>55599.899999999994</v>
      </c>
      <c r="AA12" s="1605">
        <f t="shared" si="2"/>
        <v>0</v>
      </c>
      <c r="AB12" s="1605">
        <f t="shared" si="2"/>
        <v>1918.98</v>
      </c>
      <c r="AC12" s="1605">
        <f t="shared" si="2"/>
        <v>16792.650000000001</v>
      </c>
      <c r="AD12" s="1605">
        <f t="shared" si="2"/>
        <v>6166.1</v>
      </c>
      <c r="AF12" s="1606">
        <f t="shared" si="0"/>
        <v>-425000.00000000012</v>
      </c>
      <c r="AK12" s="1607" t="s">
        <v>1131</v>
      </c>
      <c r="AL12" s="1608"/>
      <c r="AM12" s="1609">
        <f>SUM(AM6:AM11)</f>
        <v>503713.08</v>
      </c>
      <c r="AN12" s="1609">
        <f>SUM(AN6:AN11)</f>
        <v>18711.63</v>
      </c>
      <c r="AO12" s="1609">
        <f>SUM(AO6:AO11)</f>
        <v>6166.1</v>
      </c>
      <c r="AP12" s="1609">
        <f>SUM(AP6:AP11)</f>
        <v>528590.81000000006</v>
      </c>
    </row>
    <row r="13" spans="1:42" ht="13">
      <c r="A13" s="1628" t="s">
        <v>1308</v>
      </c>
      <c r="B13" s="1628"/>
      <c r="C13" s="1637">
        <f>SUM(C11:C12)</f>
        <v>77470.67</v>
      </c>
      <c r="D13" s="1637">
        <f>SUM(D11:D12)</f>
        <v>55582.1068982</v>
      </c>
      <c r="E13" s="1637">
        <f>SUM(E11:E12)</f>
        <v>21888.563101800002</v>
      </c>
      <c r="F13" s="1631"/>
      <c r="J13" s="1598" t="s">
        <v>1293</v>
      </c>
      <c r="K13" s="1603">
        <v>129573.08999999997</v>
      </c>
      <c r="L13" s="1603">
        <v>74006.66</v>
      </c>
      <c r="M13" s="1603">
        <f>SUM(K13:L13)</f>
        <v>203579.74999999997</v>
      </c>
      <c r="N13" s="1603">
        <v>9318.35</v>
      </c>
      <c r="O13" s="1603">
        <v>11352.009999999998</v>
      </c>
      <c r="P13" s="1603">
        <f>SUM(N13:O13)</f>
        <v>20670.36</v>
      </c>
      <c r="T13" s="973" t="s">
        <v>1053</v>
      </c>
      <c r="U13" s="1610">
        <v>-286801.40999999997</v>
      </c>
      <c r="V13" s="1610">
        <v>-52666.45</v>
      </c>
      <c r="W13" s="1610"/>
      <c r="Y13" s="1186">
        <v>14035.11</v>
      </c>
      <c r="Z13" s="1186">
        <v>97766.3</v>
      </c>
      <c r="AA13" s="1186"/>
      <c r="AB13" s="1186">
        <v>25438.46</v>
      </c>
      <c r="AC13" s="1186">
        <v>27227.989999999998</v>
      </c>
      <c r="AD13" s="1186"/>
      <c r="AF13" s="875">
        <f t="shared" si="0"/>
        <v>-175000.00000000003</v>
      </c>
      <c r="AK13" s="1611" t="s">
        <v>1053</v>
      </c>
      <c r="AL13" s="477" t="s">
        <v>1290</v>
      </c>
      <c r="AM13" s="1593">
        <v>286801.40999999997</v>
      </c>
      <c r="AN13" s="1593">
        <v>52666.45</v>
      </c>
      <c r="AO13" s="1593"/>
      <c r="AP13" s="1593">
        <f t="shared" ref="AP13:AP18" si="3">SUM(AM13:AO13)</f>
        <v>339467.86</v>
      </c>
    </row>
    <row r="14" spans="1:42" ht="13">
      <c r="A14" s="1628"/>
      <c r="B14" s="1628"/>
      <c r="C14" s="1632"/>
      <c r="D14" s="1632"/>
      <c r="E14" s="1632"/>
      <c r="F14" s="1631"/>
      <c r="J14" s="1598" t="s">
        <v>1294</v>
      </c>
      <c r="K14" s="1603">
        <v>97945.46</v>
      </c>
      <c r="L14" s="1603">
        <v>57368.479999999996</v>
      </c>
      <c r="M14" s="1603">
        <f>SUM(K14:L14)</f>
        <v>155313.94</v>
      </c>
      <c r="N14" s="1603">
        <v>41667.229999999989</v>
      </c>
      <c r="O14" s="1603">
        <v>286.23</v>
      </c>
      <c r="P14" s="1603">
        <f>SUM(N14:O14)</f>
        <v>41953.459999999992</v>
      </c>
      <c r="T14" s="973">
        <f>T13+1</f>
        <v>202302</v>
      </c>
      <c r="U14" s="1610">
        <v>69013.56</v>
      </c>
      <c r="V14" s="1610">
        <v>-2827.36</v>
      </c>
      <c r="W14" s="1610">
        <v>-10960</v>
      </c>
      <c r="Y14" s="1186">
        <v>119</v>
      </c>
      <c r="Z14" s="1186">
        <v>332328.89</v>
      </c>
      <c r="AA14" s="1186"/>
      <c r="AB14" s="1186">
        <v>2827.36</v>
      </c>
      <c r="AC14" s="1186"/>
      <c r="AD14" s="1186">
        <v>10960</v>
      </c>
      <c r="AF14" s="875">
        <f t="shared" si="0"/>
        <v>401461.45</v>
      </c>
      <c r="AK14" s="1611" t="s">
        <v>1258</v>
      </c>
      <c r="AL14" s="477" t="s">
        <v>1290</v>
      </c>
      <c r="AM14" s="1612">
        <v>-69013.56</v>
      </c>
      <c r="AN14" s="1612">
        <v>2827.36</v>
      </c>
      <c r="AO14" s="1612">
        <v>10960</v>
      </c>
      <c r="AP14" s="1593">
        <f t="shared" si="3"/>
        <v>-55226.2</v>
      </c>
    </row>
    <row r="15" spans="1:42" ht="13">
      <c r="A15" s="1628" t="s">
        <v>1307</v>
      </c>
      <c r="B15" s="1628"/>
      <c r="C15" s="1636">
        <f>P19</f>
        <v>42060.033333333326</v>
      </c>
      <c r="D15" s="1636">
        <f>N19</f>
        <v>37554.956666666665</v>
      </c>
      <c r="E15" s="1636">
        <f>O19</f>
        <v>12816.19</v>
      </c>
      <c r="F15" s="1634"/>
      <c r="J15" s="1598" t="s">
        <v>1295</v>
      </c>
      <c r="K15" s="1603">
        <v>112976.53000000001</v>
      </c>
      <c r="L15" s="1603">
        <v>17208.52</v>
      </c>
      <c r="M15" s="1603">
        <v>203579.75</v>
      </c>
      <c r="N15" s="1603">
        <v>2881.59</v>
      </c>
      <c r="O15" s="1603">
        <v>780</v>
      </c>
      <c r="P15" s="1603">
        <v>20670.36</v>
      </c>
      <c r="T15" s="973">
        <f>T14+1</f>
        <v>202303</v>
      </c>
      <c r="U15" s="1610">
        <v>-4173.8900000000003</v>
      </c>
      <c r="V15" s="1610">
        <v>-2243.54</v>
      </c>
      <c r="W15" s="1610">
        <v>-1562</v>
      </c>
      <c r="Y15" s="1186">
        <v>4173.8899999999994</v>
      </c>
      <c r="Z15" s="1186"/>
      <c r="AA15" s="1186"/>
      <c r="AB15" s="1186"/>
      <c r="AC15" s="1186">
        <v>2243.54</v>
      </c>
      <c r="AD15" s="1186">
        <v>1562</v>
      </c>
      <c r="AF15" s="875">
        <f t="shared" si="0"/>
        <v>0</v>
      </c>
      <c r="AK15" s="1611" t="s">
        <v>1259</v>
      </c>
      <c r="AL15" s="477" t="s">
        <v>1290</v>
      </c>
      <c r="AM15" s="1612">
        <v>4173.8900000000003</v>
      </c>
      <c r="AN15" s="1612">
        <v>2243.54</v>
      </c>
      <c r="AO15" s="1612">
        <v>1562</v>
      </c>
      <c r="AP15" s="1593">
        <f t="shared" si="3"/>
        <v>7979.43</v>
      </c>
    </row>
    <row r="16" spans="1:42" ht="13.5" thickBot="1">
      <c r="A16" s="1628"/>
      <c r="B16" s="1628"/>
      <c r="C16" s="1632"/>
      <c r="D16" s="1635"/>
      <c r="E16" s="1635"/>
      <c r="F16" s="1634"/>
      <c r="J16" s="1598" t="s">
        <v>1296</v>
      </c>
      <c r="K16" s="1603">
        <v>195430.28</v>
      </c>
      <c r="L16" s="1603">
        <v>30205.42</v>
      </c>
      <c r="M16" s="1603">
        <v>155313.94</v>
      </c>
      <c r="N16" s="1603">
        <v>88300.26999999999</v>
      </c>
      <c r="O16" s="1603">
        <v>20528.64</v>
      </c>
      <c r="P16" s="1603">
        <v>41953.46</v>
      </c>
      <c r="T16" s="973">
        <f>T15+1</f>
        <v>202304</v>
      </c>
      <c r="U16" s="1610">
        <v>-56158.21</v>
      </c>
      <c r="V16" s="1610">
        <v>-200</v>
      </c>
      <c r="W16" s="1610">
        <v>-1769</v>
      </c>
      <c r="Y16" s="1186">
        <v>30906</v>
      </c>
      <c r="Z16" s="1186">
        <v>223790.76</v>
      </c>
      <c r="AA16" s="1186"/>
      <c r="AB16" s="1186">
        <v>200</v>
      </c>
      <c r="AC16" s="1186"/>
      <c r="AD16" s="1186">
        <v>1769</v>
      </c>
      <c r="AF16" s="875">
        <f t="shared" si="0"/>
        <v>198538.55000000002</v>
      </c>
      <c r="AK16" s="1611" t="s">
        <v>1260</v>
      </c>
      <c r="AL16" s="477" t="s">
        <v>1290</v>
      </c>
      <c r="AM16" s="1612">
        <v>56158.21</v>
      </c>
      <c r="AN16" s="1612">
        <v>200</v>
      </c>
      <c r="AO16" s="1612">
        <v>1769</v>
      </c>
      <c r="AP16" s="1593">
        <f t="shared" si="3"/>
        <v>58127.21</v>
      </c>
    </row>
    <row r="17" spans="1:42" ht="14" thickTop="1" thickBot="1">
      <c r="A17" s="1628" t="s">
        <v>1306</v>
      </c>
      <c r="B17" s="1628"/>
      <c r="C17" s="1632">
        <f>D17+E17</f>
        <v>-27099.523333333338</v>
      </c>
      <c r="D17" s="1633">
        <f>-D13+D15</f>
        <v>-18027.150231533335</v>
      </c>
      <c r="E17" s="1632">
        <f>-E13+E15</f>
        <v>-9072.3731018000017</v>
      </c>
      <c r="F17" s="1631"/>
      <c r="J17" s="1598" t="s">
        <v>1297</v>
      </c>
      <c r="K17" s="1603">
        <v>65389.969999999994</v>
      </c>
      <c r="L17" s="1603">
        <v>36208.630000000005</v>
      </c>
      <c r="M17" s="1603">
        <f>SUM(K17:L17)</f>
        <v>101598.6</v>
      </c>
      <c r="N17" s="1603">
        <v>44269.32</v>
      </c>
      <c r="O17" s="1603">
        <v>3758.98</v>
      </c>
      <c r="P17" s="1603">
        <f>SUM(N17:O17)</f>
        <v>48028.3</v>
      </c>
      <c r="T17" s="973">
        <f>T16+1</f>
        <v>202305</v>
      </c>
      <c r="U17" s="1610">
        <v>-17091.28</v>
      </c>
      <c r="V17" s="1610">
        <v>-521.69000000000005</v>
      </c>
      <c r="W17" s="1610"/>
      <c r="Y17" s="1186">
        <v>8574.58</v>
      </c>
      <c r="Z17" s="1186">
        <v>8516.7000000000007</v>
      </c>
      <c r="AA17" s="1186"/>
      <c r="AB17" s="1186">
        <v>335</v>
      </c>
      <c r="AC17" s="1186">
        <v>186.69</v>
      </c>
      <c r="AD17" s="1186"/>
      <c r="AF17" s="875">
        <f t="shared" si="0"/>
        <v>3.1263880373444408E-12</v>
      </c>
      <c r="AK17" s="1611" t="s">
        <v>1261</v>
      </c>
      <c r="AL17" s="477" t="s">
        <v>1290</v>
      </c>
      <c r="AM17" s="1612">
        <v>17091.28</v>
      </c>
      <c r="AN17" s="1612">
        <v>521.69000000000005</v>
      </c>
      <c r="AO17" s="1612"/>
      <c r="AP17" s="1593">
        <f t="shared" si="3"/>
        <v>17612.969999999998</v>
      </c>
    </row>
    <row r="18" spans="1:42" ht="13.5" thickTop="1">
      <c r="A18" s="1628"/>
      <c r="B18" s="1628"/>
      <c r="C18" s="1632"/>
      <c r="D18" s="1632"/>
      <c r="E18" s="1632"/>
      <c r="F18" s="1631"/>
      <c r="J18" s="1598" t="s">
        <v>1298</v>
      </c>
      <c r="K18" s="1603">
        <f>Z19</f>
        <v>666204.84999999986</v>
      </c>
      <c r="L18" s="1603">
        <f>Y19</f>
        <v>80416.08</v>
      </c>
      <c r="M18" s="1603">
        <f>SUM(K18:L18)</f>
        <v>746620.92999999982</v>
      </c>
      <c r="N18" s="1603">
        <f>AC19</f>
        <v>29858.219999999998</v>
      </c>
      <c r="O18" s="1603">
        <f>AB19</f>
        <v>28900.82</v>
      </c>
      <c r="P18" s="1603">
        <f>SUM(N18:O18)</f>
        <v>58759.039999999994</v>
      </c>
      <c r="T18" s="973">
        <f>T17+1</f>
        <v>202306</v>
      </c>
      <c r="U18" s="1610">
        <v>-26409.7</v>
      </c>
      <c r="V18" s="1610">
        <v>-300</v>
      </c>
      <c r="W18" s="1610"/>
      <c r="Y18" s="1186">
        <v>22607.5</v>
      </c>
      <c r="Z18" s="1186">
        <v>3802.2</v>
      </c>
      <c r="AA18" s="1186"/>
      <c r="AB18" s="1186">
        <v>100</v>
      </c>
      <c r="AC18" s="1186">
        <v>200</v>
      </c>
      <c r="AD18" s="1186"/>
      <c r="AF18" s="875">
        <f t="shared" si="0"/>
        <v>-9.0949470177292824E-13</v>
      </c>
      <c r="AK18" s="1611" t="s">
        <v>1262</v>
      </c>
      <c r="AL18" s="477" t="s">
        <v>1290</v>
      </c>
      <c r="AM18" s="1612">
        <v>26409.7</v>
      </c>
      <c r="AN18" s="1612">
        <v>300</v>
      </c>
      <c r="AO18" s="1612"/>
      <c r="AP18" s="1593">
        <f t="shared" si="3"/>
        <v>26709.7</v>
      </c>
    </row>
    <row r="19" spans="1:42" ht="13.5" thickBot="1">
      <c r="A19" s="1626"/>
      <c r="B19" s="1626"/>
      <c r="C19" s="1626"/>
      <c r="D19" s="1626"/>
      <c r="E19" s="1626"/>
      <c r="F19" s="1626"/>
      <c r="J19" s="1598" t="s">
        <v>1299</v>
      </c>
      <c r="K19" s="1613">
        <f t="shared" ref="K19:P19" si="4">SUM(K12:K18)/6</f>
        <v>237203.45166666666</v>
      </c>
      <c r="L19" s="1613">
        <f t="shared" si="4"/>
        <v>51252.253333333334</v>
      </c>
      <c r="M19" s="1613">
        <f t="shared" si="4"/>
        <v>288967.86166666663</v>
      </c>
      <c r="N19" s="1613">
        <f t="shared" si="4"/>
        <v>37554.956666666665</v>
      </c>
      <c r="O19" s="1613">
        <f t="shared" si="4"/>
        <v>12816.19</v>
      </c>
      <c r="P19" s="1613">
        <f t="shared" si="4"/>
        <v>42060.033333333326</v>
      </c>
      <c r="T19" s="531" t="s">
        <v>1300</v>
      </c>
      <c r="U19" s="1614">
        <f t="shared" ref="U19:AD19" si="5">SUM(U13:U18)</f>
        <v>-321620.93</v>
      </c>
      <c r="V19" s="1614">
        <f t="shared" si="5"/>
        <v>-58759.040000000001</v>
      </c>
      <c r="W19" s="1614">
        <f t="shared" si="5"/>
        <v>-14291</v>
      </c>
      <c r="X19" s="1614">
        <f t="shared" si="5"/>
        <v>0</v>
      </c>
      <c r="Y19" s="1614">
        <f t="shared" si="5"/>
        <v>80416.08</v>
      </c>
      <c r="Z19" s="1614">
        <f t="shared" si="5"/>
        <v>666204.84999999986</v>
      </c>
      <c r="AA19" s="1614">
        <f t="shared" si="5"/>
        <v>0</v>
      </c>
      <c r="AB19" s="1614">
        <f t="shared" si="5"/>
        <v>28900.82</v>
      </c>
      <c r="AC19" s="1614">
        <f t="shared" si="5"/>
        <v>29858.219999999998</v>
      </c>
      <c r="AD19" s="1614">
        <f t="shared" si="5"/>
        <v>14291</v>
      </c>
      <c r="AF19" s="1606">
        <f t="shared" si="0"/>
        <v>424999.99999999988</v>
      </c>
      <c r="AK19" s="1607" t="s">
        <v>1142</v>
      </c>
      <c r="AL19" s="1608"/>
      <c r="AM19" s="1609">
        <f>SUM(AM13:AM18)</f>
        <v>321620.93</v>
      </c>
      <c r="AN19" s="1609">
        <f>SUM(AN13:AN18)</f>
        <v>58759.040000000001</v>
      </c>
      <c r="AO19" s="1609">
        <f>SUM(AO13:AO18)</f>
        <v>14291</v>
      </c>
      <c r="AP19" s="1609">
        <f>SUM(AP13:AP18)</f>
        <v>394670.97</v>
      </c>
    </row>
    <row r="20" spans="1:42" ht="13">
      <c r="A20" s="1626"/>
      <c r="B20" s="1626"/>
      <c r="C20" s="1626"/>
      <c r="D20" s="1626"/>
      <c r="E20" s="1626"/>
      <c r="F20" s="1626"/>
      <c r="J20" s="1602"/>
      <c r="K20" s="1603"/>
      <c r="L20" s="1603"/>
      <c r="M20" s="1603"/>
      <c r="N20" s="1603"/>
      <c r="O20" s="1603"/>
      <c r="P20" s="1603"/>
      <c r="T20" s="531"/>
      <c r="U20" s="1615"/>
      <c r="V20" s="1615"/>
      <c r="W20" s="1615"/>
      <c r="X20" s="1615"/>
      <c r="Y20" s="1615"/>
      <c r="Z20" s="1615"/>
      <c r="AA20" s="1615"/>
      <c r="AB20" s="1615"/>
      <c r="AC20" s="1615"/>
      <c r="AD20" s="1615"/>
      <c r="AF20" s="875"/>
      <c r="AK20" s="1616"/>
      <c r="AL20" s="531"/>
      <c r="AM20" s="1617"/>
      <c r="AN20" s="1617"/>
      <c r="AO20" s="1617"/>
      <c r="AP20" s="1617"/>
    </row>
    <row r="21" spans="1:42" ht="13.5" thickBot="1">
      <c r="A21" s="1628"/>
      <c r="B21" s="1628"/>
      <c r="C21" s="1628"/>
      <c r="D21" s="1628"/>
      <c r="E21" s="1628"/>
      <c r="F21" s="1631"/>
      <c r="J21" s="1602"/>
      <c r="K21" s="1618"/>
      <c r="L21" s="1618"/>
      <c r="M21" s="1618"/>
      <c r="N21" s="1618"/>
      <c r="O21" s="1618"/>
      <c r="P21" s="1618"/>
      <c r="T21" s="531" t="s">
        <v>1301</v>
      </c>
      <c r="U21" s="1606">
        <f t="shared" ref="U21:AD21" si="6">U12+U19</f>
        <v>-825334.01</v>
      </c>
      <c r="V21" s="1606">
        <f t="shared" si="6"/>
        <v>-77470.67</v>
      </c>
      <c r="W21" s="1606">
        <f t="shared" si="6"/>
        <v>-20457.099999999999</v>
      </c>
      <c r="X21" s="1606">
        <f t="shared" si="6"/>
        <v>0</v>
      </c>
      <c r="Y21" s="1606">
        <f t="shared" si="6"/>
        <v>103529.26000000001</v>
      </c>
      <c r="Z21" s="1606">
        <f t="shared" si="6"/>
        <v>721804.74999999988</v>
      </c>
      <c r="AA21" s="1606">
        <f t="shared" si="6"/>
        <v>0</v>
      </c>
      <c r="AB21" s="1606">
        <f t="shared" si="6"/>
        <v>30819.8</v>
      </c>
      <c r="AC21" s="1606">
        <f t="shared" si="6"/>
        <v>46650.869999999995</v>
      </c>
      <c r="AD21" s="1606">
        <f t="shared" si="6"/>
        <v>20457.099999999999</v>
      </c>
      <c r="AJ21" s="477" t="s">
        <v>1302</v>
      </c>
      <c r="AK21" s="477" t="s">
        <v>1301</v>
      </c>
      <c r="AM21" s="1619">
        <f>AM12+AM19</f>
        <v>825334.01</v>
      </c>
      <c r="AN21" s="1619">
        <f>AN12+AN19</f>
        <v>77470.67</v>
      </c>
      <c r="AO21" s="1619">
        <f>AO12+AO19</f>
        <v>20457.099999999999</v>
      </c>
      <c r="AP21" s="1619">
        <f>AP12+AP19</f>
        <v>923261.78</v>
      </c>
    </row>
    <row r="22" spans="1:42" ht="13">
      <c r="A22" s="1628" t="s">
        <v>1305</v>
      </c>
      <c r="B22" s="1628"/>
      <c r="C22" s="1630">
        <v>1</v>
      </c>
      <c r="D22" s="1630">
        <v>0.71745999999999999</v>
      </c>
      <c r="E22" s="1630">
        <v>0.28254000000000001</v>
      </c>
      <c r="F22" s="1627"/>
      <c r="J22" s="1602"/>
      <c r="K22" s="1603"/>
      <c r="L22" s="1603"/>
      <c r="M22" s="1603"/>
      <c r="N22" s="1585"/>
      <c r="O22" s="1585"/>
      <c r="P22" s="1603"/>
      <c r="AM22" s="1186"/>
      <c r="AN22" s="1186"/>
      <c r="AO22" s="1186"/>
      <c r="AP22" s="1186"/>
    </row>
    <row r="23" spans="1:42" ht="13">
      <c r="A23" s="1626"/>
      <c r="B23" s="1626"/>
      <c r="C23" s="1629"/>
      <c r="D23" s="1629"/>
      <c r="E23" s="1629"/>
      <c r="F23" s="1626"/>
      <c r="J23" s="1602"/>
      <c r="K23" s="1603"/>
      <c r="L23" s="1603"/>
      <c r="M23" s="1603"/>
      <c r="N23" s="1585"/>
      <c r="O23" s="1585"/>
      <c r="P23" s="1603"/>
      <c r="U23" s="1606"/>
      <c r="V23" s="1606"/>
      <c r="W23" s="1606"/>
      <c r="X23" s="1606"/>
      <c r="Y23" s="1606"/>
      <c r="Z23" s="1606"/>
      <c r="AA23" s="1606"/>
      <c r="AB23" s="1606"/>
      <c r="AC23" s="1606"/>
      <c r="AD23" s="1620">
        <f>SUM(U21:AD21)</f>
        <v>-1.3824319466948509E-10</v>
      </c>
      <c r="AM23" s="1186"/>
      <c r="AN23" s="1186"/>
      <c r="AO23" s="1186"/>
      <c r="AP23" s="1186"/>
    </row>
    <row r="24" spans="1:42" ht="13">
      <c r="A24" s="1626"/>
      <c r="B24" s="1626"/>
      <c r="C24" s="1626"/>
      <c r="D24" s="1626"/>
      <c r="E24" s="1628"/>
      <c r="F24" s="1626"/>
      <c r="J24" s="1602" t="s">
        <v>1303</v>
      </c>
      <c r="K24" s="1585"/>
      <c r="L24" s="1585"/>
      <c r="M24" s="1585"/>
      <c r="N24" s="1585"/>
      <c r="O24" s="1585"/>
      <c r="P24" s="1585"/>
      <c r="AM24" s="1186"/>
      <c r="AN24" s="1186"/>
      <c r="AO24" s="1186"/>
      <c r="AP24" s="1186"/>
    </row>
    <row r="25" spans="1:42" ht="13">
      <c r="A25"/>
      <c r="B25"/>
      <c r="C25"/>
      <c r="D25"/>
      <c r="J25" s="1602"/>
      <c r="K25" s="1621"/>
      <c r="L25" s="1621"/>
      <c r="M25" s="1621"/>
      <c r="N25" s="1585"/>
      <c r="O25" s="1585"/>
      <c r="P25" s="1585"/>
    </row>
    <row r="26" spans="1:42">
      <c r="A26"/>
      <c r="B26"/>
      <c r="C26"/>
      <c r="D26"/>
      <c r="E26" s="1626"/>
      <c r="F26" s="1626"/>
      <c r="T26" s="477" t="s">
        <v>1304</v>
      </c>
    </row>
    <row r="27" spans="1:42">
      <c r="A27"/>
      <c r="B27"/>
      <c r="C27"/>
      <c r="D27"/>
      <c r="E27" s="1625"/>
    </row>
    <row r="28" spans="1:42">
      <c r="A28"/>
      <c r="B28"/>
      <c r="C28"/>
      <c r="D28"/>
      <c r="E28" s="1625"/>
    </row>
    <row r="29" spans="1:42">
      <c r="A29"/>
      <c r="B29"/>
      <c r="C29"/>
      <c r="D29"/>
    </row>
    <row r="30" spans="1:42">
      <c r="A30"/>
      <c r="B30"/>
      <c r="C30"/>
      <c r="D30"/>
      <c r="E30" s="1624"/>
    </row>
    <row r="31" spans="1:42">
      <c r="A31"/>
      <c r="B31"/>
      <c r="C31"/>
      <c r="D31"/>
      <c r="E31" s="1623"/>
    </row>
    <row r="32" spans="1:42">
      <c r="A32"/>
      <c r="B32"/>
      <c r="C32"/>
      <c r="D32"/>
      <c r="E32" s="1622"/>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C7:E7"/>
    <mergeCell ref="A1:F1"/>
    <mergeCell ref="A2:F2"/>
    <mergeCell ref="A3:F3"/>
    <mergeCell ref="A4:F4"/>
    <mergeCell ref="A5:F5"/>
    <mergeCell ref="J5:P5"/>
    <mergeCell ref="J1:P1"/>
    <mergeCell ref="J2:P2"/>
    <mergeCell ref="U2:W2"/>
    <mergeCell ref="Y2:AD2"/>
    <mergeCell ref="J3:P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5"/>
  <cols>
    <col min="1" max="1" width="1.81640625" style="477" customWidth="1"/>
    <col min="2" max="2" width="4.54296875" style="1641" customWidth="1"/>
    <col min="3" max="3" width="20" style="477" customWidth="1"/>
    <col min="4" max="4" width="12.7265625" style="477" customWidth="1"/>
    <col min="5" max="5" width="12.1796875" style="477" customWidth="1"/>
    <col min="6" max="6" width="11.7265625" style="477" customWidth="1"/>
    <col min="7" max="7" width="11.81640625" style="477" customWidth="1"/>
    <col min="9" max="9" width="1.7265625" style="995" customWidth="1"/>
    <col min="11" max="11" width="4.26953125" style="1641" customWidth="1"/>
    <col min="12" max="12" width="15" style="477" customWidth="1"/>
    <col min="13" max="13" width="12.7265625" style="477" customWidth="1"/>
    <col min="14" max="14" width="12" style="477" customWidth="1"/>
    <col min="15" max="15" width="1.7265625" style="477" customWidth="1"/>
    <col min="16" max="16" width="17.81640625" style="477" customWidth="1"/>
    <col min="17" max="17" width="10.81640625" style="477" customWidth="1"/>
    <col min="18" max="19" width="12.26953125" style="477" bestFit="1" customWidth="1"/>
    <col min="20" max="20" width="4.81640625" style="867" customWidth="1"/>
    <col min="21" max="22" width="11.453125" style="477"/>
    <col min="23" max="23" width="12.26953125" style="477" bestFit="1" customWidth="1"/>
    <col min="24" max="24" width="8.81640625" style="477"/>
  </cols>
  <sheetData>
    <row r="1" spans="1:23" ht="13">
      <c r="A1" s="182" t="s">
        <v>111</v>
      </c>
      <c r="C1" s="867"/>
      <c r="D1" s="867"/>
      <c r="E1" s="867"/>
      <c r="F1" s="867"/>
      <c r="G1" s="867"/>
      <c r="K1" s="1663" t="s">
        <v>1344</v>
      </c>
      <c r="L1" s="1663"/>
      <c r="M1" s="1663"/>
      <c r="N1" s="1663"/>
      <c r="O1" s="1663"/>
      <c r="P1" s="1663"/>
      <c r="Q1" s="1663"/>
      <c r="R1" s="1663"/>
      <c r="T1" s="182" t="s">
        <v>794</v>
      </c>
      <c r="V1" s="1684" t="s">
        <v>1343</v>
      </c>
    </row>
    <row r="2" spans="1:23">
      <c r="A2" s="182" t="s">
        <v>1328</v>
      </c>
      <c r="C2" s="867"/>
      <c r="D2" s="867"/>
      <c r="E2" s="867"/>
      <c r="F2" s="867"/>
      <c r="G2" s="867"/>
      <c r="K2" s="1663" t="s">
        <v>1342</v>
      </c>
      <c r="L2" s="1663"/>
      <c r="M2" s="1663"/>
      <c r="N2" s="1663"/>
      <c r="O2" s="1663"/>
      <c r="P2" s="1663"/>
      <c r="Q2" s="1663"/>
      <c r="R2" s="1683"/>
      <c r="U2" s="923" t="s">
        <v>1342</v>
      </c>
      <c r="V2" s="923" t="s">
        <v>80</v>
      </c>
      <c r="W2" s="923" t="s">
        <v>81</v>
      </c>
    </row>
    <row r="3" spans="1:23">
      <c r="A3" s="3883" t="s">
        <v>1327</v>
      </c>
      <c r="B3" s="3883"/>
      <c r="C3" s="3883"/>
      <c r="D3" s="3883"/>
      <c r="E3" s="3883"/>
      <c r="F3" s="3883"/>
      <c r="G3" s="3883"/>
      <c r="K3" s="3883" t="str">
        <f>'G-2.06 FIT'!A3</f>
        <v>For the Twelve Months Ended June 30, 2023</v>
      </c>
      <c r="L3" s="3883"/>
      <c r="M3" s="3883"/>
      <c r="N3" s="3883"/>
      <c r="O3" s="3883"/>
      <c r="P3" s="3883"/>
      <c r="Q3" s="3883"/>
      <c r="R3" s="3883"/>
      <c r="T3" s="867">
        <v>2</v>
      </c>
      <c r="U3" s="1665">
        <f t="shared" ref="U3:U12" si="0">V3+W3</f>
        <v>0</v>
      </c>
      <c r="V3" s="1682"/>
      <c r="W3" s="1682"/>
    </row>
    <row r="4" spans="1:23">
      <c r="D4" s="867"/>
      <c r="K4" s="1664"/>
      <c r="L4" s="1663"/>
      <c r="M4" s="1663"/>
      <c r="N4" s="1663"/>
      <c r="O4" s="1663"/>
      <c r="P4" s="1663"/>
      <c r="Q4" s="1663"/>
      <c r="R4" s="1663"/>
      <c r="T4" s="867">
        <v>3</v>
      </c>
      <c r="U4" s="1665">
        <f t="shared" si="0"/>
        <v>0</v>
      </c>
      <c r="V4" s="1682"/>
      <c r="W4" s="1682"/>
    </row>
    <row r="5" spans="1:23" ht="13">
      <c r="D5" s="867"/>
      <c r="E5" s="1654" t="s">
        <v>79</v>
      </c>
      <c r="F5" s="1654" t="s">
        <v>80</v>
      </c>
      <c r="G5" s="1654" t="s">
        <v>81</v>
      </c>
      <c r="T5" s="867">
        <v>4</v>
      </c>
      <c r="U5" s="1665">
        <f t="shared" si="0"/>
        <v>0</v>
      </c>
      <c r="V5" s="1682"/>
      <c r="W5" s="1682"/>
    </row>
    <row r="6" spans="1:23">
      <c r="A6" s="1642"/>
      <c r="C6" s="1642"/>
      <c r="D6" s="1659"/>
      <c r="E6" s="1642"/>
      <c r="F6" s="1642"/>
      <c r="G6" s="1642"/>
      <c r="R6" s="3883" t="s">
        <v>1335</v>
      </c>
      <c r="S6" s="3883"/>
      <c r="T6" s="867">
        <v>5</v>
      </c>
      <c r="U6" s="1665">
        <f t="shared" si="0"/>
        <v>0</v>
      </c>
      <c r="V6" s="1682"/>
      <c r="W6" s="1682"/>
    </row>
    <row r="7" spans="1:23" ht="13">
      <c r="A7" s="1642"/>
      <c r="C7" s="1642" t="s">
        <v>1326</v>
      </c>
      <c r="D7" s="1659"/>
      <c r="E7" s="1642">
        <f>F7+G7</f>
        <v>-25222890</v>
      </c>
      <c r="F7" s="1661">
        <v>-20889870</v>
      </c>
      <c r="G7" s="1661">
        <v>-4333020</v>
      </c>
      <c r="K7" s="1641">
        <v>1</v>
      </c>
      <c r="L7" s="1681" t="s">
        <v>1341</v>
      </c>
      <c r="R7" s="923" t="s">
        <v>763</v>
      </c>
      <c r="S7" s="923" t="s">
        <v>683</v>
      </c>
      <c r="T7" s="867">
        <v>6</v>
      </c>
      <c r="U7" s="1665">
        <f t="shared" si="0"/>
        <v>0</v>
      </c>
      <c r="V7" s="1682"/>
      <c r="W7" s="1682"/>
    </row>
    <row r="8" spans="1:23">
      <c r="A8" s="1642"/>
      <c r="C8" s="1642" t="s">
        <v>1320</v>
      </c>
      <c r="D8" s="1659"/>
      <c r="E8" s="1642"/>
      <c r="F8" s="1642"/>
      <c r="G8" s="1642"/>
      <c r="L8" s="3936" t="s">
        <v>1340</v>
      </c>
      <c r="M8" s="3936"/>
      <c r="N8" s="3936"/>
      <c r="Q8" s="877" t="s">
        <v>1339</v>
      </c>
      <c r="R8" s="1680">
        <v>-35256496</v>
      </c>
      <c r="S8" s="1680">
        <v>-13120066</v>
      </c>
      <c r="T8" s="867">
        <v>10</v>
      </c>
      <c r="U8" s="1665">
        <f t="shared" si="0"/>
        <v>0</v>
      </c>
      <c r="V8" s="1682"/>
      <c r="W8" s="1682"/>
    </row>
    <row r="9" spans="1:23" ht="13">
      <c r="A9" s="1642"/>
      <c r="B9" s="1652" t="s">
        <v>1325</v>
      </c>
      <c r="D9" s="1659"/>
      <c r="E9" s="1642"/>
      <c r="F9" s="1642"/>
      <c r="G9" s="1642"/>
      <c r="L9" s="3936"/>
      <c r="M9" s="3936"/>
      <c r="N9" s="3936"/>
      <c r="Q9" s="877" t="s">
        <v>1338</v>
      </c>
      <c r="R9" s="1677">
        <f>-R8*0.21</f>
        <v>7403864.1600000001</v>
      </c>
      <c r="S9" s="1677">
        <f>-S8*0.21</f>
        <v>2755213.86</v>
      </c>
      <c r="T9" s="867">
        <v>11</v>
      </c>
      <c r="U9" s="1665">
        <f t="shared" si="0"/>
        <v>0</v>
      </c>
      <c r="V9" s="1682"/>
      <c r="W9" s="1682"/>
    </row>
    <row r="10" spans="1:23" ht="13">
      <c r="A10" s="1642"/>
      <c r="B10" s="1642"/>
      <c r="C10" s="1642"/>
      <c r="D10" s="1659"/>
      <c r="E10" s="1642"/>
      <c r="F10" s="1642"/>
      <c r="G10" s="1642"/>
      <c r="L10" s="1678"/>
      <c r="Q10" s="877" t="s">
        <v>1337</v>
      </c>
      <c r="R10" s="1680">
        <v>-1211143.523157655</v>
      </c>
      <c r="S10" s="1680">
        <v>-469918.8221205452</v>
      </c>
      <c r="T10" s="867">
        <v>12</v>
      </c>
      <c r="U10" s="1665">
        <f t="shared" si="0"/>
        <v>0</v>
      </c>
      <c r="V10" s="1682"/>
      <c r="W10" s="1682"/>
    </row>
    <row r="11" spans="1:23" ht="13">
      <c r="A11" s="1642"/>
      <c r="C11" s="1652" t="s">
        <v>1324</v>
      </c>
      <c r="D11" s="1659"/>
      <c r="E11" s="1642"/>
      <c r="F11" s="1642"/>
      <c r="G11" s="1642"/>
      <c r="Q11" s="877" t="s">
        <v>1336</v>
      </c>
      <c r="R11" s="1680">
        <v>-10036731.240000002</v>
      </c>
      <c r="S11" s="1680">
        <v>-1084415.9099999999</v>
      </c>
      <c r="T11" s="867">
        <v>13</v>
      </c>
      <c r="U11" s="1665">
        <f t="shared" si="0"/>
        <v>0</v>
      </c>
      <c r="V11" s="1682"/>
      <c r="W11" s="1682"/>
    </row>
    <row r="12" spans="1:23">
      <c r="A12" s="1642"/>
      <c r="C12" s="1642" t="s">
        <v>1323</v>
      </c>
      <c r="D12" s="1659"/>
      <c r="E12" s="1662">
        <f>F12+G12</f>
        <v>0</v>
      </c>
      <c r="F12" s="1662">
        <f>'G-2.06 FIT'!M30</f>
        <v>0</v>
      </c>
      <c r="G12" s="1662">
        <f>'G-2.06 FIT'!M31</f>
        <v>0</v>
      </c>
      <c r="N12" s="877"/>
      <c r="Q12" s="877" t="s">
        <v>1332</v>
      </c>
      <c r="R12" s="1680">
        <v>-3743490</v>
      </c>
      <c r="S12" s="1680">
        <v>1126084</v>
      </c>
      <c r="T12" s="867">
        <v>14</v>
      </c>
      <c r="U12" s="1665">
        <f t="shared" si="0"/>
        <v>0</v>
      </c>
      <c r="V12" s="1682"/>
      <c r="W12" s="1682"/>
    </row>
    <row r="13" spans="1:23">
      <c r="A13" s="1642"/>
      <c r="C13" s="1642" t="s">
        <v>1322</v>
      </c>
      <c r="D13" s="1659"/>
      <c r="E13" s="1642">
        <f>SUM(E7:E12)</f>
        <v>-25222890</v>
      </c>
      <c r="F13" s="1642">
        <f>SUM(F7:F12)</f>
        <v>-20889870</v>
      </c>
      <c r="G13" s="1642">
        <f>SUM(G7:G12)</f>
        <v>-4333020</v>
      </c>
      <c r="L13" s="1674" t="s">
        <v>1330</v>
      </c>
      <c r="M13" s="1673">
        <v>0</v>
      </c>
      <c r="N13" s="1672"/>
      <c r="U13" s="1665"/>
      <c r="V13" s="1682"/>
      <c r="W13" s="1682"/>
    </row>
    <row r="14" spans="1:23">
      <c r="A14" s="1642"/>
      <c r="C14" s="1642"/>
      <c r="D14" s="1659"/>
      <c r="E14" s="1642"/>
      <c r="F14" s="1642"/>
      <c r="G14" s="1642"/>
      <c r="L14" s="477" t="s">
        <v>763</v>
      </c>
      <c r="M14" s="866">
        <v>0</v>
      </c>
      <c r="N14" s="1665"/>
      <c r="Q14" s="1671"/>
      <c r="R14" s="1670"/>
      <c r="S14" s="1677"/>
      <c r="U14" s="1665"/>
      <c r="V14" s="1682"/>
      <c r="W14" s="1682"/>
    </row>
    <row r="15" spans="1:23">
      <c r="A15" s="1642"/>
      <c r="C15" s="1642"/>
      <c r="D15" s="1659"/>
      <c r="E15" s="1642"/>
      <c r="F15" s="1642"/>
      <c r="G15" s="1642"/>
      <c r="L15" s="477" t="s">
        <v>683</v>
      </c>
      <c r="M15" s="866">
        <v>0</v>
      </c>
      <c r="N15" s="1665"/>
      <c r="Q15" s="1667"/>
      <c r="R15" s="1670"/>
    </row>
    <row r="16" spans="1:23">
      <c r="A16" s="1642"/>
      <c r="B16" s="1658" t="s">
        <v>1321</v>
      </c>
      <c r="C16" s="1642"/>
      <c r="D16" s="1659"/>
      <c r="E16" s="1642">
        <f>F16+G16</f>
        <v>-5296807</v>
      </c>
      <c r="F16" s="1661">
        <v>-4386873</v>
      </c>
      <c r="G16" s="1661">
        <v>-909934</v>
      </c>
      <c r="M16" s="199"/>
      <c r="N16" s="1665"/>
      <c r="Q16" s="1667"/>
      <c r="R16" s="1675"/>
    </row>
    <row r="17" spans="1:19">
      <c r="A17" s="1642"/>
      <c r="B17" s="1658"/>
      <c r="C17" s="1642" t="s">
        <v>1320</v>
      </c>
      <c r="D17" s="1659"/>
      <c r="E17" s="1642"/>
      <c r="F17" s="1642"/>
      <c r="G17" s="1642"/>
      <c r="N17" s="877"/>
      <c r="Q17" s="1669"/>
      <c r="R17" s="1675"/>
    </row>
    <row r="18" spans="1:19">
      <c r="A18" s="1642"/>
      <c r="B18" s="1658" t="s">
        <v>1319</v>
      </c>
      <c r="C18" s="1642"/>
      <c r="D18" s="1659"/>
      <c r="E18" s="1642">
        <f>F18+G18</f>
        <v>-5296807</v>
      </c>
      <c r="F18" s="1660">
        <f>ROUND(F13*0.21,0)</f>
        <v>-4386873</v>
      </c>
      <c r="G18" s="1660">
        <f>ROUND(G13*0.21,0)</f>
        <v>-909934</v>
      </c>
      <c r="L18" s="1674" t="s">
        <v>1329</v>
      </c>
      <c r="M18" s="1673">
        <f>M19+M20</f>
        <v>-25725.475278202211</v>
      </c>
      <c r="N18" s="1672"/>
      <c r="Q18" s="1671"/>
      <c r="R18" s="1670"/>
    </row>
    <row r="19" spans="1:19" ht="13" thickBot="1">
      <c r="A19" s="1642"/>
      <c r="B19" s="1658"/>
      <c r="C19" s="1642"/>
      <c r="D19" s="1659"/>
      <c r="E19" s="1642"/>
      <c r="F19" s="1642"/>
      <c r="G19" s="1642"/>
      <c r="L19" s="477" t="s">
        <v>763</v>
      </c>
      <c r="M19" s="866">
        <f>R9+R10+R11-R12</f>
        <v>-100520.6031576572</v>
      </c>
      <c r="N19" s="1665"/>
      <c r="Q19" s="1671"/>
      <c r="R19" s="1670"/>
    </row>
    <row r="20" spans="1:19" ht="14" thickTop="1" thickBot="1">
      <c r="A20" s="1642"/>
      <c r="B20" s="1658"/>
      <c r="C20" s="1657" t="s">
        <v>1318</v>
      </c>
      <c r="D20" s="1656"/>
      <c r="E20" s="1649">
        <f>E18-E16</f>
        <v>0</v>
      </c>
      <c r="F20" s="1648">
        <f>F18-F16</f>
        <v>0</v>
      </c>
      <c r="G20" s="1647">
        <f>G18-G16</f>
        <v>0</v>
      </c>
      <c r="L20" s="477" t="s">
        <v>683</v>
      </c>
      <c r="M20" s="866">
        <f>S9+S10+S11-S12</f>
        <v>74795.127879454987</v>
      </c>
      <c r="N20" s="1665"/>
      <c r="Q20" s="1669"/>
      <c r="R20" s="1668"/>
    </row>
    <row r="21" spans="1:19" ht="13" thickTop="1">
      <c r="A21" s="1642"/>
      <c r="M21" s="199"/>
      <c r="N21" s="1665"/>
      <c r="Q21" s="1667"/>
      <c r="R21" s="1666"/>
    </row>
    <row r="22" spans="1:19">
      <c r="B22" s="477"/>
      <c r="E22" s="1642"/>
      <c r="F22" s="1642"/>
      <c r="G22" s="1655"/>
      <c r="R22" s="3883" t="s">
        <v>1335</v>
      </c>
      <c r="S22" s="3883"/>
    </row>
    <row r="23" spans="1:19" ht="13">
      <c r="B23" s="477"/>
      <c r="E23" s="1654" t="s">
        <v>79</v>
      </c>
      <c r="F23" s="1654" t="s">
        <v>80</v>
      </c>
      <c r="G23" s="1654" t="s">
        <v>81</v>
      </c>
      <c r="K23" s="1641">
        <v>2</v>
      </c>
      <c r="L23" s="1681" t="s">
        <v>1334</v>
      </c>
      <c r="R23" s="923" t="s">
        <v>763</v>
      </c>
      <c r="S23" s="923" t="s">
        <v>683</v>
      </c>
    </row>
    <row r="24" spans="1:19" ht="13">
      <c r="B24" s="1653" t="s">
        <v>1317</v>
      </c>
      <c r="E24" s="1642"/>
      <c r="F24" s="1642"/>
      <c r="G24" s="1642"/>
      <c r="L24" s="3935"/>
      <c r="M24" s="3935"/>
      <c r="N24" s="3935"/>
      <c r="O24" s="3935"/>
      <c r="P24" s="1679"/>
      <c r="Q24" s="477" t="s">
        <v>1333</v>
      </c>
      <c r="R24" s="1680">
        <v>0</v>
      </c>
      <c r="S24" s="1680">
        <v>0</v>
      </c>
    </row>
    <row r="25" spans="1:19" ht="13">
      <c r="E25" s="1642"/>
      <c r="F25" s="1642"/>
      <c r="G25" s="1642"/>
      <c r="L25" s="3935"/>
      <c r="M25" s="3935"/>
      <c r="N25" s="3935"/>
      <c r="O25" s="3935"/>
      <c r="P25" s="1679"/>
      <c r="Q25" s="477" t="s">
        <v>1329</v>
      </c>
      <c r="R25" s="1677">
        <f>R24*-0.21</f>
        <v>0</v>
      </c>
      <c r="S25" s="1677">
        <f>S24*-0.21</f>
        <v>0</v>
      </c>
    </row>
    <row r="26" spans="1:19" ht="13">
      <c r="C26" s="1652"/>
      <c r="E26" s="1642"/>
      <c r="F26" s="1642"/>
      <c r="G26" s="1642"/>
      <c r="L26" s="1678"/>
      <c r="Q26" s="877" t="s">
        <v>1332</v>
      </c>
      <c r="R26" s="1677">
        <v>0</v>
      </c>
      <c r="S26" s="1677">
        <v>0</v>
      </c>
    </row>
    <row r="27" spans="1:19" ht="13">
      <c r="C27" s="1652" t="str">
        <f>'G-2.06 FIT'!L8</f>
        <v>Total Schedule M and Deferred FIT do not agree due to year end true ups specific to past year totals.</v>
      </c>
      <c r="E27" s="1642">
        <f>F27+G27</f>
        <v>-25725.475278202211</v>
      </c>
      <c r="F27" s="1642">
        <f>'G-2.06 FIT'!M19</f>
        <v>-100520.6031576572</v>
      </c>
      <c r="G27" s="1642">
        <f>'G-2.06 FIT'!M20</f>
        <v>74795.127879454987</v>
      </c>
      <c r="Q27" s="877" t="s">
        <v>1331</v>
      </c>
      <c r="R27" s="1677">
        <v>0</v>
      </c>
      <c r="S27" s="1677">
        <v>0</v>
      </c>
    </row>
    <row r="28" spans="1:19">
      <c r="E28" s="1642"/>
      <c r="F28" s="1642"/>
      <c r="G28" s="1642"/>
      <c r="N28" s="877" t="s">
        <v>686</v>
      </c>
      <c r="Q28" s="877"/>
      <c r="R28" s="877"/>
    </row>
    <row r="29" spans="1:19" ht="13" thickBot="1">
      <c r="C29" s="1642"/>
      <c r="E29" s="1642"/>
      <c r="F29" s="1642"/>
      <c r="G29" s="1642"/>
      <c r="L29" s="1674" t="s">
        <v>1330</v>
      </c>
      <c r="M29" s="1673">
        <v>0</v>
      </c>
      <c r="N29" s="1672">
        <v>99</v>
      </c>
      <c r="R29" s="1676"/>
    </row>
    <row r="30" spans="1:19" ht="14" thickTop="1" thickBot="1">
      <c r="C30" s="1651" t="s">
        <v>1316</v>
      </c>
      <c r="D30" s="1650"/>
      <c r="E30" s="1649">
        <f>SUM(E27:E29)</f>
        <v>-25725.475278202211</v>
      </c>
      <c r="F30" s="1648">
        <f>SUM(F27:F29)</f>
        <v>-100520.6031576572</v>
      </c>
      <c r="G30" s="1647">
        <f>SUM(G27:G29)</f>
        <v>74795.127879454987</v>
      </c>
      <c r="L30" s="477" t="s">
        <v>763</v>
      </c>
      <c r="M30" s="866"/>
      <c r="N30" s="1665">
        <f>VLOOKUP(N29,factors,3)</f>
        <v>0</v>
      </c>
      <c r="R30" s="1670"/>
    </row>
    <row r="31" spans="1:19" ht="13" thickTop="1">
      <c r="E31" s="1642"/>
      <c r="F31" s="1642"/>
      <c r="G31" s="1642"/>
      <c r="L31" s="477" t="s">
        <v>683</v>
      </c>
      <c r="M31" s="866"/>
      <c r="N31" s="1665">
        <f>VLOOKUP(N29,factors,4)</f>
        <v>0</v>
      </c>
      <c r="R31" s="1670"/>
    </row>
    <row r="32" spans="1:19" ht="13.5" thickBot="1">
      <c r="C32" s="1646" t="s">
        <v>1315</v>
      </c>
      <c r="D32" s="1645"/>
      <c r="E32" s="1644">
        <f>E20+E30</f>
        <v>-25725.475278202211</v>
      </c>
      <c r="F32" s="1644">
        <f>F20+F30</f>
        <v>-100520.6031576572</v>
      </c>
      <c r="G32" s="1644">
        <f>G20+G30</f>
        <v>74795.127879454987</v>
      </c>
      <c r="M32" s="199"/>
      <c r="N32" s="1665"/>
      <c r="R32" s="1675"/>
    </row>
    <row r="33" spans="5:18" ht="13" thickTop="1">
      <c r="E33" s="1642"/>
      <c r="F33" s="1642"/>
      <c r="G33" s="1642"/>
      <c r="N33" s="877" t="s">
        <v>686</v>
      </c>
      <c r="R33" s="1675"/>
    </row>
    <row r="34" spans="5:18">
      <c r="E34" s="1642"/>
      <c r="F34" s="1642"/>
      <c r="G34" s="1642"/>
      <c r="L34" s="1674" t="s">
        <v>1329</v>
      </c>
      <c r="M34" s="1673">
        <f>R25</f>
        <v>0</v>
      </c>
      <c r="N34" s="1672">
        <v>99</v>
      </c>
      <c r="Q34" s="1671"/>
      <c r="R34" s="1670"/>
    </row>
    <row r="35" spans="5:18">
      <c r="E35" s="1642"/>
      <c r="F35" s="1643"/>
      <c r="G35" s="1642"/>
      <c r="L35" s="477" t="s">
        <v>763</v>
      </c>
      <c r="M35" s="199">
        <f>ROUND(R27,0)</f>
        <v>0</v>
      </c>
      <c r="N35" s="1665">
        <f>VLOOKUP(N34,factors,3)</f>
        <v>0</v>
      </c>
      <c r="Q35" s="1671"/>
      <c r="R35" s="1670"/>
    </row>
    <row r="36" spans="5:18">
      <c r="E36" s="1642"/>
      <c r="F36" s="1642"/>
      <c r="G36" s="1642"/>
      <c r="L36" s="477" t="s">
        <v>683</v>
      </c>
      <c r="M36" s="199">
        <f>ROUND(S27,0)</f>
        <v>0</v>
      </c>
      <c r="N36" s="1665">
        <f>VLOOKUP(N34,factors,4)</f>
        <v>0</v>
      </c>
      <c r="Q36" s="1669"/>
      <c r="R36" s="1668"/>
    </row>
    <row r="37" spans="5:18">
      <c r="E37" s="1642"/>
      <c r="F37" s="1642"/>
      <c r="G37" s="1642"/>
      <c r="M37" s="199"/>
      <c r="N37" s="1665"/>
      <c r="Q37" s="1667"/>
      <c r="R37" s="1666"/>
    </row>
    <row r="38" spans="5:18">
      <c r="E38" s="1642"/>
      <c r="F38" s="1642"/>
      <c r="G38" s="1642"/>
      <c r="M38" s="199"/>
      <c r="N38" s="1665"/>
      <c r="Q38" s="199"/>
      <c r="R38" s="1665"/>
    </row>
    <row r="39" spans="5:18">
      <c r="E39" s="1642"/>
      <c r="F39" s="1642"/>
      <c r="G39" s="1642"/>
    </row>
    <row r="40" spans="5:18">
      <c r="E40" s="1642"/>
      <c r="F40" s="1642"/>
      <c r="G40" s="1642"/>
    </row>
    <row r="41" spans="5:18">
      <c r="E41" s="1642"/>
      <c r="F41" s="1642"/>
      <c r="G41" s="1642"/>
    </row>
    <row r="42" spans="5:18">
      <c r="E42" s="1642"/>
      <c r="F42" s="1642"/>
      <c r="G42" s="1642"/>
    </row>
    <row r="43" spans="5:18">
      <c r="E43" s="1642"/>
      <c r="F43" s="1642"/>
      <c r="G43" s="1642"/>
    </row>
    <row r="44" spans="5:18">
      <c r="E44" s="1642"/>
      <c r="F44" s="1642"/>
      <c r="G44" s="1642"/>
    </row>
    <row r="45" spans="5:18">
      <c r="E45" s="1642"/>
      <c r="F45" s="1642"/>
      <c r="G45" s="1642"/>
    </row>
    <row r="46" spans="5:18">
      <c r="E46" s="1642"/>
      <c r="F46" s="1642"/>
      <c r="G46" s="1642"/>
    </row>
    <row r="47" spans="5:18">
      <c r="E47" s="1642"/>
      <c r="F47" s="1642"/>
      <c r="G47" s="1642"/>
    </row>
    <row r="48" spans="5:18">
      <c r="E48" s="1642"/>
      <c r="F48" s="1642"/>
      <c r="G48" s="1642"/>
    </row>
    <row r="49" spans="5:7">
      <c r="E49" s="1642"/>
      <c r="F49" s="1642"/>
      <c r="G49" s="1642"/>
    </row>
    <row r="50" spans="5:7">
      <c r="E50" s="1642"/>
      <c r="F50" s="1642"/>
      <c r="G50" s="1642"/>
    </row>
    <row r="51" spans="5:7">
      <c r="E51" s="1642"/>
      <c r="F51" s="1642"/>
      <c r="G51" s="1642"/>
    </row>
    <row r="52" spans="5:7">
      <c r="E52" s="1642"/>
      <c r="F52" s="1642"/>
      <c r="G52" s="1642"/>
    </row>
    <row r="53" spans="5:7">
      <c r="E53" s="1642"/>
      <c r="F53" s="1642"/>
      <c r="G53" s="1642"/>
    </row>
    <row r="54" spans="5:7">
      <c r="E54" s="1642"/>
      <c r="F54" s="1642"/>
      <c r="G54" s="1642"/>
    </row>
    <row r="55" spans="5:7">
      <c r="E55" s="1642"/>
      <c r="F55" s="1642"/>
      <c r="G55" s="1642"/>
    </row>
    <row r="56" spans="5:7">
      <c r="E56" s="1642"/>
      <c r="F56" s="1642"/>
      <c r="G56" s="1642"/>
    </row>
    <row r="57" spans="5:7">
      <c r="E57" s="1642"/>
      <c r="F57" s="1642"/>
      <c r="G57" s="1642"/>
    </row>
    <row r="58" spans="5:7">
      <c r="E58" s="1642"/>
      <c r="F58" s="1642"/>
      <c r="G58" s="1642"/>
    </row>
    <row r="59" spans="5:7">
      <c r="E59" s="1642"/>
      <c r="F59" s="1642"/>
      <c r="G59" s="1642"/>
    </row>
    <row r="60" spans="5:7">
      <c r="E60" s="1642"/>
      <c r="F60" s="1642"/>
      <c r="G60" s="1642"/>
    </row>
    <row r="61" spans="5:7">
      <c r="E61" s="1642"/>
      <c r="F61" s="1642"/>
      <c r="G61" s="1642"/>
    </row>
    <row r="62" spans="5:7">
      <c r="E62" s="1642"/>
      <c r="F62" s="1642"/>
      <c r="G62" s="1642"/>
    </row>
    <row r="63" spans="5:7">
      <c r="E63" s="1642"/>
      <c r="F63" s="1642"/>
      <c r="G63" s="1642"/>
    </row>
    <row r="64" spans="5:7">
      <c r="E64" s="1642"/>
      <c r="F64" s="1642"/>
      <c r="G64" s="1642"/>
    </row>
    <row r="65" spans="5:7">
      <c r="E65" s="1642"/>
      <c r="F65" s="1642"/>
      <c r="G65" s="1642"/>
    </row>
    <row r="66" spans="5:7">
      <c r="E66" s="1642"/>
      <c r="F66" s="1642"/>
      <c r="G66" s="1642"/>
    </row>
    <row r="67" spans="5:7">
      <c r="E67" s="1642"/>
      <c r="F67" s="1642"/>
      <c r="G67" s="1642"/>
    </row>
    <row r="68" spans="5:7">
      <c r="E68" s="1642"/>
      <c r="F68" s="1642"/>
      <c r="G68" s="1642"/>
    </row>
    <row r="69" spans="5:7">
      <c r="E69" s="1642"/>
      <c r="F69" s="1642"/>
      <c r="G69" s="1642"/>
    </row>
    <row r="70" spans="5:7">
      <c r="E70" s="1642"/>
      <c r="F70" s="1642"/>
      <c r="G70" s="1642"/>
    </row>
    <row r="71" spans="5:7">
      <c r="E71" s="1642"/>
      <c r="F71" s="1642"/>
      <c r="G71" s="1642"/>
    </row>
    <row r="72" spans="5:7">
      <c r="E72" s="1642"/>
      <c r="F72" s="1642"/>
      <c r="G72" s="1642"/>
    </row>
    <row r="73" spans="5:7">
      <c r="E73" s="1642"/>
      <c r="F73" s="1642"/>
      <c r="G73" s="1642"/>
    </row>
    <row r="74" spans="5:7">
      <c r="E74" s="1642"/>
      <c r="F74" s="1642"/>
      <c r="G74" s="1642"/>
    </row>
    <row r="75" spans="5:7">
      <c r="E75" s="1642"/>
      <c r="F75" s="1642"/>
      <c r="G75" s="1642"/>
    </row>
    <row r="76" spans="5:7">
      <c r="E76" s="1642"/>
      <c r="F76" s="1642"/>
      <c r="G76" s="1642"/>
    </row>
    <row r="77" spans="5:7">
      <c r="E77" s="1642"/>
      <c r="F77" s="1642"/>
      <c r="G77" s="1642"/>
    </row>
    <row r="78" spans="5:7">
      <c r="E78" s="1642"/>
      <c r="F78" s="1642"/>
      <c r="G78" s="1642"/>
    </row>
    <row r="79" spans="5:7">
      <c r="E79" s="1642"/>
      <c r="F79" s="1642"/>
      <c r="G79" s="1642"/>
    </row>
    <row r="80" spans="5:7">
      <c r="E80" s="1642"/>
      <c r="F80" s="1642"/>
      <c r="G80" s="1642"/>
    </row>
    <row r="81" spans="5:7">
      <c r="E81" s="1642"/>
      <c r="F81" s="1642"/>
      <c r="G81" s="1642"/>
    </row>
    <row r="82" spans="5:7">
      <c r="E82" s="1642"/>
      <c r="F82" s="1642"/>
      <c r="G82" s="1642"/>
    </row>
    <row r="83" spans="5:7">
      <c r="E83" s="1642"/>
      <c r="F83" s="1642"/>
      <c r="G83" s="1642"/>
    </row>
    <row r="84" spans="5:7">
      <c r="E84" s="1642"/>
      <c r="F84" s="1642"/>
      <c r="G84" s="1642"/>
    </row>
    <row r="85" spans="5:7">
      <c r="E85" s="1642"/>
      <c r="F85" s="1642"/>
      <c r="G85" s="1642"/>
    </row>
    <row r="86" spans="5:7">
      <c r="E86" s="1642"/>
      <c r="F86" s="1642"/>
      <c r="G86" s="1642"/>
    </row>
    <row r="87" spans="5:7">
      <c r="E87" s="1642"/>
      <c r="F87" s="1642"/>
      <c r="G87" s="1642"/>
    </row>
    <row r="88" spans="5:7">
      <c r="E88" s="1642"/>
      <c r="F88" s="1642"/>
      <c r="G88" s="1642"/>
    </row>
    <row r="89" spans="5:7">
      <c r="E89" s="1642"/>
      <c r="F89" s="1642"/>
      <c r="G89" s="1642"/>
    </row>
    <row r="90" spans="5:7">
      <c r="E90" s="1642"/>
      <c r="F90" s="1642"/>
      <c r="G90" s="1642"/>
    </row>
    <row r="91" spans="5:7">
      <c r="E91" s="1642"/>
      <c r="F91" s="1642"/>
      <c r="G91" s="1642"/>
    </row>
    <row r="92" spans="5:7">
      <c r="E92" s="1642"/>
      <c r="F92" s="1642"/>
      <c r="G92" s="1642"/>
    </row>
    <row r="93" spans="5:7">
      <c r="E93" s="1642"/>
      <c r="F93" s="1642"/>
      <c r="G93" s="1642"/>
    </row>
    <row r="94" spans="5:7">
      <c r="E94" s="1642"/>
      <c r="F94" s="1642"/>
      <c r="G94" s="1642"/>
    </row>
    <row r="95" spans="5:7">
      <c r="E95" s="1642"/>
      <c r="F95" s="1642"/>
      <c r="G95" s="1642"/>
    </row>
    <row r="96" spans="5:7">
      <c r="E96" s="1642"/>
      <c r="F96" s="1642"/>
      <c r="G96" s="1642"/>
    </row>
    <row r="97" spans="5:7">
      <c r="E97" s="1642"/>
      <c r="F97" s="1642"/>
      <c r="G97" s="1642"/>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1640625" defaultRowHeight="13"/>
  <cols>
    <col min="1" max="1" width="26.54296875" style="1686" customWidth="1"/>
    <col min="2" max="2" width="16.26953125" style="1686" customWidth="1"/>
    <col min="3" max="3" width="7.453125" style="1687" customWidth="1"/>
    <col min="4" max="4" width="11.1796875" style="1686" customWidth="1"/>
    <col min="5" max="5" width="1.26953125" style="1687" customWidth="1"/>
    <col min="6" max="6" width="11.1796875" style="1686" customWidth="1"/>
    <col min="7" max="7" width="1.26953125" style="1687" customWidth="1"/>
    <col min="8" max="8" width="11.1796875" style="1686" customWidth="1"/>
    <col min="9" max="9" width="1.26953125" style="1687" customWidth="1"/>
    <col min="10" max="10" width="8.81640625" style="1686"/>
    <col min="11" max="11" width="8.81640625" style="477"/>
    <col min="12" max="12" width="1.7265625" style="995" customWidth="1"/>
    <col min="13" max="13" width="8.81640625" style="477"/>
    <col min="14" max="14" width="21.26953125" style="478" customWidth="1"/>
    <col min="15" max="15" width="8.81640625" style="478"/>
    <col min="16" max="16" width="10.1796875" style="478" bestFit="1" customWidth="1"/>
    <col min="17" max="17" width="2.7265625" style="478" customWidth="1"/>
    <col min="18" max="18" width="13.81640625" style="478" bestFit="1" customWidth="1"/>
    <col min="19" max="19" width="2.7265625" style="478" customWidth="1"/>
    <col min="20" max="20" width="11.26953125" style="478" bestFit="1" customWidth="1"/>
    <col min="21" max="21" width="8.81640625" style="478"/>
    <col min="22" max="22" width="8.81640625" style="477"/>
    <col min="23" max="23" width="1.7265625" style="995" customWidth="1"/>
    <col min="24" max="25" width="8.81640625" style="477"/>
    <col min="26" max="26" width="19.26953125" style="477" customWidth="1"/>
    <col min="27" max="27" width="12.54296875" style="477" bestFit="1" customWidth="1"/>
    <col min="28" max="16384" width="8.81640625" style="477"/>
  </cols>
  <sheetData>
    <row r="1" spans="1:28" ht="12.5">
      <c r="A1" s="3939" t="s">
        <v>111</v>
      </c>
      <c r="B1" s="3939"/>
      <c r="C1" s="3939"/>
      <c r="D1" s="3939"/>
      <c r="E1" s="3939"/>
      <c r="F1" s="3939"/>
      <c r="G1" s="3939"/>
      <c r="H1" s="3939"/>
      <c r="I1" s="3939"/>
      <c r="J1" s="3939"/>
      <c r="N1" s="3940" t="s">
        <v>111</v>
      </c>
      <c r="O1" s="3940"/>
      <c r="P1" s="3940"/>
      <c r="Q1" s="3940"/>
      <c r="R1" s="3940"/>
      <c r="S1" s="3940"/>
      <c r="T1" s="3940"/>
      <c r="U1" s="3940"/>
      <c r="Y1" s="477">
        <v>2022</v>
      </c>
    </row>
    <row r="2" spans="1:28" ht="12.5">
      <c r="A2" s="3940" t="s">
        <v>1345</v>
      </c>
      <c r="B2" s="3940"/>
      <c r="C2" s="3940"/>
      <c r="D2" s="3940"/>
      <c r="E2" s="3940"/>
      <c r="F2" s="3940"/>
      <c r="G2" s="3940"/>
      <c r="H2" s="3940"/>
      <c r="I2" s="3940"/>
      <c r="J2" s="3940"/>
      <c r="N2" s="3940" t="s">
        <v>1345</v>
      </c>
      <c r="O2" s="3940"/>
      <c r="P2" s="3940"/>
      <c r="Q2" s="3940"/>
      <c r="R2" s="3940"/>
      <c r="S2" s="3940"/>
      <c r="T2" s="3940"/>
      <c r="U2" s="3940"/>
      <c r="Y2" s="1401"/>
      <c r="Z2" s="1401" t="s">
        <v>1346</v>
      </c>
      <c r="AA2" s="1401" t="s">
        <v>1347</v>
      </c>
      <c r="AB2" s="1401" t="s">
        <v>24</v>
      </c>
    </row>
    <row r="3" spans="1:28" ht="12.5">
      <c r="A3" s="3940" t="s">
        <v>580</v>
      </c>
      <c r="B3" s="3940"/>
      <c r="C3" s="3940"/>
      <c r="D3" s="3940"/>
      <c r="E3" s="3940"/>
      <c r="F3" s="3940"/>
      <c r="G3" s="3940"/>
      <c r="H3" s="3940"/>
      <c r="I3" s="3940"/>
      <c r="J3" s="3940"/>
      <c r="N3" s="3940" t="str">
        <f>A3</f>
        <v>TWELVE MONTHS ENDED JUNE 30, 2023</v>
      </c>
      <c r="O3" s="3940"/>
      <c r="P3" s="3940"/>
      <c r="Q3" s="3940"/>
      <c r="R3" s="3940"/>
      <c r="S3" s="3940"/>
      <c r="T3" s="3940"/>
      <c r="U3" s="3940"/>
      <c r="Y3" s="477" t="s">
        <v>1348</v>
      </c>
      <c r="Z3" s="1685">
        <v>2202</v>
      </c>
      <c r="AA3" s="1685">
        <v>8773</v>
      </c>
      <c r="AB3" s="1685">
        <v>10975</v>
      </c>
    </row>
    <row r="4" spans="1:28">
      <c r="N4" s="3937"/>
      <c r="O4" s="3937"/>
      <c r="P4" s="3937"/>
      <c r="Q4" s="3937"/>
      <c r="R4" s="3937"/>
      <c r="S4" s="3937"/>
      <c r="T4" s="3937"/>
      <c r="Z4" s="1688"/>
      <c r="AA4" s="1688"/>
      <c r="AB4" s="1688"/>
    </row>
    <row r="5" spans="1:28">
      <c r="Y5" s="477" t="s">
        <v>1349</v>
      </c>
      <c r="Z5" s="1685">
        <v>1080</v>
      </c>
      <c r="AA5" s="1685">
        <v>13469</v>
      </c>
      <c r="AB5" s="1685">
        <v>14549</v>
      </c>
    </row>
    <row r="6" spans="1:28">
      <c r="D6" s="1689" t="s">
        <v>198</v>
      </c>
      <c r="E6" s="1690"/>
      <c r="F6" s="1689" t="s">
        <v>819</v>
      </c>
      <c r="G6" s="1690"/>
      <c r="H6" s="1689" t="s">
        <v>1350</v>
      </c>
      <c r="I6" s="1690"/>
      <c r="J6" s="1689" t="s">
        <v>676</v>
      </c>
      <c r="N6" s="1031" t="s">
        <v>1351</v>
      </c>
      <c r="O6" s="1031"/>
      <c r="P6" s="1031"/>
      <c r="Q6" s="1031"/>
      <c r="R6" s="1031"/>
      <c r="S6" s="1691" t="s">
        <v>1352</v>
      </c>
      <c r="T6" s="1692">
        <f>SUM(T9:T22)</f>
        <v>24705</v>
      </c>
      <c r="U6" s="1031"/>
      <c r="Z6" s="515"/>
      <c r="AA6" s="515"/>
      <c r="AB6" s="515"/>
    </row>
    <row r="7" spans="1:28" ht="13.5" thickBot="1">
      <c r="N7" s="69"/>
      <c r="T7" s="540"/>
      <c r="Y7" s="477" t="s">
        <v>24</v>
      </c>
      <c r="Z7" s="1208">
        <f>SUM(Z3:Z6)</f>
        <v>3282</v>
      </c>
      <c r="AA7" s="1208">
        <f>SUM(AA3:AA6)</f>
        <v>22242</v>
      </c>
      <c r="AB7" s="1208">
        <f>SUM(AB3:AB6)</f>
        <v>25524</v>
      </c>
    </row>
    <row r="8" spans="1:28">
      <c r="A8" s="1686" t="s">
        <v>1353</v>
      </c>
      <c r="N8" s="1693" t="s">
        <v>1354</v>
      </c>
      <c r="O8" s="1693"/>
      <c r="T8" s="540"/>
    </row>
    <row r="9" spans="1:28">
      <c r="A9" s="1686" t="s">
        <v>1355</v>
      </c>
      <c r="C9" s="1694" t="s">
        <v>1356</v>
      </c>
      <c r="D9" s="1695">
        <f>'G-2.07 OSC'!P33</f>
        <v>70434.467195778838</v>
      </c>
      <c r="E9" s="1696"/>
      <c r="F9" s="1697">
        <f>D9*F11</f>
        <v>49383.01364030446</v>
      </c>
      <c r="G9" s="1698"/>
      <c r="H9" s="1697">
        <f>D9*H11</f>
        <v>14585.569466901881</v>
      </c>
      <c r="I9" s="1698"/>
      <c r="J9" s="1697">
        <f>D9*J11</f>
        <v>6465.8840885724976</v>
      </c>
      <c r="N9" s="478" t="s">
        <v>1357</v>
      </c>
      <c r="R9" s="1699"/>
      <c r="S9" s="1691"/>
      <c r="T9" s="1700">
        <f>'G-2.07 OSC'!AA24</f>
        <v>22056.75</v>
      </c>
    </row>
    <row r="10" spans="1:28">
      <c r="D10" s="1701"/>
      <c r="E10" s="1702"/>
      <c r="F10" s="1701"/>
      <c r="G10" s="1702"/>
      <c r="H10" s="1701"/>
      <c r="I10" s="1702"/>
      <c r="T10" s="540"/>
      <c r="Y10" s="633" t="s">
        <v>1358</v>
      </c>
    </row>
    <row r="11" spans="1:28">
      <c r="A11" s="1686" t="s">
        <v>1359</v>
      </c>
      <c r="D11" s="1703">
        <f>SUM(F11:J11)</f>
        <v>0.99999999999999989</v>
      </c>
      <c r="E11" s="1704"/>
      <c r="F11" s="1705">
        <v>0.70111999999999997</v>
      </c>
      <c r="G11" s="1704"/>
      <c r="H11" s="1705">
        <v>0.20707999999999999</v>
      </c>
      <c r="I11" s="1704"/>
      <c r="J11" s="1705">
        <v>9.1800000000000007E-2</v>
      </c>
      <c r="O11" s="69" t="s">
        <v>1360</v>
      </c>
      <c r="P11" s="1706">
        <f>T9/2080</f>
        <v>10.604206730769231</v>
      </c>
      <c r="Q11" s="478" t="s">
        <v>25</v>
      </c>
      <c r="T11" s="540"/>
      <c r="Y11" s="1401"/>
      <c r="Z11" s="1401" t="s">
        <v>1346</v>
      </c>
      <c r="AA11" s="1401" t="s">
        <v>1347</v>
      </c>
      <c r="AB11" s="1401" t="s">
        <v>24</v>
      </c>
    </row>
    <row r="12" spans="1:28">
      <c r="D12" s="1701"/>
      <c r="E12" s="1702"/>
      <c r="F12" s="1707"/>
      <c r="G12" s="1702"/>
      <c r="H12" s="1707"/>
      <c r="I12" s="1702"/>
      <c r="J12" s="1708"/>
      <c r="T12" s="540"/>
      <c r="Y12" s="477" t="s">
        <v>1348</v>
      </c>
      <c r="Z12" s="1685">
        <v>612</v>
      </c>
      <c r="AA12" s="1685">
        <v>5142</v>
      </c>
      <c r="AB12" s="1685">
        <v>5754</v>
      </c>
    </row>
    <row r="13" spans="1:28">
      <c r="D13" s="1701"/>
      <c r="E13" s="1702"/>
      <c r="F13" s="1707"/>
      <c r="G13" s="1702"/>
      <c r="H13" s="1707"/>
      <c r="I13" s="1702"/>
      <c r="J13" s="1708"/>
      <c r="O13" s="69" t="s">
        <v>1361</v>
      </c>
      <c r="P13" s="1709">
        <v>98.699999999999989</v>
      </c>
      <c r="Q13" s="478" t="s">
        <v>26</v>
      </c>
      <c r="R13" s="478" t="s">
        <v>1362</v>
      </c>
      <c r="T13" s="540"/>
      <c r="Z13" s="1688"/>
      <c r="AA13" s="1688"/>
      <c r="AB13" s="1688"/>
    </row>
    <row r="14" spans="1:28">
      <c r="A14" s="1686" t="s">
        <v>1363</v>
      </c>
      <c r="F14" s="1705">
        <v>0.66942999999999997</v>
      </c>
      <c r="G14" s="1704"/>
      <c r="H14" s="1705">
        <v>0.71745999999999999</v>
      </c>
      <c r="I14" s="1704"/>
      <c r="J14" s="1708"/>
      <c r="P14" s="1710">
        <v>36.954200913723056</v>
      </c>
      <c r="Q14" s="1711" t="s">
        <v>27</v>
      </c>
      <c r="R14" s="478" t="s">
        <v>1364</v>
      </c>
      <c r="T14" s="540"/>
      <c r="Y14" s="477" t="s">
        <v>1349</v>
      </c>
      <c r="Z14" s="1685">
        <v>731</v>
      </c>
      <c r="AA14" s="1685">
        <v>9439</v>
      </c>
      <c r="AB14" s="1685">
        <v>10170</v>
      </c>
    </row>
    <row r="15" spans="1:28">
      <c r="D15" s="1701"/>
      <c r="E15" s="1702"/>
      <c r="F15" s="1701"/>
      <c r="G15" s="1702"/>
      <c r="H15" s="1701"/>
      <c r="I15" s="1702"/>
      <c r="O15" s="69"/>
      <c r="P15" s="1712">
        <v>5562</v>
      </c>
      <c r="Q15" s="1711" t="s">
        <v>28</v>
      </c>
      <c r="R15" s="478" t="s">
        <v>1365</v>
      </c>
      <c r="T15" s="540"/>
      <c r="Z15" s="515"/>
      <c r="AA15" s="515"/>
      <c r="AB15" s="515"/>
    </row>
    <row r="16" spans="1:28" ht="13.5" thickBot="1">
      <c r="A16" s="1686" t="s">
        <v>1366</v>
      </c>
      <c r="D16" s="1713">
        <f>F16+H16</f>
        <v>43523.033490952439</v>
      </c>
      <c r="E16" s="1698"/>
      <c r="F16" s="1713">
        <f>F9*F14</f>
        <v>33058.470821229013</v>
      </c>
      <c r="G16" s="1713"/>
      <c r="H16" s="1713">
        <f>H9*H14</f>
        <v>10464.562669723424</v>
      </c>
      <c r="I16" s="1698"/>
      <c r="T16" s="540"/>
      <c r="Y16" s="477" t="s">
        <v>24</v>
      </c>
      <c r="Z16" s="1208">
        <f>SUM(Z12:Z15)</f>
        <v>1343</v>
      </c>
      <c r="AA16" s="1208">
        <f>SUM(AA12:AA15)</f>
        <v>14581</v>
      </c>
      <c r="AB16" s="1208">
        <f>SUM(AB12:AB15)</f>
        <v>15924</v>
      </c>
    </row>
    <row r="17" spans="1:28" ht="14" thickTop="1" thickBot="1">
      <c r="P17" s="1714">
        <f>(P11*P13*P14)+(P11*P15)</f>
        <v>97658.16546061117</v>
      </c>
      <c r="R17" s="478" t="s">
        <v>1367</v>
      </c>
      <c r="T17" s="540"/>
    </row>
    <row r="18" spans="1:28" ht="14" thickTop="1" thickBot="1">
      <c r="A18" s="1686" t="s">
        <v>1368</v>
      </c>
      <c r="F18" s="1163">
        <f>-F16</f>
        <v>-33058.470821229013</v>
      </c>
      <c r="G18" s="1698"/>
      <c r="H18" s="1163">
        <f>-H16</f>
        <v>-10464.562669723424</v>
      </c>
      <c r="P18" s="1715"/>
      <c r="T18" s="540"/>
      <c r="Y18" s="633" t="s">
        <v>1369</v>
      </c>
    </row>
    <row r="19" spans="1:28" ht="13.5" thickTop="1">
      <c r="Q19" s="834"/>
      <c r="T19" s="540"/>
      <c r="Y19" s="1401"/>
      <c r="Z19" s="1401" t="s">
        <v>1346</v>
      </c>
      <c r="AA19" s="1401" t="s">
        <v>1347</v>
      </c>
      <c r="AB19" s="1401" t="s">
        <v>24</v>
      </c>
    </row>
    <row r="20" spans="1:28">
      <c r="A20" s="1686" t="s">
        <v>1370</v>
      </c>
      <c r="N20" s="1693" t="s">
        <v>1371</v>
      </c>
      <c r="Q20" s="834"/>
      <c r="T20" s="540"/>
      <c r="Y20" s="477" t="s">
        <v>1348</v>
      </c>
      <c r="Z20" s="1685">
        <f>(Z12/8*6)+(Z3/12*6)</f>
        <v>1560</v>
      </c>
      <c r="AA20" s="1685">
        <f>(AA12/8*6)+(AA3/12*6)</f>
        <v>8243</v>
      </c>
      <c r="AB20" s="1685">
        <f>(AB12/8*6)+(AB3/12*6)</f>
        <v>9803</v>
      </c>
    </row>
    <row r="21" spans="1:28">
      <c r="N21" s="478" t="s">
        <v>1357</v>
      </c>
      <c r="R21" s="1699"/>
      <c r="S21" s="1691" t="s">
        <v>1352</v>
      </c>
      <c r="T21" s="1700">
        <f>'G-2.07 OSC'!Z24</f>
        <v>2648.25</v>
      </c>
      <c r="Z21" s="1688"/>
      <c r="AA21" s="1688"/>
      <c r="AB21" s="1688"/>
    </row>
    <row r="22" spans="1:28">
      <c r="N22" s="1693"/>
      <c r="Q22" s="834"/>
      <c r="Y22" s="477" t="s">
        <v>1349</v>
      </c>
      <c r="Z22" s="1685">
        <f>(Z14/8*6)+(Z5/12*6)</f>
        <v>1088.25</v>
      </c>
      <c r="AA22" s="1685">
        <f>(AA14/8*6)+(AA5/12*6)</f>
        <v>13813.75</v>
      </c>
      <c r="AB22" s="1685">
        <f>(AB14/8*6)+(AB5/12*6)</f>
        <v>14902</v>
      </c>
    </row>
    <row r="23" spans="1:28">
      <c r="N23" s="1693"/>
      <c r="O23" s="69" t="s">
        <v>1360</v>
      </c>
      <c r="P23" s="1706">
        <f>T21/2080</f>
        <v>1.2731971153846153</v>
      </c>
      <c r="Q23" s="834" t="s">
        <v>25</v>
      </c>
      <c r="Z23" s="515"/>
      <c r="AA23" s="515"/>
      <c r="AB23" s="515"/>
    </row>
    <row r="24" spans="1:28" ht="13.5" thickBot="1">
      <c r="N24" s="1693"/>
      <c r="Q24" s="834"/>
      <c r="Y24" s="477" t="s">
        <v>24</v>
      </c>
      <c r="Z24" s="1716">
        <f>SUM(Z20:Z23)</f>
        <v>2648.25</v>
      </c>
      <c r="AA24" s="1716">
        <f>SUM(AA20:AA23)</f>
        <v>22056.75</v>
      </c>
      <c r="AB24" s="1208">
        <f>SUM(AB20:AB23)</f>
        <v>24705</v>
      </c>
    </row>
    <row r="25" spans="1:28">
      <c r="O25" s="69" t="s">
        <v>1372</v>
      </c>
      <c r="P25" s="1709">
        <v>202.79999999999998</v>
      </c>
      <c r="Q25" s="478" t="s">
        <v>26</v>
      </c>
      <c r="R25" s="478" t="s">
        <v>1362</v>
      </c>
      <c r="Y25" s="477" t="s">
        <v>1373</v>
      </c>
    </row>
    <row r="26" spans="1:28">
      <c r="P26" s="1711">
        <f>P14</f>
        <v>36.954200913723056</v>
      </c>
      <c r="Q26" s="1711" t="s">
        <v>27</v>
      </c>
      <c r="R26" s="478" t="s">
        <v>1364</v>
      </c>
    </row>
    <row r="27" spans="1:28">
      <c r="O27" s="69"/>
      <c r="P27" s="1712">
        <v>7840</v>
      </c>
      <c r="Q27" s="1711" t="s">
        <v>28</v>
      </c>
      <c r="R27" s="478" t="s">
        <v>1365</v>
      </c>
    </row>
    <row r="29" spans="1:28" ht="13.5" thickBot="1">
      <c r="P29" s="1714">
        <f>(P23*P25*P26)+(P23*P27)</f>
        <v>19523.601735167675</v>
      </c>
      <c r="R29" s="478" t="s">
        <v>1367</v>
      </c>
    </row>
    <row r="30" spans="1:28" ht="13.5" thickTop="1">
      <c r="P30" s="1715"/>
    </row>
    <row r="31" spans="1:28">
      <c r="P31" s="1717">
        <f>P29+P17</f>
        <v>117181.76719577884</v>
      </c>
      <c r="R31" s="1031" t="s">
        <v>1374</v>
      </c>
      <c r="S31" s="1031"/>
    </row>
    <row r="32" spans="1:28">
      <c r="N32" s="478" t="s">
        <v>1375</v>
      </c>
      <c r="P32" s="1718">
        <v>-46747.3</v>
      </c>
      <c r="R32" s="478" t="s">
        <v>1376</v>
      </c>
      <c r="S32" s="1031"/>
    </row>
    <row r="33" spans="14:21" ht="13.5" thickBot="1">
      <c r="N33" s="478" t="s">
        <v>1377</v>
      </c>
      <c r="P33" s="1719">
        <f>SUM(P31:P32)</f>
        <v>70434.467195778838</v>
      </c>
      <c r="R33" s="1031"/>
      <c r="S33" s="1031"/>
    </row>
    <row r="34" spans="14:21">
      <c r="P34" s="1691" t="s">
        <v>1378</v>
      </c>
    </row>
    <row r="37" spans="14:21" ht="12.5">
      <c r="N37" s="1720" t="s">
        <v>1150</v>
      </c>
      <c r="O37" s="1721"/>
      <c r="P37" s="1721"/>
      <c r="Q37" s="1721"/>
      <c r="R37" s="88"/>
      <c r="S37" s="88"/>
      <c r="T37" s="88"/>
      <c r="U37" s="1722"/>
    </row>
    <row r="38" spans="14:21" ht="12.5">
      <c r="N38" s="3938" t="s">
        <v>1379</v>
      </c>
      <c r="O38" s="3938"/>
      <c r="P38" s="3938"/>
      <c r="Q38" s="3938"/>
      <c r="R38" s="3938"/>
      <c r="S38" s="3938"/>
      <c r="T38" s="3938"/>
      <c r="U38" s="3938"/>
    </row>
    <row r="39" spans="14:21" ht="12.5">
      <c r="N39" s="3938" t="s">
        <v>1380</v>
      </c>
      <c r="O39" s="3938"/>
      <c r="P39" s="3938"/>
      <c r="Q39" s="3938"/>
      <c r="R39" s="3938"/>
      <c r="S39" s="3938"/>
      <c r="T39" s="3938"/>
      <c r="U39" s="3938"/>
    </row>
    <row r="40" spans="14:21">
      <c r="N40" s="1244"/>
      <c r="O40" s="1723"/>
      <c r="P40" s="1723"/>
      <c r="Q40" s="1723"/>
      <c r="R40" s="1724"/>
      <c r="S40" s="1724"/>
      <c r="T40" s="1724"/>
      <c r="U40" s="1725"/>
    </row>
    <row r="41" spans="14:21" ht="12.5">
      <c r="N41" s="1726"/>
      <c r="O41" s="1723"/>
      <c r="P41" s="1723"/>
      <c r="Q41" s="1723"/>
      <c r="R41" s="1724"/>
      <c r="S41" s="1724"/>
      <c r="T41" s="1724"/>
      <c r="U41" s="1725"/>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1640625" defaultRowHeight="14.5"/>
  <cols>
    <col min="1" max="1" width="11" style="387" customWidth="1"/>
    <col min="2" max="2" width="42.7265625" style="387" customWidth="1"/>
    <col min="3" max="3" width="8.453125" style="1737" customWidth="1"/>
    <col min="4" max="4" width="11.54296875" style="387" bestFit="1" customWidth="1"/>
    <col min="5" max="5" width="8.453125" style="1737" customWidth="1"/>
    <col min="6" max="6" width="11.26953125" style="387" bestFit="1" customWidth="1"/>
    <col min="7" max="7" width="2.7265625" style="387" customWidth="1"/>
    <col min="8" max="8" width="1.7265625" style="995" customWidth="1"/>
    <col min="9" max="9" width="8.81640625" style="477"/>
    <col min="10" max="10" width="8.7265625" style="996" customWidth="1"/>
    <col min="11" max="11" width="11.81640625" style="996" customWidth="1"/>
    <col min="12" max="12" width="10.54296875" style="996" customWidth="1"/>
    <col min="13" max="13" width="48.1796875" style="996" bestFit="1" customWidth="1"/>
    <col min="14" max="14" width="21.81640625" style="1752" bestFit="1" customWidth="1"/>
    <col min="15" max="15" width="18.453125" style="515" bestFit="1" customWidth="1"/>
    <col min="16" max="16" width="20.81640625" style="515" bestFit="1" customWidth="1"/>
    <col min="17" max="17" width="21.1796875" style="515" bestFit="1" customWidth="1"/>
    <col min="18" max="18" width="8.81640625" style="477"/>
    <col min="19" max="19" width="1.7265625" style="995" customWidth="1"/>
    <col min="20" max="20" width="8.81640625" style="477"/>
    <col min="21" max="22" width="8.81640625" style="996"/>
    <col min="23" max="23" width="10" style="996" customWidth="1"/>
    <col min="24" max="24" width="42.26953125" style="996" bestFit="1" customWidth="1"/>
    <col min="25" max="25" width="6.26953125" style="996" customWidth="1"/>
    <col min="26" max="29" width="18.26953125" style="1729" customWidth="1"/>
    <col min="30" max="30" width="8.81640625" style="477"/>
    <col min="31" max="31" width="1.7265625" style="995" customWidth="1"/>
    <col min="32" max="32" width="8.81640625" style="477"/>
    <col min="33" max="33" width="23" style="477" customWidth="1"/>
    <col min="34" max="34" width="9.54296875" style="477" customWidth="1"/>
    <col min="35" max="35" width="13.81640625" style="477" customWidth="1"/>
    <col min="36" max="36" width="16" style="477" bestFit="1" customWidth="1"/>
    <col min="37" max="41" width="14.26953125" style="477" bestFit="1" customWidth="1"/>
    <col min="42" max="47" width="13.1796875" style="477" bestFit="1" customWidth="1"/>
    <col min="48" max="16384" width="8.81640625" style="477"/>
  </cols>
  <sheetData>
    <row r="1" spans="1:47" ht="17.5">
      <c r="A1" s="3941" t="s">
        <v>1204</v>
      </c>
      <c r="B1" s="3941"/>
      <c r="C1" s="3941"/>
      <c r="D1" s="3941"/>
      <c r="E1" s="3941"/>
      <c r="F1" s="3941"/>
      <c r="G1" s="1727"/>
      <c r="J1" s="1217" t="s">
        <v>1381</v>
      </c>
      <c r="K1" s="1184"/>
      <c r="L1" s="1184"/>
      <c r="M1" s="1184"/>
      <c r="N1" s="1728"/>
      <c r="O1" s="1728"/>
      <c r="P1" s="1728"/>
      <c r="Q1" s="1728"/>
      <c r="U1" s="1217" t="s">
        <v>1382</v>
      </c>
      <c r="AG1" s="1730" t="s">
        <v>1383</v>
      </c>
      <c r="AH1" s="1731"/>
      <c r="AI1" s="1732"/>
      <c r="AJ1" s="1733"/>
      <c r="AK1" s="1733"/>
      <c r="AL1" s="1733"/>
      <c r="AM1" s="1733"/>
      <c r="AN1" s="1733"/>
      <c r="AO1" s="1733"/>
      <c r="AP1" s="1733"/>
      <c r="AQ1" s="1733"/>
      <c r="AR1" s="1733"/>
      <c r="AS1" s="1733"/>
      <c r="AT1" s="1733"/>
      <c r="AU1" s="1733"/>
    </row>
    <row r="2" spans="1:47" ht="15.5">
      <c r="A2" s="3941" t="s">
        <v>1384</v>
      </c>
      <c r="B2" s="3941"/>
      <c r="C2" s="3941"/>
      <c r="D2" s="3941"/>
      <c r="E2" s="3941"/>
      <c r="F2" s="3941"/>
      <c r="G2" s="1727"/>
      <c r="J2" s="1184"/>
      <c r="K2" s="1184"/>
      <c r="L2" s="1184"/>
      <c r="M2" s="1184"/>
      <c r="N2" s="1728"/>
      <c r="O2" s="1728"/>
      <c r="P2" s="1728"/>
      <c r="Q2" s="1728"/>
      <c r="AG2" s="1734" t="s">
        <v>1385</v>
      </c>
      <c r="AH2" s="1735"/>
      <c r="AI2" s="1736" t="s">
        <v>381</v>
      </c>
      <c r="AJ2" s="1736">
        <f>'G-2.08 RET'!B8</f>
        <v>44773</v>
      </c>
      <c r="AK2" s="1736">
        <f t="shared" ref="AK2:AU2" si="0">EDATE(AJ2,1)</f>
        <v>44804</v>
      </c>
      <c r="AL2" s="1736">
        <f t="shared" si="0"/>
        <v>44834</v>
      </c>
      <c r="AM2" s="1736">
        <f t="shared" si="0"/>
        <v>44864</v>
      </c>
      <c r="AN2" s="1736">
        <f t="shared" si="0"/>
        <v>44895</v>
      </c>
      <c r="AO2" s="1736">
        <f t="shared" si="0"/>
        <v>44925</v>
      </c>
      <c r="AP2" s="1736">
        <f t="shared" si="0"/>
        <v>44956</v>
      </c>
      <c r="AQ2" s="1736">
        <f t="shared" si="0"/>
        <v>44985</v>
      </c>
      <c r="AR2" s="1736">
        <f t="shared" si="0"/>
        <v>45013</v>
      </c>
      <c r="AS2" s="1736">
        <f t="shared" si="0"/>
        <v>45044</v>
      </c>
      <c r="AT2" s="1736">
        <f t="shared" si="0"/>
        <v>45074</v>
      </c>
      <c r="AU2" s="1736">
        <f t="shared" si="0"/>
        <v>45105</v>
      </c>
    </row>
    <row r="3" spans="1:47" ht="15.5">
      <c r="A3" s="3941" t="s">
        <v>580</v>
      </c>
      <c r="B3" s="3941"/>
      <c r="C3" s="3941"/>
      <c r="D3" s="3941"/>
      <c r="E3" s="3941"/>
      <c r="F3" s="3941"/>
      <c r="G3" s="1727"/>
      <c r="J3" s="1184"/>
      <c r="K3" s="1184"/>
      <c r="L3" s="1184"/>
      <c r="M3" s="1184"/>
      <c r="N3" s="1728" t="s">
        <v>1059</v>
      </c>
      <c r="O3" s="1728" t="s">
        <v>1386</v>
      </c>
      <c r="P3" s="1728" t="s">
        <v>1387</v>
      </c>
      <c r="Q3" s="1728" t="s">
        <v>1388</v>
      </c>
      <c r="Z3" s="1729" t="s">
        <v>1059</v>
      </c>
      <c r="AA3" s="1729" t="s">
        <v>1386</v>
      </c>
      <c r="AB3" s="1729" t="s">
        <v>1387</v>
      </c>
      <c r="AC3" s="1729" t="s">
        <v>1388</v>
      </c>
    </row>
    <row r="4" spans="1:47" ht="13">
      <c r="J4" s="1303" t="s">
        <v>1043</v>
      </c>
      <c r="K4" s="1303" t="s">
        <v>1058</v>
      </c>
      <c r="L4" s="1303" t="s">
        <v>1057</v>
      </c>
      <c r="M4" s="1303" t="s">
        <v>1389</v>
      </c>
      <c r="N4" s="1738"/>
      <c r="O4" s="1738"/>
      <c r="P4" s="1728"/>
      <c r="Q4" s="1728"/>
      <c r="U4" s="996" t="s">
        <v>1043</v>
      </c>
      <c r="V4" s="996" t="s">
        <v>1058</v>
      </c>
      <c r="W4" s="996" t="s">
        <v>1057</v>
      </c>
      <c r="X4" s="996" t="s">
        <v>1389</v>
      </c>
      <c r="AG4" s="1739" t="s">
        <v>1390</v>
      </c>
      <c r="AH4" s="1740"/>
    </row>
    <row r="5" spans="1:47">
      <c r="J5" s="996" t="s">
        <v>1391</v>
      </c>
      <c r="K5" s="996" t="s">
        <v>681</v>
      </c>
      <c r="L5" s="996" t="s">
        <v>763</v>
      </c>
      <c r="M5" s="1741" t="s">
        <v>1392</v>
      </c>
      <c r="N5" s="1742">
        <v>-190777.55</v>
      </c>
      <c r="O5" s="1742">
        <v>-190777.55</v>
      </c>
      <c r="P5" s="515">
        <v>0</v>
      </c>
      <c r="Q5" s="515">
        <v>0</v>
      </c>
      <c r="U5" s="996" t="s">
        <v>1393</v>
      </c>
      <c r="V5" s="996" t="s">
        <v>681</v>
      </c>
      <c r="W5" s="996" t="s">
        <v>763</v>
      </c>
      <c r="X5" s="1743" t="s">
        <v>1394</v>
      </c>
      <c r="Z5" s="1744">
        <v>44857.52</v>
      </c>
      <c r="AA5" s="515">
        <f>Z5</f>
        <v>44857.52</v>
      </c>
      <c r="AB5" s="515">
        <v>0</v>
      </c>
      <c r="AC5" s="1138">
        <v>0</v>
      </c>
      <c r="AG5" s="1745" t="s">
        <v>1395</v>
      </c>
      <c r="AH5" s="1732"/>
    </row>
    <row r="6" spans="1:47">
      <c r="B6" s="502" t="s">
        <v>1396</v>
      </c>
      <c r="D6" s="502" t="s">
        <v>729</v>
      </c>
      <c r="F6" s="502" t="s">
        <v>787</v>
      </c>
      <c r="N6" s="1746">
        <f>SUM(N5:N5)</f>
        <v>-190777.55</v>
      </c>
      <c r="O6" s="1747">
        <f>SUM(O5:O5)</f>
        <v>-190777.55</v>
      </c>
      <c r="P6" s="1747">
        <f>SUM(P5)</f>
        <v>0</v>
      </c>
      <c r="Q6" s="1747">
        <f>SUM(Q5)</f>
        <v>0</v>
      </c>
      <c r="X6" s="477" t="s">
        <v>1397</v>
      </c>
      <c r="Z6" s="1744">
        <v>43943.839999999997</v>
      </c>
      <c r="AA6" s="515">
        <f>Z6</f>
        <v>43943.839999999997</v>
      </c>
      <c r="AB6" s="515">
        <v>0</v>
      </c>
      <c r="AC6" s="1138">
        <v>0</v>
      </c>
      <c r="AG6" s="1748" t="s">
        <v>1398</v>
      </c>
      <c r="AH6" s="1732"/>
      <c r="AI6" s="1749">
        <f>SUM(AJ6:AU6)</f>
        <v>629111174.58075762</v>
      </c>
      <c r="AJ6" s="1750">
        <v>47873516.916330732</v>
      </c>
      <c r="AK6" s="1750">
        <v>55737701.303938843</v>
      </c>
      <c r="AL6" s="1750">
        <v>52741675.240579039</v>
      </c>
      <c r="AM6" s="1750">
        <v>43198735.620562851</v>
      </c>
      <c r="AN6" s="1733">
        <v>48919607.99074544</v>
      </c>
      <c r="AO6" s="1733">
        <v>61363468.479501836</v>
      </c>
      <c r="AP6" s="1733">
        <v>67973770.909098879</v>
      </c>
      <c r="AQ6" s="1733">
        <v>47120658.329999998</v>
      </c>
      <c r="AR6" s="1733">
        <v>62011167.32</v>
      </c>
      <c r="AS6" s="1733">
        <v>47457997.020000003</v>
      </c>
      <c r="AT6" s="1733">
        <v>48052652.009999998</v>
      </c>
      <c r="AU6" s="1733">
        <v>46660223.439999998</v>
      </c>
    </row>
    <row r="7" spans="1:47">
      <c r="B7" s="502"/>
      <c r="F7" s="1751"/>
      <c r="X7" s="477" t="s">
        <v>1399</v>
      </c>
      <c r="Z7" s="1744">
        <v>47509.82</v>
      </c>
      <c r="AA7" s="515">
        <f>Z7</f>
        <v>47509.82</v>
      </c>
      <c r="AB7" s="515">
        <v>0</v>
      </c>
      <c r="AC7" s="1138">
        <v>0</v>
      </c>
      <c r="AG7" s="1748" t="s">
        <v>1400</v>
      </c>
      <c r="AH7" s="1732"/>
      <c r="AI7" s="1749">
        <f>SUM(AJ7:AU7)</f>
        <v>777472.55</v>
      </c>
      <c r="AJ7" s="1750">
        <v>24230.81</v>
      </c>
      <c r="AK7" s="1750">
        <v>288255.73</v>
      </c>
      <c r="AL7" s="1750">
        <v>-87531.53</v>
      </c>
      <c r="AM7" s="1750">
        <v>94282.6</v>
      </c>
      <c r="AN7" s="1733">
        <v>230660.95</v>
      </c>
      <c r="AO7" s="1733">
        <v>-1030517.4099999999</v>
      </c>
      <c r="AP7" s="1733">
        <v>153157.38</v>
      </c>
      <c r="AQ7" s="1733">
        <v>352380.06</v>
      </c>
      <c r="AR7" s="1733">
        <v>135640.15</v>
      </c>
      <c r="AS7" s="1733">
        <v>243164.53</v>
      </c>
      <c r="AT7" s="1733">
        <v>138579.84999999998</v>
      </c>
      <c r="AU7" s="1733">
        <v>235169.43</v>
      </c>
    </row>
    <row r="8" spans="1:47">
      <c r="B8" s="1753">
        <v>44773</v>
      </c>
      <c r="C8" s="1754" t="s">
        <v>1401</v>
      </c>
      <c r="D8" s="1755">
        <f>'G-2.08 RET'!AJ15</f>
        <v>1808536.7280426144</v>
      </c>
      <c r="E8" s="1754" t="s">
        <v>1401</v>
      </c>
      <c r="F8" s="1755">
        <f>'G-2.08 RET'!AJ24</f>
        <v>220629.94610719997</v>
      </c>
      <c r="M8" s="1741" t="s">
        <v>1402</v>
      </c>
      <c r="N8" s="1756">
        <v>23936455.050000001</v>
      </c>
      <c r="O8" s="1756">
        <v>23936455.050000001</v>
      </c>
      <c r="X8" s="477" t="s">
        <v>1403</v>
      </c>
      <c r="Z8" s="1744">
        <v>54466.37</v>
      </c>
      <c r="AA8" s="515">
        <f>Z8</f>
        <v>54466.37</v>
      </c>
      <c r="AB8" s="515">
        <v>0</v>
      </c>
      <c r="AC8" s="1138">
        <v>0</v>
      </c>
      <c r="AG8" s="1748" t="s">
        <v>1404</v>
      </c>
      <c r="AH8" s="1732"/>
      <c r="AI8" s="1749">
        <f>SUM(AJ8:AU8)</f>
        <v>628333702.03075755</v>
      </c>
      <c r="AJ8" s="1757">
        <f t="shared" ref="AJ8:AU8" si="1">SUM(AJ6-AJ7)</f>
        <v>47849286.10633073</v>
      </c>
      <c r="AK8" s="1757">
        <f t="shared" si="1"/>
        <v>55449445.573938847</v>
      </c>
      <c r="AL8" s="1757">
        <f t="shared" si="1"/>
        <v>52829206.77057904</v>
      </c>
      <c r="AM8" s="1757">
        <f t="shared" si="1"/>
        <v>43104453.02056285</v>
      </c>
      <c r="AN8" s="1757">
        <f t="shared" si="1"/>
        <v>48688947.040745437</v>
      </c>
      <c r="AO8" s="1757">
        <f t="shared" si="1"/>
        <v>62393985.889501832</v>
      </c>
      <c r="AP8" s="1757">
        <f t="shared" si="1"/>
        <v>67820613.529098883</v>
      </c>
      <c r="AQ8" s="1757">
        <f t="shared" si="1"/>
        <v>46768278.269999996</v>
      </c>
      <c r="AR8" s="1757">
        <f t="shared" si="1"/>
        <v>61875527.170000002</v>
      </c>
      <c r="AS8" s="1757">
        <f t="shared" si="1"/>
        <v>47214832.490000002</v>
      </c>
      <c r="AT8" s="1757">
        <f t="shared" si="1"/>
        <v>47914072.159999996</v>
      </c>
      <c r="AU8" s="1757">
        <f t="shared" si="1"/>
        <v>46425054.009999998</v>
      </c>
    </row>
    <row r="9" spans="1:47">
      <c r="B9" s="1753">
        <f t="shared" ref="B9:B19" si="2">EDATE(B8,1)</f>
        <v>44804</v>
      </c>
      <c r="C9" s="1754" t="s">
        <v>1401</v>
      </c>
      <c r="D9" s="1755">
        <f>'G-2.08 RET'!AK15</f>
        <v>2103834.9848609474</v>
      </c>
      <c r="E9" s="1754" t="s">
        <v>1401</v>
      </c>
      <c r="F9" s="1755">
        <f>'G-2.08 RET'!AK24</f>
        <v>197502.49411000009</v>
      </c>
      <c r="G9" s="1758"/>
      <c r="M9" s="1741" t="s">
        <v>1405</v>
      </c>
      <c r="N9" s="1756">
        <f>458420.84-N10</f>
        <v>399554.07</v>
      </c>
      <c r="O9" s="1756">
        <f>458420.84-O10</f>
        <v>399554.07</v>
      </c>
      <c r="X9" s="477"/>
      <c r="Z9" s="1464">
        <v>0</v>
      </c>
      <c r="AA9" s="515">
        <f>Z9</f>
        <v>0</v>
      </c>
      <c r="AB9" s="515">
        <v>0</v>
      </c>
      <c r="AC9" s="1138">
        <v>0</v>
      </c>
      <c r="AG9" s="1733"/>
      <c r="AH9" s="1759"/>
      <c r="AI9" s="1760"/>
      <c r="AJ9" s="1761"/>
      <c r="AK9" s="1762"/>
      <c r="AL9" s="1761"/>
      <c r="AM9" s="1761"/>
      <c r="AN9" s="1760"/>
      <c r="AO9" s="1760"/>
      <c r="AP9" s="1760"/>
      <c r="AQ9" s="1760"/>
      <c r="AR9" s="1760"/>
      <c r="AS9" s="1760"/>
      <c r="AT9" s="1760"/>
      <c r="AU9" s="1760"/>
    </row>
    <row r="10" spans="1:47">
      <c r="B10" s="1753">
        <f t="shared" si="2"/>
        <v>44834</v>
      </c>
      <c r="C10" s="1754" t="s">
        <v>1401</v>
      </c>
      <c r="D10" s="1755">
        <f>'G-2.08 RET'!AL15</f>
        <v>1998776.6750516084</v>
      </c>
      <c r="E10" s="1754" t="s">
        <v>1401</v>
      </c>
      <c r="F10" s="1755">
        <f>'G-2.08 RET'!AL24</f>
        <v>207280.04272240002</v>
      </c>
      <c r="G10" s="1758"/>
      <c r="L10" s="1763" t="s">
        <v>1406</v>
      </c>
      <c r="M10" s="1741" t="s">
        <v>1407</v>
      </c>
      <c r="N10" s="1764">
        <v>58866.77</v>
      </c>
      <c r="O10" s="1764">
        <v>58866.77</v>
      </c>
      <c r="Y10" s="1765" t="s">
        <v>1406</v>
      </c>
      <c r="Z10" s="1766">
        <f>SUM(Z5:Z9)</f>
        <v>190777.55</v>
      </c>
      <c r="AA10" s="1767">
        <f>SUM(AA5:AA9)</f>
        <v>190777.55</v>
      </c>
      <c r="AB10" s="1768">
        <f>SUM(AB5:AB9)</f>
        <v>0</v>
      </c>
      <c r="AC10" s="1768">
        <f>SUM(AC5:AC9)</f>
        <v>0</v>
      </c>
      <c r="AG10" s="1769" t="s">
        <v>1408</v>
      </c>
      <c r="AH10" s="1770">
        <v>3.8733999999999998E-2</v>
      </c>
      <c r="AI10" s="1771">
        <f t="shared" ref="AI10:AI15" si="3">SUM(AJ10:AU10)</f>
        <v>24337877.614459366</v>
      </c>
      <c r="AJ10" s="1771">
        <f t="shared" ref="AJ10:AU10" si="4">AJ8*$AH$10</f>
        <v>1853394.2480426144</v>
      </c>
      <c r="AK10" s="1771">
        <f t="shared" si="4"/>
        <v>2147778.8248609472</v>
      </c>
      <c r="AL10" s="1771">
        <f t="shared" si="4"/>
        <v>2046286.4950516084</v>
      </c>
      <c r="AM10" s="1771">
        <f t="shared" si="4"/>
        <v>1669607.8832984813</v>
      </c>
      <c r="AN10" s="1771">
        <f t="shared" si="4"/>
        <v>1885917.6746762337</v>
      </c>
      <c r="AO10" s="1771">
        <f t="shared" si="4"/>
        <v>2416768.649443964</v>
      </c>
      <c r="AP10" s="1771">
        <f t="shared" si="4"/>
        <v>2626963.6444361159</v>
      </c>
      <c r="AQ10" s="1771">
        <f t="shared" si="4"/>
        <v>1811522.4905101797</v>
      </c>
      <c r="AR10" s="1771">
        <f t="shared" si="4"/>
        <v>2396686.66940278</v>
      </c>
      <c r="AS10" s="1771">
        <f t="shared" si="4"/>
        <v>1828819.32166766</v>
      </c>
      <c r="AT10" s="1771">
        <f t="shared" si="4"/>
        <v>1855903.6710454398</v>
      </c>
      <c r="AU10" s="1771">
        <f t="shared" si="4"/>
        <v>1798228.0420233398</v>
      </c>
    </row>
    <row r="11" spans="1:47">
      <c r="B11" s="1753">
        <f t="shared" si="2"/>
        <v>44864</v>
      </c>
      <c r="C11" s="1754" t="s">
        <v>1401</v>
      </c>
      <c r="D11" s="1755">
        <f>'G-2.08 RET'!AM15</f>
        <v>956192.95329848141</v>
      </c>
      <c r="E11" s="1754" t="s">
        <v>1401</v>
      </c>
      <c r="F11" s="1755">
        <f>'G-2.08 RET'!AM24</f>
        <v>259765.57832479998</v>
      </c>
      <c r="L11" s="1772"/>
      <c r="N11" s="1746">
        <f>SUM(N8:N10)</f>
        <v>24394875.890000001</v>
      </c>
      <c r="O11" s="1747">
        <f>SUM(O8:O10)</f>
        <v>24394875.890000001</v>
      </c>
      <c r="P11" s="1747">
        <f>SUM(P8:P10)</f>
        <v>0</v>
      </c>
      <c r="Q11" s="1747">
        <f>SUM(Q8:Q10)</f>
        <v>0</v>
      </c>
      <c r="Z11" s="1501"/>
      <c r="AA11" s="1501"/>
      <c r="AB11" s="1501"/>
      <c r="AC11" s="1773"/>
      <c r="AG11" s="1748" t="s">
        <v>1409</v>
      </c>
      <c r="AH11" s="1774" t="s">
        <v>1406</v>
      </c>
      <c r="AI11" s="1775">
        <f t="shared" si="3"/>
        <v>-658948.55999999994</v>
      </c>
      <c r="AJ11" s="1776">
        <v>0</v>
      </c>
      <c r="AK11" s="1776">
        <v>0</v>
      </c>
      <c r="AL11" s="1776">
        <v>0</v>
      </c>
      <c r="AM11" s="1776">
        <v>-658948.55999999994</v>
      </c>
      <c r="AN11" s="1776">
        <v>0</v>
      </c>
      <c r="AO11" s="1776">
        <v>0</v>
      </c>
      <c r="AP11" s="1776">
        <v>0</v>
      </c>
      <c r="AQ11" s="1776">
        <v>0</v>
      </c>
      <c r="AR11" s="1776">
        <v>0</v>
      </c>
      <c r="AS11" s="1776">
        <v>0</v>
      </c>
      <c r="AT11" s="1776">
        <v>0</v>
      </c>
      <c r="AU11" s="1776">
        <v>0</v>
      </c>
    </row>
    <row r="12" spans="1:47">
      <c r="B12" s="1753">
        <f t="shared" si="2"/>
        <v>44895</v>
      </c>
      <c r="C12" s="1754" t="s">
        <v>1401</v>
      </c>
      <c r="D12" s="1755">
        <f>'G-2.08 RET'!AN15</f>
        <v>1885917.6746762337</v>
      </c>
      <c r="E12" s="1754" t="s">
        <v>1401</v>
      </c>
      <c r="F12" s="1755">
        <f>'G-2.08 RET'!AN24</f>
        <v>841545.02052280004</v>
      </c>
      <c r="V12" s="996" t="s">
        <v>680</v>
      </c>
      <c r="W12" s="996" t="s">
        <v>763</v>
      </c>
      <c r="X12" s="1743" t="s">
        <v>1394</v>
      </c>
      <c r="Z12" s="1744">
        <v>29905.02</v>
      </c>
      <c r="AA12" s="1744">
        <v>0</v>
      </c>
      <c r="AB12" s="1464">
        <f>Z12</f>
        <v>29905.02</v>
      </c>
      <c r="AC12" s="1165">
        <v>0</v>
      </c>
      <c r="AG12" s="1748" t="s">
        <v>1410</v>
      </c>
      <c r="AH12" s="1774" t="s">
        <v>1406</v>
      </c>
      <c r="AI12" s="1777">
        <f t="shared" si="3"/>
        <v>0</v>
      </c>
      <c r="AJ12" s="1776">
        <v>0</v>
      </c>
      <c r="AK12" s="1776">
        <v>0</v>
      </c>
      <c r="AL12" s="1776">
        <v>0</v>
      </c>
      <c r="AM12" s="1776">
        <v>0</v>
      </c>
      <c r="AN12" s="1776">
        <v>0</v>
      </c>
      <c r="AO12" s="1776">
        <v>0</v>
      </c>
      <c r="AP12" s="1776">
        <v>0</v>
      </c>
      <c r="AQ12" s="1776">
        <v>0</v>
      </c>
      <c r="AR12" s="1776">
        <v>0</v>
      </c>
      <c r="AS12" s="1776">
        <v>0</v>
      </c>
      <c r="AT12" s="1776">
        <v>0</v>
      </c>
      <c r="AU12" s="1776">
        <v>0</v>
      </c>
    </row>
    <row r="13" spans="1:47">
      <c r="B13" s="1753">
        <f t="shared" si="2"/>
        <v>44925</v>
      </c>
      <c r="C13" s="1754" t="s">
        <v>1401</v>
      </c>
      <c r="D13" s="1755">
        <f>'G-2.08 RET'!AO15</f>
        <v>2416768.649443964</v>
      </c>
      <c r="E13" s="1754" t="s">
        <v>1401</v>
      </c>
      <c r="F13" s="1755">
        <f>'G-2.08 RET'!AO24</f>
        <v>1630555.4671439999</v>
      </c>
      <c r="M13" s="1741" t="s">
        <v>1411</v>
      </c>
      <c r="N13" s="1742">
        <v>7005.75</v>
      </c>
      <c r="O13" s="1742">
        <v>7005.75</v>
      </c>
      <c r="X13" s="477" t="s">
        <v>1397</v>
      </c>
      <c r="Z13" s="1778">
        <v>29295.9</v>
      </c>
      <c r="AA13" s="1744">
        <v>0</v>
      </c>
      <c r="AB13" s="1464">
        <f>Z13</f>
        <v>29295.9</v>
      </c>
      <c r="AC13" s="1165">
        <v>1</v>
      </c>
      <c r="AG13" s="1748" t="s">
        <v>1412</v>
      </c>
      <c r="AH13" s="1774" t="s">
        <v>1406</v>
      </c>
      <c r="AI13" s="1775">
        <f t="shared" si="3"/>
        <v>-190777.55</v>
      </c>
      <c r="AJ13" s="1776">
        <v>-44857.52</v>
      </c>
      <c r="AK13" s="1776">
        <v>-43943.839999999997</v>
      </c>
      <c r="AL13" s="1776">
        <v>-47509.82</v>
      </c>
      <c r="AM13" s="1776">
        <v>-54466.37</v>
      </c>
      <c r="AN13" s="1776">
        <v>0</v>
      </c>
      <c r="AO13" s="1776">
        <v>0</v>
      </c>
      <c r="AP13" s="1776">
        <v>0</v>
      </c>
      <c r="AQ13" s="1776">
        <v>0</v>
      </c>
      <c r="AR13" s="1776">
        <v>0</v>
      </c>
      <c r="AS13" s="1776">
        <v>0</v>
      </c>
      <c r="AT13" s="1776">
        <v>0</v>
      </c>
      <c r="AU13" s="1776">
        <v>0</v>
      </c>
    </row>
    <row r="14" spans="1:47">
      <c r="B14" s="1753">
        <f t="shared" si="2"/>
        <v>44956</v>
      </c>
      <c r="C14" s="1754" t="s">
        <v>1401</v>
      </c>
      <c r="D14" s="1755">
        <f>'G-2.08 RET'!AP15</f>
        <v>2626963.6444361159</v>
      </c>
      <c r="E14" s="1754" t="s">
        <v>1401</v>
      </c>
      <c r="F14" s="1755">
        <f>'G-2.08 RET'!AP24</f>
        <v>1670197.3508519998</v>
      </c>
      <c r="K14" s="1779" t="s">
        <v>1413</v>
      </c>
      <c r="M14" s="1765" t="s">
        <v>662</v>
      </c>
      <c r="N14" s="1746">
        <f>SUM(N13:N13)</f>
        <v>7005.75</v>
      </c>
      <c r="O14" s="1747">
        <f>SUM(O13:O13)</f>
        <v>7005.75</v>
      </c>
      <c r="P14" s="1747">
        <f>SUM(P13:P13)</f>
        <v>0</v>
      </c>
      <c r="Q14" s="1747">
        <f>SUM(Q13:Q13)</f>
        <v>0</v>
      </c>
      <c r="X14" s="477" t="s">
        <v>1399</v>
      </c>
      <c r="Z14" s="1778">
        <v>31673.22</v>
      </c>
      <c r="AA14" s="1744">
        <v>0</v>
      </c>
      <c r="AB14" s="1464">
        <f>Z14</f>
        <v>31673.22</v>
      </c>
      <c r="AC14" s="1165">
        <v>2</v>
      </c>
      <c r="AG14" s="1748" t="s">
        <v>1414</v>
      </c>
      <c r="AH14" s="1774" t="s">
        <v>1406</v>
      </c>
      <c r="AI14" s="1777">
        <f t="shared" si="3"/>
        <v>0</v>
      </c>
      <c r="AJ14" s="1776">
        <v>0</v>
      </c>
      <c r="AK14" s="1776">
        <v>0</v>
      </c>
      <c r="AL14" s="1776">
        <v>0</v>
      </c>
      <c r="AM14" s="1776">
        <v>0</v>
      </c>
      <c r="AN14" s="1776">
        <v>0</v>
      </c>
      <c r="AO14" s="1776">
        <v>0</v>
      </c>
      <c r="AP14" s="1776">
        <v>0</v>
      </c>
      <c r="AQ14" s="1776">
        <v>0</v>
      </c>
      <c r="AR14" s="1776">
        <v>0</v>
      </c>
      <c r="AS14" s="1776">
        <v>0</v>
      </c>
      <c r="AT14" s="1776">
        <v>0</v>
      </c>
      <c r="AU14" s="1776">
        <v>0</v>
      </c>
    </row>
    <row r="15" spans="1:47" ht="15" thickBot="1">
      <c r="B15" s="1753">
        <f t="shared" si="2"/>
        <v>44985</v>
      </c>
      <c r="C15" s="1754" t="s">
        <v>1401</v>
      </c>
      <c r="D15" s="1755">
        <f>'G-2.08 RET'!AQ15</f>
        <v>1811522.4905101797</v>
      </c>
      <c r="E15" s="1754" t="s">
        <v>1401</v>
      </c>
      <c r="F15" s="1755">
        <f>'G-2.08 RET'!AQ24</f>
        <v>1285048.5843779999</v>
      </c>
      <c r="K15" s="1780">
        <f>N16-N14</f>
        <v>24204098.34</v>
      </c>
      <c r="L15" s="1772" t="s">
        <v>1406</v>
      </c>
      <c r="X15" s="477" t="s">
        <v>1403</v>
      </c>
      <c r="Z15" s="1778">
        <v>36310.910000000003</v>
      </c>
      <c r="AA15" s="1744">
        <v>0</v>
      </c>
      <c r="AB15" s="1464">
        <f>Z15</f>
        <v>36310.910000000003</v>
      </c>
      <c r="AC15" s="1165">
        <v>3</v>
      </c>
      <c r="AG15" s="1769" t="s">
        <v>1415</v>
      </c>
      <c r="AH15" s="1774"/>
      <c r="AI15" s="1781">
        <f t="shared" si="3"/>
        <v>23488151.504459366</v>
      </c>
      <c r="AJ15" s="1781">
        <f t="shared" ref="AJ15:AU15" si="5">SUM(AJ10:AJ13)</f>
        <v>1808536.7280426144</v>
      </c>
      <c r="AK15" s="1781">
        <f t="shared" si="5"/>
        <v>2103834.9848609474</v>
      </c>
      <c r="AL15" s="1781">
        <f t="shared" si="5"/>
        <v>1998776.6750516084</v>
      </c>
      <c r="AM15" s="1781">
        <f t="shared" si="5"/>
        <v>956192.95329848141</v>
      </c>
      <c r="AN15" s="1781">
        <f t="shared" si="5"/>
        <v>1885917.6746762337</v>
      </c>
      <c r="AO15" s="1781">
        <f t="shared" si="5"/>
        <v>2416768.649443964</v>
      </c>
      <c r="AP15" s="1781">
        <f t="shared" si="5"/>
        <v>2626963.6444361159</v>
      </c>
      <c r="AQ15" s="1781">
        <f t="shared" si="5"/>
        <v>1811522.4905101797</v>
      </c>
      <c r="AR15" s="1781">
        <f t="shared" si="5"/>
        <v>2396686.66940278</v>
      </c>
      <c r="AS15" s="1781">
        <f t="shared" si="5"/>
        <v>1828819.32166766</v>
      </c>
      <c r="AT15" s="1781">
        <f t="shared" si="5"/>
        <v>1855903.6710454398</v>
      </c>
      <c r="AU15" s="1781">
        <f t="shared" si="5"/>
        <v>1798228.0420233398</v>
      </c>
    </row>
    <row r="16" spans="1:47" ht="13.5" thickTop="1">
      <c r="B16" s="1753">
        <f t="shared" si="2"/>
        <v>45013</v>
      </c>
      <c r="C16" s="1754" t="s">
        <v>1401</v>
      </c>
      <c r="D16" s="1755">
        <f>'G-2.08 RET'!AR15</f>
        <v>2396686.66940278</v>
      </c>
      <c r="E16" s="1754" t="s">
        <v>1401</v>
      </c>
      <c r="F16" s="1755">
        <f>'G-2.08 RET'!AR24</f>
        <v>1430754.7354452007</v>
      </c>
      <c r="K16" s="1184" t="s">
        <v>1416</v>
      </c>
      <c r="L16" s="1184"/>
      <c r="M16" s="1765" t="s">
        <v>1417</v>
      </c>
      <c r="N16" s="1782">
        <f>SUM(N14,N11,N6,)</f>
        <v>24211104.09</v>
      </c>
      <c r="O16" s="1782">
        <f>SUM(O14,O11,O6,)</f>
        <v>24211104.09</v>
      </c>
      <c r="P16" s="1782">
        <f>SUM(P14,P11,P6,)</f>
        <v>0</v>
      </c>
      <c r="Q16" s="1782">
        <f>SUM(Q14,Q11,Q6,)</f>
        <v>0</v>
      </c>
      <c r="X16" s="477"/>
      <c r="Z16" s="1462">
        <v>0</v>
      </c>
      <c r="AA16" s="1462">
        <v>0</v>
      </c>
      <c r="AB16" s="1462">
        <f>Z16</f>
        <v>0</v>
      </c>
      <c r="AC16" s="515">
        <v>0</v>
      </c>
      <c r="AG16" s="1733"/>
      <c r="AH16" s="1759"/>
      <c r="AI16" s="1783"/>
      <c r="AJ16" s="1783" t="s">
        <v>1406</v>
      </c>
      <c r="AK16" s="1783" t="s">
        <v>1406</v>
      </c>
      <c r="AL16" s="1783" t="s">
        <v>1406</v>
      </c>
      <c r="AM16" s="1783" t="s">
        <v>1406</v>
      </c>
      <c r="AN16" s="1783" t="s">
        <v>1406</v>
      </c>
      <c r="AO16" s="1783" t="s">
        <v>1406</v>
      </c>
      <c r="AP16" s="1783" t="s">
        <v>1406</v>
      </c>
      <c r="AQ16" s="1783" t="s">
        <v>1406</v>
      </c>
      <c r="AR16" s="1783" t="s">
        <v>1406</v>
      </c>
      <c r="AS16" s="1783" t="s">
        <v>1406</v>
      </c>
      <c r="AT16" s="1783" t="s">
        <v>1406</v>
      </c>
      <c r="AU16" s="1783" t="s">
        <v>1406</v>
      </c>
    </row>
    <row r="17" spans="1:47">
      <c r="B17" s="1753">
        <f t="shared" si="2"/>
        <v>45044</v>
      </c>
      <c r="C17" s="1754" t="s">
        <v>1401</v>
      </c>
      <c r="D17" s="1755">
        <f>'G-2.08 RET'!AS15</f>
        <v>1828819.32166766</v>
      </c>
      <c r="E17" s="1754" t="s">
        <v>1401</v>
      </c>
      <c r="F17" s="1755">
        <f>'G-2.08 RET'!AS24</f>
        <v>906603.44387399999</v>
      </c>
      <c r="Y17" s="1765" t="s">
        <v>1406</v>
      </c>
      <c r="Z17" s="1766">
        <f>SUM(Z12:Z16)</f>
        <v>127185.05</v>
      </c>
      <c r="AA17" s="1747">
        <f>SUM(AA12:AA16)</f>
        <v>0</v>
      </c>
      <c r="AB17" s="1767">
        <f>SUM(AB12:AB16)</f>
        <v>127185.05</v>
      </c>
      <c r="AC17" s="1747">
        <f>SUM(AC12:AC16)</f>
        <v>6</v>
      </c>
      <c r="AG17" s="1745" t="s">
        <v>1418</v>
      </c>
      <c r="AH17" s="1732"/>
      <c r="AI17" s="1733"/>
      <c r="AJ17" s="1750"/>
      <c r="AK17" s="1784"/>
      <c r="AL17" s="1750"/>
      <c r="AM17" s="1750"/>
      <c r="AN17" s="1733"/>
      <c r="AO17" s="1733"/>
      <c r="AP17" s="1733"/>
      <c r="AQ17" s="1733"/>
      <c r="AR17" s="1733"/>
      <c r="AS17" s="1733"/>
      <c r="AT17" s="1733"/>
      <c r="AU17" s="1733"/>
    </row>
    <row r="18" spans="1:47">
      <c r="B18" s="1753">
        <f t="shared" si="2"/>
        <v>45074</v>
      </c>
      <c r="C18" s="1754" t="s">
        <v>1401</v>
      </c>
      <c r="D18" s="1755">
        <f>'G-2.08 RET'!AT15</f>
        <v>1855903.6710454398</v>
      </c>
      <c r="E18" s="1754" t="s">
        <v>1401</v>
      </c>
      <c r="F18" s="1755">
        <f>'G-2.08 RET'!AT24</f>
        <v>567383.99554799986</v>
      </c>
      <c r="Z18" s="515"/>
      <c r="AA18" s="515"/>
      <c r="AB18" s="515"/>
      <c r="AC18" s="515"/>
      <c r="AG18" s="1748" t="s">
        <v>1398</v>
      </c>
      <c r="AH18" s="1732"/>
      <c r="AI18" s="1733">
        <f>SUM(AJ18:AU18)</f>
        <v>251298846.72623053</v>
      </c>
      <c r="AJ18" s="1750">
        <v>6515042.363821391</v>
      </c>
      <c r="AK18" s="1750">
        <v>5952865.1575181745</v>
      </c>
      <c r="AL18" s="1750">
        <v>6201138.28007269</v>
      </c>
      <c r="AM18" s="1750">
        <v>7719496.5120664584</v>
      </c>
      <c r="AN18" s="1733">
        <v>21896622.199605402</v>
      </c>
      <c r="AO18" s="1733">
        <v>42205332.863146417</v>
      </c>
      <c r="AP18" s="1733">
        <v>43402933.889999993</v>
      </c>
      <c r="AQ18" s="1733">
        <v>33403294.469999999</v>
      </c>
      <c r="AR18" s="1733">
        <v>37198142.460000023</v>
      </c>
      <c r="AS18" s="1733">
        <v>23623412.77</v>
      </c>
      <c r="AT18" s="1733">
        <v>14802268.779999997</v>
      </c>
      <c r="AU18" s="1733">
        <v>8378296.9799999977</v>
      </c>
    </row>
    <row r="19" spans="1:47" ht="15" thickBot="1">
      <c r="B19" s="1753">
        <f t="shared" si="2"/>
        <v>45105</v>
      </c>
      <c r="C19" s="1754" t="s">
        <v>1401</v>
      </c>
      <c r="D19" s="1755">
        <f>'G-2.08 RET'!AU15</f>
        <v>1798228.0420233398</v>
      </c>
      <c r="E19" s="1754" t="s">
        <v>1401</v>
      </c>
      <c r="F19" s="1755">
        <f>'G-2.08 RET'!AU24</f>
        <v>319727.4974495999</v>
      </c>
      <c r="G19" s="1758"/>
      <c r="M19" s="1741" t="s">
        <v>1419</v>
      </c>
      <c r="N19" s="1756">
        <v>-127185.05</v>
      </c>
      <c r="O19" s="1464">
        <v>0</v>
      </c>
      <c r="P19" s="1756">
        <v>-127185.05</v>
      </c>
      <c r="Q19" s="515">
        <v>0</v>
      </c>
      <c r="U19" s="996" t="s">
        <v>24</v>
      </c>
      <c r="Z19" s="1785">
        <f>SUM(Z17,Z10)</f>
        <v>317962.59999999998</v>
      </c>
      <c r="AA19" s="1785">
        <f>SUM(AA17,AA10)</f>
        <v>190777.55</v>
      </c>
      <c r="AB19" s="1785">
        <f>SUM(AB17,AB10)</f>
        <v>127185.05</v>
      </c>
      <c r="AC19" s="1785">
        <f>SUM(AC17,AC10)</f>
        <v>6</v>
      </c>
      <c r="AG19" s="1748" t="s">
        <v>1420</v>
      </c>
      <c r="AH19" s="1732"/>
      <c r="AI19" s="1733">
        <f>SUM(AJ19:AU19)</f>
        <v>411536.07</v>
      </c>
      <c r="AJ19" s="1750">
        <v>11019.36</v>
      </c>
      <c r="AK19" s="1750">
        <v>65056.38</v>
      </c>
      <c r="AL19" s="1750">
        <v>-2217.4499999999998</v>
      </c>
      <c r="AM19" s="1750">
        <v>33191</v>
      </c>
      <c r="AN19" s="1733">
        <v>49659.05</v>
      </c>
      <c r="AO19" s="1733">
        <v>-124767.53</v>
      </c>
      <c r="AP19" s="1733">
        <v>43708.79</v>
      </c>
      <c r="AQ19" s="1733">
        <v>42739.32</v>
      </c>
      <c r="AR19" s="1733">
        <v>54976.95</v>
      </c>
      <c r="AS19" s="1733">
        <v>87497.82</v>
      </c>
      <c r="AT19" s="1733">
        <v>72673.88</v>
      </c>
      <c r="AU19" s="1733">
        <v>77998.5</v>
      </c>
    </row>
    <row r="20" spans="1:47" ht="15" thickTop="1">
      <c r="D20" s="1786"/>
      <c r="E20" s="1787"/>
      <c r="F20" s="1786"/>
      <c r="M20" s="1741" t="s">
        <v>1421</v>
      </c>
      <c r="N20" s="1756">
        <v>9670990.6400000006</v>
      </c>
      <c r="O20" s="1464">
        <v>0</v>
      </c>
      <c r="P20" s="1756">
        <v>9670990.6400000006</v>
      </c>
      <c r="Q20" s="515">
        <v>0</v>
      </c>
      <c r="Z20" s="515"/>
      <c r="AA20" s="515"/>
      <c r="AB20" s="515"/>
      <c r="AC20" s="515"/>
      <c r="AG20" s="1748" t="s">
        <v>1404</v>
      </c>
      <c r="AH20" s="1774"/>
      <c r="AI20" s="1733">
        <f>SUM(AJ20:AU20)</f>
        <v>250887310.65623054</v>
      </c>
      <c r="AJ20" s="1788">
        <f t="shared" ref="AJ20:AU20" si="6">SUM(AJ18-AJ19)</f>
        <v>6504023.0038213907</v>
      </c>
      <c r="AK20" s="1788">
        <f t="shared" si="6"/>
        <v>5887808.7775181746</v>
      </c>
      <c r="AL20" s="1788">
        <f t="shared" si="6"/>
        <v>6203355.7300726902</v>
      </c>
      <c r="AM20" s="1788">
        <f t="shared" si="6"/>
        <v>7686305.5120664584</v>
      </c>
      <c r="AN20" s="1788">
        <f t="shared" si="6"/>
        <v>21846963.149605401</v>
      </c>
      <c r="AO20" s="1788">
        <f t="shared" si="6"/>
        <v>42330100.393146418</v>
      </c>
      <c r="AP20" s="1788">
        <f t="shared" si="6"/>
        <v>43359225.099999994</v>
      </c>
      <c r="AQ20" s="1788">
        <f t="shared" si="6"/>
        <v>33360555.149999999</v>
      </c>
      <c r="AR20" s="1788">
        <f t="shared" si="6"/>
        <v>37143165.51000002</v>
      </c>
      <c r="AS20" s="1788">
        <f t="shared" si="6"/>
        <v>23535914.949999999</v>
      </c>
      <c r="AT20" s="1788">
        <f t="shared" si="6"/>
        <v>14729594.899999997</v>
      </c>
      <c r="AU20" s="1788">
        <f t="shared" si="6"/>
        <v>8300298.4799999977</v>
      </c>
    </row>
    <row r="21" spans="1:47">
      <c r="A21" s="387" t="s">
        <v>1422</v>
      </c>
      <c r="D21" s="1789">
        <f>SUM(D8:D19)</f>
        <v>23488151.504459366</v>
      </c>
      <c r="E21" s="1790"/>
      <c r="F21" s="1789">
        <f>SUM(F8:F19)</f>
        <v>9536994.1564780008</v>
      </c>
      <c r="G21" s="1791"/>
      <c r="M21" s="1741" t="s">
        <v>1423</v>
      </c>
      <c r="N21" s="1756">
        <f>-3138.8-N22</f>
        <v>-4630.6100000000006</v>
      </c>
      <c r="O21" s="1464">
        <v>0</v>
      </c>
      <c r="P21" s="1756">
        <f>-3138.8-P22</f>
        <v>-4630.6100000000006</v>
      </c>
      <c r="Q21" s="515">
        <v>0</v>
      </c>
      <c r="Z21" s="515"/>
      <c r="AA21" s="515"/>
      <c r="AB21" s="515"/>
      <c r="AC21" s="515"/>
      <c r="AG21" s="1733"/>
      <c r="AH21" s="1759"/>
      <c r="AI21" s="1760"/>
      <c r="AJ21" s="1761"/>
      <c r="AK21" s="1762"/>
      <c r="AL21" s="1761"/>
      <c r="AM21" s="1761"/>
      <c r="AN21" s="1760"/>
      <c r="AO21" s="1760"/>
      <c r="AP21" s="1760"/>
      <c r="AQ21" s="1760"/>
      <c r="AR21" s="1760"/>
      <c r="AS21" s="1760"/>
      <c r="AT21" s="1760"/>
      <c r="AU21" s="1760"/>
    </row>
    <row r="22" spans="1:47">
      <c r="A22" s="387" t="s">
        <v>1424</v>
      </c>
      <c r="C22" s="1754" t="s">
        <v>1401</v>
      </c>
      <c r="D22" s="1789">
        <f>-'G-2.08 RET'!AI11-'G-2.08 RET'!AI12</f>
        <v>658948.55999999994</v>
      </c>
      <c r="E22" s="1790"/>
      <c r="F22" s="1789">
        <v>0</v>
      </c>
      <c r="G22" s="1791"/>
      <c r="L22" s="1763" t="s">
        <v>1406</v>
      </c>
      <c r="M22" s="1741" t="s">
        <v>1425</v>
      </c>
      <c r="N22" s="1764">
        <v>1491.81</v>
      </c>
      <c r="O22" s="1464">
        <v>0</v>
      </c>
      <c r="P22" s="1764">
        <v>1491.81</v>
      </c>
      <c r="Q22" s="515">
        <v>0</v>
      </c>
      <c r="Z22" s="515"/>
      <c r="AA22" s="515"/>
      <c r="AB22" s="515"/>
      <c r="AC22" s="515"/>
      <c r="AG22" s="1769" t="s">
        <v>1408</v>
      </c>
      <c r="AH22" s="1792">
        <v>3.8519999999999999E-2</v>
      </c>
      <c r="AI22" s="1771">
        <f>SUM(AJ22:AU22)</f>
        <v>9664179.2064779997</v>
      </c>
      <c r="AJ22" s="1771">
        <f t="shared" ref="AJ22:AU22" si="7">$AH$22*AJ20</f>
        <v>250534.96610719996</v>
      </c>
      <c r="AK22" s="1771">
        <f t="shared" si="7"/>
        <v>226798.39411000008</v>
      </c>
      <c r="AL22" s="1771">
        <f t="shared" si="7"/>
        <v>238953.26272240002</v>
      </c>
      <c r="AM22" s="1771">
        <f t="shared" si="7"/>
        <v>296076.48832479998</v>
      </c>
      <c r="AN22" s="1771">
        <f t="shared" si="7"/>
        <v>841545.02052280004</v>
      </c>
      <c r="AO22" s="1771">
        <f t="shared" si="7"/>
        <v>1630555.4671439999</v>
      </c>
      <c r="AP22" s="1771">
        <f t="shared" si="7"/>
        <v>1670197.3508519998</v>
      </c>
      <c r="AQ22" s="1771">
        <f t="shared" si="7"/>
        <v>1285048.5843779999</v>
      </c>
      <c r="AR22" s="1771">
        <f t="shared" si="7"/>
        <v>1430754.7354452007</v>
      </c>
      <c r="AS22" s="1771">
        <f t="shared" si="7"/>
        <v>906603.44387399999</v>
      </c>
      <c r="AT22" s="1771">
        <f t="shared" si="7"/>
        <v>567383.99554799986</v>
      </c>
      <c r="AU22" s="1771">
        <f t="shared" si="7"/>
        <v>319727.4974495999</v>
      </c>
    </row>
    <row r="23" spans="1:47" ht="15" thickBot="1">
      <c r="A23" s="387" t="s">
        <v>1426</v>
      </c>
      <c r="D23" s="1793">
        <f>SUM(D21:D22)</f>
        <v>24147100.064459365</v>
      </c>
      <c r="E23" s="1794"/>
      <c r="F23" s="1793">
        <f>SUM(F21:F22)</f>
        <v>9536994.1564780008</v>
      </c>
      <c r="G23" s="1791"/>
      <c r="N23" s="1746">
        <f>SUM(N19:N22)</f>
        <v>9540666.790000001</v>
      </c>
      <c r="O23" s="1747">
        <f>SUM(O19:O22)</f>
        <v>0</v>
      </c>
      <c r="P23" s="1747">
        <f>SUM(P19:P22)</f>
        <v>9540666.790000001</v>
      </c>
      <c r="Q23" s="1747">
        <f>SUM(Q19:Q22)</f>
        <v>0</v>
      </c>
      <c r="AG23" s="1748" t="s">
        <v>1427</v>
      </c>
      <c r="AH23" s="1774" t="s">
        <v>1406</v>
      </c>
      <c r="AI23" s="1775">
        <f>SUM(AJ23:AU23)</f>
        <v>-127185.05</v>
      </c>
      <c r="AJ23" s="1795">
        <v>-29905.02</v>
      </c>
      <c r="AK23" s="1796">
        <v>-29295.9</v>
      </c>
      <c r="AL23" s="1797">
        <v>-31673.22</v>
      </c>
      <c r="AM23" s="1797">
        <v>-36310.910000000003</v>
      </c>
      <c r="AN23" s="1797">
        <v>0</v>
      </c>
      <c r="AO23" s="1776">
        <v>0</v>
      </c>
      <c r="AP23" s="1795">
        <v>0</v>
      </c>
      <c r="AQ23" s="1797">
        <v>0</v>
      </c>
      <c r="AR23" s="1797">
        <v>0</v>
      </c>
      <c r="AS23" s="1776">
        <v>0</v>
      </c>
      <c r="AT23" s="1776">
        <v>0</v>
      </c>
      <c r="AU23" s="1776">
        <v>0</v>
      </c>
    </row>
    <row r="24" spans="1:47" ht="15" thickBot="1">
      <c r="D24" s="1789"/>
      <c r="E24" s="1790"/>
      <c r="F24" s="1789"/>
      <c r="G24" s="1791"/>
      <c r="AG24" s="1769" t="s">
        <v>1428</v>
      </c>
      <c r="AH24" s="1792"/>
      <c r="AI24" s="1781">
        <f>SUM(AJ24:AU24)</f>
        <v>9536994.1564780008</v>
      </c>
      <c r="AJ24" s="1781">
        <f t="shared" ref="AJ24:AU24" si="8">SUM(AJ22:AJ23)</f>
        <v>220629.94610719997</v>
      </c>
      <c r="AK24" s="1781">
        <f t="shared" si="8"/>
        <v>197502.49411000009</v>
      </c>
      <c r="AL24" s="1781">
        <f t="shared" si="8"/>
        <v>207280.04272240002</v>
      </c>
      <c r="AM24" s="1781">
        <f t="shared" si="8"/>
        <v>259765.57832479998</v>
      </c>
      <c r="AN24" s="1781">
        <f t="shared" si="8"/>
        <v>841545.02052280004</v>
      </c>
      <c r="AO24" s="1781">
        <f t="shared" si="8"/>
        <v>1630555.4671439999</v>
      </c>
      <c r="AP24" s="1781">
        <f t="shared" si="8"/>
        <v>1670197.3508519998</v>
      </c>
      <c r="AQ24" s="1781">
        <f t="shared" si="8"/>
        <v>1285048.5843779999</v>
      </c>
      <c r="AR24" s="1781">
        <f t="shared" si="8"/>
        <v>1430754.7354452007</v>
      </c>
      <c r="AS24" s="1781">
        <f t="shared" si="8"/>
        <v>906603.44387399999</v>
      </c>
      <c r="AT24" s="1781">
        <f t="shared" si="8"/>
        <v>567383.99554799986</v>
      </c>
      <c r="AU24" s="1781">
        <f t="shared" si="8"/>
        <v>319727.4974495999</v>
      </c>
    </row>
    <row r="25" spans="1:47" ht="15" thickTop="1">
      <c r="A25" s="3942" t="s">
        <v>1429</v>
      </c>
      <c r="B25" s="3942"/>
      <c r="C25" s="1754" t="s">
        <v>1430</v>
      </c>
      <c r="D25" s="1755">
        <f>'G-2.08 RET'!N16-'G-2.08 RET'!N14</f>
        <v>24204098.34</v>
      </c>
      <c r="E25" s="1754" t="s">
        <v>1430</v>
      </c>
      <c r="F25" s="1755">
        <f>'G-2.08 RET'!P25</f>
        <v>9540666.790000001</v>
      </c>
      <c r="G25" s="1798"/>
      <c r="J25" s="1184"/>
      <c r="K25" s="1184" t="s">
        <v>1431</v>
      </c>
      <c r="L25" s="1184"/>
      <c r="M25" s="1765" t="s">
        <v>1432</v>
      </c>
      <c r="N25" s="1782">
        <f>SUM(N23)</f>
        <v>9540666.790000001</v>
      </c>
      <c r="O25" s="1782">
        <f>SUM(O23)</f>
        <v>0</v>
      </c>
      <c r="P25" s="1799">
        <f>SUM(P23)</f>
        <v>9540666.790000001</v>
      </c>
      <c r="Q25" s="1782">
        <f>SUM(Q23)</f>
        <v>0</v>
      </c>
      <c r="U25" s="1217" t="s">
        <v>1433</v>
      </c>
      <c r="V25" s="477"/>
      <c r="W25" s="477"/>
      <c r="X25" s="477"/>
      <c r="Y25" s="477"/>
      <c r="Z25" s="477"/>
      <c r="AA25" s="477"/>
      <c r="AB25" s="477"/>
      <c r="AI25" s="1783"/>
      <c r="AJ25" s="1783" t="s">
        <v>1406</v>
      </c>
      <c r="AK25" s="1783" t="s">
        <v>1406</v>
      </c>
      <c r="AL25" s="1783" t="s">
        <v>1406</v>
      </c>
      <c r="AM25" s="1783" t="s">
        <v>1406</v>
      </c>
      <c r="AN25" s="1783" t="s">
        <v>1406</v>
      </c>
      <c r="AO25" s="1783" t="s">
        <v>1406</v>
      </c>
      <c r="AP25" s="1783" t="s">
        <v>1406</v>
      </c>
      <c r="AQ25" s="1783" t="s">
        <v>1406</v>
      </c>
      <c r="AR25" s="1783" t="s">
        <v>1406</v>
      </c>
      <c r="AS25" s="1783" t="s">
        <v>1406</v>
      </c>
      <c r="AT25" s="1783" t="s">
        <v>1406</v>
      </c>
      <c r="AU25" s="1783" t="s">
        <v>1406</v>
      </c>
    </row>
    <row r="26" spans="1:47" ht="13">
      <c r="A26" s="387" t="s">
        <v>1434</v>
      </c>
      <c r="C26" s="1737" t="s">
        <v>1430</v>
      </c>
      <c r="D26" s="1755">
        <f>-'G-2.08 RET'!O10</f>
        <v>-58866.77</v>
      </c>
      <c r="E26" s="1800" t="s">
        <v>1430</v>
      </c>
      <c r="F26" s="1755">
        <f>-'G-2.08 RET'!P22</f>
        <v>-1491.81</v>
      </c>
      <c r="G26" s="1798"/>
      <c r="N26" s="1738"/>
      <c r="O26" s="1738"/>
      <c r="P26" s="1738"/>
      <c r="Q26" s="1738"/>
      <c r="U26" s="477"/>
      <c r="V26" s="477"/>
      <c r="W26" s="477"/>
      <c r="X26" s="477"/>
      <c r="Y26" s="477"/>
      <c r="Z26" s="477"/>
      <c r="AA26" s="477"/>
      <c r="AB26" s="477"/>
    </row>
    <row r="27" spans="1:47" ht="13.5" thickBot="1">
      <c r="A27" s="387" t="s">
        <v>1435</v>
      </c>
      <c r="C27" s="1737" t="s">
        <v>1436</v>
      </c>
      <c r="D27" s="1755">
        <f>'G-2.08 RET'!AA31</f>
        <v>868.16</v>
      </c>
      <c r="E27" s="1800" t="s">
        <v>1436</v>
      </c>
      <c r="F27" s="1801">
        <f>'G-2.08 RET'!AB39</f>
        <v>-2180.8200000000002</v>
      </c>
      <c r="G27" s="1798"/>
      <c r="J27" s="1184" t="s">
        <v>24</v>
      </c>
      <c r="K27" s="1184"/>
      <c r="L27" s="1184"/>
      <c r="M27" s="1184"/>
      <c r="N27" s="1802">
        <f>SUM(N25,N16)</f>
        <v>33751770.880000003</v>
      </c>
      <c r="O27" s="1802">
        <f>SUM(O25,O16)</f>
        <v>24211104.09</v>
      </c>
      <c r="P27" s="1802">
        <f>SUM(P25,P16)</f>
        <v>9540666.790000001</v>
      </c>
      <c r="Q27" s="1802">
        <f>SUM(Q25,Q16)</f>
        <v>0</v>
      </c>
      <c r="U27" s="477"/>
      <c r="V27" s="477"/>
      <c r="W27" s="477"/>
      <c r="X27" s="477"/>
      <c r="Y27" s="477"/>
      <c r="Z27" s="477"/>
      <c r="AA27" s="477"/>
      <c r="AB27" s="477"/>
    </row>
    <row r="28" spans="1:47" ht="15" thickTop="1">
      <c r="D28" s="1755"/>
      <c r="E28" s="1800"/>
      <c r="F28" s="1801"/>
      <c r="G28" s="1798"/>
      <c r="U28" s="1803"/>
      <c r="V28" s="1803"/>
      <c r="W28" s="1803"/>
      <c r="X28" s="1803"/>
      <c r="Z28" s="1729" t="s">
        <v>1059</v>
      </c>
      <c r="AA28" s="1804" t="s">
        <v>1386</v>
      </c>
      <c r="AB28" s="1804" t="s">
        <v>1387</v>
      </c>
      <c r="AC28" s="1804" t="s">
        <v>1388</v>
      </c>
      <c r="AI28" s="1457"/>
      <c r="AJ28" s="1457"/>
      <c r="AK28" s="1457"/>
      <c r="AL28" s="1457"/>
      <c r="AM28" s="1457"/>
      <c r="AN28" s="1457"/>
      <c r="AO28" s="1457"/>
      <c r="AP28" s="1457"/>
      <c r="AQ28" s="1457"/>
      <c r="AR28" s="1457"/>
      <c r="AS28" s="1457"/>
      <c r="AT28" s="1457"/>
      <c r="AU28" s="1457"/>
    </row>
    <row r="29" spans="1:47" ht="15" thickBot="1">
      <c r="A29" s="387" t="s">
        <v>1437</v>
      </c>
      <c r="D29" s="1805">
        <f>SUM(D25:D28)</f>
        <v>24146099.73</v>
      </c>
      <c r="E29" s="1806"/>
      <c r="F29" s="1805">
        <f>SUM(F25:F27)</f>
        <v>9536994.1600000001</v>
      </c>
      <c r="G29" s="1798"/>
      <c r="U29" s="1807" t="s">
        <v>1043</v>
      </c>
      <c r="V29" s="1808" t="s">
        <v>1058</v>
      </c>
      <c r="W29" s="1808" t="s">
        <v>1057</v>
      </c>
      <c r="X29" s="1809" t="s">
        <v>1389</v>
      </c>
      <c r="Z29" s="1803"/>
      <c r="AA29" s="1803"/>
      <c r="AB29" s="1803"/>
      <c r="AC29" s="1803"/>
      <c r="AI29" s="1457"/>
      <c r="AJ29" s="1457"/>
      <c r="AK29" s="1457"/>
      <c r="AL29" s="1457"/>
      <c r="AM29" s="1457"/>
      <c r="AN29" s="1457"/>
      <c r="AO29" s="1457"/>
      <c r="AP29" s="1457"/>
      <c r="AQ29" s="1457"/>
      <c r="AR29" s="1457"/>
      <c r="AS29" s="1501"/>
      <c r="AT29" s="1501"/>
      <c r="AU29" s="1501"/>
    </row>
    <row r="30" spans="1:47" ht="15" thickBot="1">
      <c r="D30" s="1810"/>
      <c r="E30" s="1811"/>
      <c r="F30" s="1810"/>
      <c r="G30" s="1812"/>
      <c r="U30" s="1807" t="s">
        <v>1391</v>
      </c>
      <c r="V30" s="1808" t="s">
        <v>681</v>
      </c>
      <c r="W30" s="1808" t="s">
        <v>763</v>
      </c>
      <c r="X30" s="1809" t="s">
        <v>1402</v>
      </c>
      <c r="Z30" s="1813">
        <v>1992221.21</v>
      </c>
      <c r="AA30" s="1813">
        <v>1992221.21</v>
      </c>
      <c r="AB30" s="1813">
        <v>0</v>
      </c>
      <c r="AC30" s="1813">
        <v>0</v>
      </c>
      <c r="AI30" s="1501"/>
      <c r="AJ30" s="1457"/>
      <c r="AK30" s="1457"/>
      <c r="AL30" s="1457"/>
      <c r="AM30" s="1457"/>
      <c r="AN30" s="1457"/>
      <c r="AO30" s="1457"/>
      <c r="AP30" s="1457"/>
      <c r="AQ30" s="1457"/>
      <c r="AR30" s="1457"/>
      <c r="AS30" s="1501"/>
      <c r="AT30" s="1501"/>
      <c r="AU30" s="1501"/>
    </row>
    <row r="31" spans="1:47" ht="15.5" thickTop="1" thickBot="1">
      <c r="A31" s="387" t="s">
        <v>1438</v>
      </c>
      <c r="D31" s="1814">
        <f>SUM(D26:D28)</f>
        <v>-57998.609999999993</v>
      </c>
      <c r="E31" s="1815"/>
      <c r="F31" s="1814">
        <f>SUM(F26:F28)</f>
        <v>-3672.63</v>
      </c>
      <c r="G31" s="1798"/>
      <c r="U31" s="1807"/>
      <c r="V31" s="1808"/>
      <c r="W31" s="1808"/>
      <c r="X31" s="1816" t="s">
        <v>1439</v>
      </c>
      <c r="Y31" s="1765" t="s">
        <v>1406</v>
      </c>
      <c r="Z31" s="1817">
        <v>868.16</v>
      </c>
      <c r="AA31" s="1813">
        <v>868.16</v>
      </c>
      <c r="AB31" s="1813">
        <v>0</v>
      </c>
      <c r="AC31" s="1813">
        <v>0</v>
      </c>
      <c r="AI31" s="1457"/>
      <c r="AJ31" s="1457"/>
      <c r="AK31" s="1457"/>
      <c r="AL31" s="1457"/>
      <c r="AM31" s="1457"/>
      <c r="AN31" s="1457"/>
      <c r="AO31" s="1457"/>
      <c r="AP31" s="1457"/>
      <c r="AQ31" s="1457"/>
      <c r="AR31" s="1457"/>
      <c r="AS31" s="1457"/>
      <c r="AT31" s="1457"/>
      <c r="AU31" s="1457"/>
    </row>
    <row r="32" spans="1:47" ht="15" thickTop="1">
      <c r="D32" s="1818"/>
      <c r="E32" s="1815"/>
      <c r="F32" s="1818"/>
      <c r="G32" s="1798"/>
      <c r="U32" s="1807"/>
      <c r="V32" s="1808"/>
      <c r="W32" s="1808"/>
      <c r="X32" s="1809" t="s">
        <v>1440</v>
      </c>
      <c r="Y32" s="1765"/>
      <c r="Z32" s="1813">
        <v>-68961.83</v>
      </c>
      <c r="AA32" s="1813">
        <v>-68961.83</v>
      </c>
      <c r="AB32" s="1813">
        <v>0</v>
      </c>
      <c r="AC32" s="1813">
        <v>0</v>
      </c>
      <c r="AI32" s="1457"/>
      <c r="AJ32" s="1457"/>
      <c r="AK32" s="1457"/>
      <c r="AL32" s="1457"/>
      <c r="AM32" s="1457"/>
      <c r="AN32" s="1457"/>
      <c r="AO32" s="1457"/>
      <c r="AP32" s="1457"/>
      <c r="AQ32" s="1457"/>
      <c r="AR32" s="1457" t="s">
        <v>110</v>
      </c>
      <c r="AS32" s="1457"/>
      <c r="AT32" s="1457"/>
      <c r="AU32" s="1457"/>
    </row>
    <row r="33" spans="1:47">
      <c r="D33" s="1818"/>
      <c r="E33" s="1815"/>
      <c r="F33" s="1818"/>
      <c r="G33" s="1798"/>
      <c r="U33" s="1807"/>
      <c r="V33" s="1808"/>
      <c r="W33" s="1808"/>
      <c r="X33" s="1809" t="s">
        <v>1441</v>
      </c>
      <c r="Z33" s="1813">
        <v>30.31</v>
      </c>
      <c r="AA33" s="1813">
        <v>30.31</v>
      </c>
      <c r="AB33" s="1813">
        <v>0</v>
      </c>
      <c r="AC33" s="1813">
        <v>0</v>
      </c>
      <c r="AI33" s="1501"/>
      <c r="AJ33" s="1501"/>
      <c r="AK33" s="1457"/>
      <c r="AL33" s="1457"/>
      <c r="AM33" s="1501"/>
      <c r="AN33" s="1501"/>
      <c r="AO33" s="1501"/>
      <c r="AP33" s="1501"/>
      <c r="AQ33" s="1501"/>
      <c r="AR33" s="1501"/>
      <c r="AS33" s="1501"/>
      <c r="AT33" s="1501"/>
      <c r="AU33" s="1501"/>
    </row>
    <row r="34" spans="1:47">
      <c r="D34" s="540"/>
      <c r="E34" s="1819"/>
      <c r="F34" s="540"/>
      <c r="U34" s="1807"/>
      <c r="V34" s="1808"/>
      <c r="W34" s="1808"/>
      <c r="X34" s="1809"/>
      <c r="Z34" s="1813"/>
      <c r="AA34" s="1813"/>
      <c r="AB34" s="1813">
        <v>0</v>
      </c>
      <c r="AC34" s="1813">
        <v>0</v>
      </c>
      <c r="AI34" s="1501"/>
      <c r="AJ34" s="1501"/>
      <c r="AK34" s="1457"/>
      <c r="AL34" s="1457"/>
      <c r="AM34" s="1457"/>
      <c r="AN34" s="1457"/>
      <c r="AO34" s="1457"/>
      <c r="AP34" s="1457"/>
      <c r="AQ34" s="1457"/>
      <c r="AR34" s="1457"/>
      <c r="AS34" s="1457"/>
      <c r="AT34" s="1457"/>
      <c r="AU34" s="1457"/>
    </row>
    <row r="35" spans="1:47">
      <c r="D35" s="1820"/>
      <c r="E35" s="1821"/>
      <c r="F35" s="1820"/>
      <c r="U35" s="1807"/>
      <c r="V35" s="1808"/>
      <c r="W35" s="1808"/>
      <c r="X35" s="1822" t="s">
        <v>1442</v>
      </c>
      <c r="Z35" s="1823">
        <f>SUM(Z30:Z34)</f>
        <v>1924157.8499999999</v>
      </c>
      <c r="AA35" s="1824">
        <f>SUM(AA30:AA34)</f>
        <v>1924157.8499999999</v>
      </c>
      <c r="AB35" s="1824">
        <f>SUM(AB30:AB34)</f>
        <v>0</v>
      </c>
      <c r="AC35" s="1824">
        <f>SUM(AC30:AC34)</f>
        <v>0</v>
      </c>
      <c r="AI35" s="1501"/>
      <c r="AJ35" s="1501"/>
      <c r="AK35" s="1457"/>
      <c r="AL35" s="1457"/>
      <c r="AM35" s="1501"/>
      <c r="AN35" s="1501"/>
      <c r="AO35" s="1501"/>
      <c r="AP35" s="1501"/>
      <c r="AQ35" s="1501"/>
      <c r="AR35" s="1501"/>
      <c r="AS35" s="1501"/>
      <c r="AT35" s="1501"/>
      <c r="AU35" s="1501"/>
    </row>
    <row r="36" spans="1:47">
      <c r="D36" s="1825"/>
      <c r="E36" s="1821"/>
      <c r="F36" s="1825"/>
      <c r="U36" s="1807"/>
      <c r="V36" s="1808"/>
      <c r="W36" s="1808"/>
      <c r="X36" s="1822"/>
      <c r="Z36" s="1826"/>
      <c r="AA36" s="1827"/>
      <c r="AB36" s="1827"/>
      <c r="AC36" s="1827"/>
    </row>
    <row r="37" spans="1:47">
      <c r="D37" s="1828"/>
      <c r="E37" s="1821"/>
      <c r="F37" s="1825"/>
      <c r="U37" s="1807"/>
      <c r="V37" s="1808" t="s">
        <v>680</v>
      </c>
      <c r="W37" s="1808" t="s">
        <v>763</v>
      </c>
      <c r="X37" s="1809" t="s">
        <v>1421</v>
      </c>
      <c r="Z37" s="1813">
        <v>287981.7</v>
      </c>
      <c r="AA37" s="1813">
        <v>0</v>
      </c>
      <c r="AB37" s="1813">
        <v>287981.7</v>
      </c>
      <c r="AC37" s="1813">
        <v>0</v>
      </c>
    </row>
    <row r="38" spans="1:47">
      <c r="A38" s="387" t="s">
        <v>1443</v>
      </c>
      <c r="F38" s="1758"/>
      <c r="U38" s="1807"/>
      <c r="V38" s="1808"/>
      <c r="W38" s="1808"/>
      <c r="X38" s="1809" t="s">
        <v>1440</v>
      </c>
      <c r="Z38" s="1813">
        <v>-12246.17</v>
      </c>
      <c r="AA38" s="1813">
        <v>0</v>
      </c>
      <c r="AB38" s="1813">
        <v>-12246.17</v>
      </c>
      <c r="AC38" s="1813">
        <v>0</v>
      </c>
    </row>
    <row r="39" spans="1:47">
      <c r="B39" s="387" t="s">
        <v>1444</v>
      </c>
      <c r="F39" s="1758"/>
      <c r="U39" s="1807"/>
      <c r="V39" s="1808"/>
      <c r="W39" s="1808"/>
      <c r="X39" s="1816" t="s">
        <v>1445</v>
      </c>
      <c r="Y39" s="1765" t="s">
        <v>1406</v>
      </c>
      <c r="Z39" s="1817">
        <v>-2180.8200000000002</v>
      </c>
      <c r="AA39" s="1813">
        <v>0</v>
      </c>
      <c r="AB39" s="1813">
        <v>-2180.8200000000002</v>
      </c>
      <c r="AC39" s="1813">
        <v>0</v>
      </c>
    </row>
    <row r="40" spans="1:47">
      <c r="B40" s="387" t="s">
        <v>1446</v>
      </c>
      <c r="F40" s="1758"/>
      <c r="U40" s="1807"/>
      <c r="V40" s="1808"/>
      <c r="W40" s="1808"/>
      <c r="X40" s="1822" t="s">
        <v>1442</v>
      </c>
      <c r="Z40" s="1823">
        <f>SUM(Z37:Z39)</f>
        <v>273554.71000000002</v>
      </c>
      <c r="AA40" s="1824">
        <f>SUM(AA37:AA39)</f>
        <v>0</v>
      </c>
      <c r="AB40" s="1824">
        <f>SUM(AB37:AB39)</f>
        <v>273554.71000000002</v>
      </c>
      <c r="AC40" s="1824">
        <f>SUM(AC37:AC39)</f>
        <v>0</v>
      </c>
    </row>
    <row r="41" spans="1:47">
      <c r="F41" s="1758"/>
      <c r="U41" s="1807"/>
      <c r="V41" s="928"/>
      <c r="W41" s="928"/>
      <c r="X41" s="928"/>
      <c r="Z41" s="1826"/>
      <c r="AA41" s="1827"/>
      <c r="AB41" s="1827"/>
      <c r="AC41" s="1827"/>
    </row>
    <row r="42" spans="1:47" ht="15" thickBot="1">
      <c r="A42" s="1829" t="s">
        <v>396</v>
      </c>
      <c r="B42" s="1830" t="s">
        <v>1447</v>
      </c>
      <c r="C42" s="1754" t="s">
        <v>1401</v>
      </c>
      <c r="D42" s="1831">
        <f>'G-2.08 RET'!O6</f>
        <v>-190777.55</v>
      </c>
      <c r="E42" s="1754" t="s">
        <v>1401</v>
      </c>
      <c r="F42" s="1755">
        <f>'G-2.08 RET'!P19</f>
        <v>-127185.05</v>
      </c>
      <c r="U42" s="1832" t="s">
        <v>24</v>
      </c>
      <c r="V42" s="1832"/>
      <c r="W42" s="1832"/>
      <c r="X42" s="1832"/>
      <c r="Z42" s="1833">
        <f>Z35+Z40</f>
        <v>2197712.56</v>
      </c>
      <c r="AA42" s="1834">
        <f>AA35+AA40</f>
        <v>1924157.8499999999</v>
      </c>
      <c r="AB42" s="1834">
        <f>AB35+AB40</f>
        <v>273554.71000000002</v>
      </c>
      <c r="AC42" s="1834">
        <f>AC35+AC40</f>
        <v>0</v>
      </c>
    </row>
    <row r="43" spans="1:47" ht="15" thickTop="1">
      <c r="B43" s="1830" t="s">
        <v>1448</v>
      </c>
      <c r="C43" s="1737" t="s">
        <v>1436</v>
      </c>
      <c r="D43" s="1831">
        <f>'G-2.08 RET'!AA19</f>
        <v>190777.55</v>
      </c>
      <c r="E43" s="1737" t="s">
        <v>1436</v>
      </c>
      <c r="F43" s="1755">
        <f>'G-2.08 RET'!AB19</f>
        <v>127185.05</v>
      </c>
      <c r="Z43" s="1835"/>
      <c r="AA43" s="1835"/>
      <c r="AB43" s="1835"/>
      <c r="AC43" s="1835"/>
    </row>
    <row r="44" spans="1:47">
      <c r="D44" s="1836">
        <f>SUM(D42:D43)</f>
        <v>0</v>
      </c>
      <c r="E44" s="1787"/>
      <c r="F44" s="1836">
        <f>SUM(F42:F43)</f>
        <v>0</v>
      </c>
    </row>
    <row r="45" spans="1:47">
      <c r="F45" s="1758"/>
    </row>
    <row r="46" spans="1:47">
      <c r="A46" s="3943" t="s">
        <v>1449</v>
      </c>
      <c r="B46" s="3943"/>
      <c r="C46" s="3943"/>
      <c r="D46" s="3943"/>
      <c r="E46" s="3943"/>
      <c r="F46" s="394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1640625" defaultRowHeight="13"/>
  <cols>
    <col min="1" max="1" width="8.81640625" style="1184"/>
    <col min="2" max="2" width="10.54296875" style="1184" customWidth="1"/>
    <col min="3" max="11" width="9.1796875" style="1184" hidden="1" customWidth="1"/>
    <col min="12" max="22" width="8.81640625" style="1184"/>
    <col min="23" max="23" width="10.1796875" style="1184" bestFit="1" customWidth="1"/>
    <col min="24" max="29" width="8.81640625" style="1184"/>
    <col min="30" max="37" width="9.1796875" style="1184" hidden="1" customWidth="1"/>
    <col min="38" max="38" width="9.54296875" style="1184" bestFit="1" customWidth="1"/>
    <col min="39" max="39" width="8.81640625" style="477"/>
    <col min="40" max="40" width="1.7265625" style="995" customWidth="1"/>
    <col min="41" max="41" width="8.81640625" style="477"/>
    <col min="42" max="42" width="3.54296875" style="996" customWidth="1"/>
    <col min="43" max="43" width="39.81640625" style="996" customWidth="1"/>
    <col min="44" max="44" width="8.81640625" style="1765" customWidth="1"/>
    <col min="45" max="45" width="12.453125" style="996" customWidth="1"/>
    <col min="46" max="46" width="12.453125" style="996" hidden="1" customWidth="1"/>
    <col min="47" max="47" width="7.453125" style="1838" customWidth="1"/>
    <col min="48" max="50" width="12.453125" style="996" customWidth="1"/>
    <col min="51" max="51" width="2.54296875" style="996" customWidth="1"/>
    <col min="52" max="54" width="12.453125" style="996" customWidth="1"/>
    <col min="55" max="55" width="2.54296875" style="996" customWidth="1"/>
    <col min="56" max="57" width="12.453125" style="996" customWidth="1"/>
    <col min="58" max="58" width="8.81640625" style="477"/>
    <col min="59" max="59" width="1.7265625" style="995" customWidth="1"/>
    <col min="60" max="60" width="8.81640625" style="477"/>
    <col min="61" max="61" width="3.7265625" style="1839" customWidth="1"/>
    <col min="62" max="62" width="3.1796875" style="1839" bestFit="1" customWidth="1"/>
    <col min="63" max="63" width="33.81640625" style="1839" bestFit="1" customWidth="1"/>
    <col min="64" max="64" width="2.7265625" style="1839" bestFit="1" customWidth="1"/>
    <col min="65" max="65" width="31.81640625" style="1839" customWidth="1"/>
    <col min="66" max="66" width="3.1796875" style="1839" customWidth="1"/>
    <col min="67" max="67" width="6.81640625" style="1839" bestFit="1" customWidth="1"/>
    <col min="68" max="68" width="13.7265625" style="1839" customWidth="1"/>
    <col min="69" max="69" width="13.26953125" style="1839" bestFit="1" customWidth="1"/>
    <col min="70" max="70" width="11.26953125" style="1839" bestFit="1" customWidth="1"/>
    <col min="71" max="71" width="1.7265625" style="995" customWidth="1"/>
    <col min="72" max="72" width="8.81640625" style="477"/>
    <col min="73" max="73" width="3.7265625" style="1839" customWidth="1"/>
    <col min="74" max="74" width="3.1796875" style="1839" bestFit="1" customWidth="1"/>
    <col min="75" max="75" width="33.81640625" style="1839" bestFit="1" customWidth="1"/>
    <col min="76" max="76" width="2.7265625" style="1839" bestFit="1" customWidth="1"/>
    <col min="77" max="77" width="31.81640625" style="1839" customWidth="1"/>
    <col min="78" max="78" width="3.1796875" style="1839" customWidth="1"/>
    <col min="79" max="79" width="6.81640625" style="1839" bestFit="1" customWidth="1"/>
    <col min="80" max="80" width="13.7265625" style="1839" customWidth="1"/>
    <col min="81" max="81" width="13.26953125" style="1839" bestFit="1" customWidth="1"/>
    <col min="82" max="82" width="11.26953125" style="1839" bestFit="1" customWidth="1"/>
    <col min="83" max="83" width="11.1796875" style="1839" customWidth="1"/>
    <col min="84" max="16384" width="8.81640625" style="477"/>
  </cols>
  <sheetData>
    <row r="1" spans="1:83">
      <c r="A1" s="1837" t="s">
        <v>1204</v>
      </c>
      <c r="B1" s="996"/>
      <c r="C1" s="1765"/>
      <c r="D1" s="996"/>
      <c r="E1" s="1838"/>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P1" s="1837" t="s">
        <v>1204</v>
      </c>
      <c r="BI1" s="3946" t="s">
        <v>1450</v>
      </c>
      <c r="BJ1" s="3946"/>
      <c r="BK1" s="3946"/>
      <c r="BL1" s="3946"/>
      <c r="BM1" s="3946"/>
      <c r="BN1" s="3946"/>
      <c r="BO1" s="3946"/>
      <c r="BU1" s="3946" t="s">
        <v>1450</v>
      </c>
      <c r="BV1" s="3946"/>
      <c r="BW1" s="3946"/>
      <c r="BX1" s="3946"/>
      <c r="BY1" s="3946"/>
      <c r="BZ1" s="3946"/>
      <c r="CA1" s="3946"/>
    </row>
    <row r="2" spans="1:83">
      <c r="A2" s="996" t="s">
        <v>1451</v>
      </c>
      <c r="B2" s="996"/>
      <c r="C2" s="1765"/>
      <c r="D2" s="996"/>
      <c r="E2" s="1838"/>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P2" s="996" t="s">
        <v>1451</v>
      </c>
      <c r="BI2" s="3946" t="s">
        <v>1452</v>
      </c>
      <c r="BJ2" s="3946"/>
      <c r="BK2" s="3946"/>
      <c r="BL2" s="3946"/>
      <c r="BM2" s="3946"/>
      <c r="BN2" s="3946"/>
      <c r="BO2" s="3946"/>
      <c r="BU2" s="3946" t="s">
        <v>1453</v>
      </c>
      <c r="BV2" s="3946"/>
      <c r="BW2" s="3946"/>
      <c r="BX2" s="3946"/>
      <c r="BY2" s="3946"/>
      <c r="BZ2" s="3946"/>
      <c r="CA2" s="3946"/>
    </row>
    <row r="3" spans="1:83">
      <c r="A3" s="1840" t="s">
        <v>1454</v>
      </c>
      <c r="B3" s="996"/>
      <c r="C3" s="1765"/>
      <c r="D3" s="996"/>
      <c r="E3" s="1838"/>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P3" s="3947" t="s">
        <v>1454</v>
      </c>
      <c r="AQ3" s="3947"/>
      <c r="AR3" s="3947"/>
      <c r="AS3" s="3947"/>
      <c r="AT3" s="3947"/>
      <c r="AU3" s="3947"/>
      <c r="AV3" s="3947"/>
      <c r="AW3" s="3947"/>
      <c r="BI3" s="3948" t="s">
        <v>1455</v>
      </c>
      <c r="BJ3" s="3948"/>
      <c r="BK3" s="3948"/>
      <c r="BL3" s="3948"/>
      <c r="BM3" s="3948"/>
      <c r="BN3" s="3948"/>
      <c r="BO3" s="3948"/>
      <c r="BU3" s="3948" t="s">
        <v>1455</v>
      </c>
      <c r="BV3" s="3948"/>
      <c r="BW3" s="3948"/>
      <c r="BX3" s="3948"/>
      <c r="BY3" s="3948"/>
      <c r="BZ3" s="3948"/>
      <c r="CA3" s="3948"/>
    </row>
    <row r="4" spans="1:83">
      <c r="A4" s="996"/>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U4" s="1838" t="s">
        <v>1456</v>
      </c>
      <c r="BI4" s="1841"/>
      <c r="BJ4" s="1842"/>
      <c r="BK4" s="1842"/>
      <c r="BL4" s="1842"/>
      <c r="BM4" s="1843"/>
      <c r="BN4" s="1842"/>
      <c r="BO4" s="1842"/>
      <c r="BU4" s="1841"/>
      <c r="BV4" s="1842"/>
      <c r="BW4" s="1842"/>
      <c r="BX4" s="1842"/>
      <c r="BY4" s="1843"/>
      <c r="BZ4" s="1842"/>
      <c r="CA4" s="1842"/>
    </row>
    <row r="5" spans="1:83">
      <c r="A5" s="996"/>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P5" s="1838"/>
      <c r="AQ5" s="1838"/>
      <c r="AS5" s="1838" t="s">
        <v>1457</v>
      </c>
      <c r="AT5" s="1838" t="s">
        <v>739</v>
      </c>
      <c r="AU5" s="1838" t="s">
        <v>1458</v>
      </c>
      <c r="AV5" s="1838" t="s">
        <v>24</v>
      </c>
      <c r="AW5" s="1838" t="s">
        <v>763</v>
      </c>
      <c r="AX5" s="1838" t="s">
        <v>683</v>
      </c>
      <c r="AY5" s="1838"/>
      <c r="AZ5" s="1838" t="s">
        <v>1459</v>
      </c>
      <c r="BA5" s="1838" t="s">
        <v>763</v>
      </c>
      <c r="BB5" s="1838" t="s">
        <v>683</v>
      </c>
      <c r="BC5" s="1838"/>
      <c r="BD5" s="1838" t="s">
        <v>676</v>
      </c>
      <c r="BE5" s="1838"/>
      <c r="BI5" s="1844"/>
      <c r="BJ5" s="1845"/>
      <c r="BK5" s="1845"/>
      <c r="BL5" s="1845"/>
      <c r="BM5" s="1846" t="s">
        <v>1460</v>
      </c>
      <c r="BN5" s="1846"/>
      <c r="BO5" s="1846" t="s">
        <v>1461</v>
      </c>
      <c r="BP5" s="1847" t="s">
        <v>1462</v>
      </c>
      <c r="BU5" s="1844"/>
      <c r="BV5" s="1845"/>
      <c r="BW5" s="1845"/>
      <c r="BX5" s="1845"/>
      <c r="BY5" s="1846" t="s">
        <v>1460</v>
      </c>
      <c r="BZ5" s="1846"/>
      <c r="CA5" s="1846" t="s">
        <v>1461</v>
      </c>
      <c r="CB5" s="1847" t="s">
        <v>1462</v>
      </c>
    </row>
    <row r="6" spans="1:83">
      <c r="A6" s="1184" t="s">
        <v>819</v>
      </c>
      <c r="B6" s="996"/>
      <c r="C6" s="3944" t="s">
        <v>1463</v>
      </c>
      <c r="D6" s="3945"/>
      <c r="E6" s="3945"/>
      <c r="F6" s="3945"/>
      <c r="G6" s="3945"/>
      <c r="H6" s="3945"/>
      <c r="I6" s="3945"/>
      <c r="J6" s="3945"/>
      <c r="K6" s="3945"/>
      <c r="L6" s="3945"/>
      <c r="M6" s="3945"/>
      <c r="N6" s="3945"/>
      <c r="O6" s="3945"/>
      <c r="P6" s="3945"/>
      <c r="Q6" s="3945"/>
      <c r="R6" s="3945"/>
      <c r="S6" s="3945"/>
      <c r="T6" s="3945"/>
      <c r="U6" s="3945"/>
      <c r="V6" s="3945"/>
      <c r="W6" s="3945"/>
      <c r="X6" s="3945"/>
      <c r="Y6" s="3945"/>
      <c r="Z6" s="3945"/>
      <c r="AA6" s="3945"/>
      <c r="AB6" s="3945"/>
      <c r="AC6" s="1303"/>
      <c r="AD6" s="1303"/>
      <c r="AE6" s="1303"/>
      <c r="AF6" s="1303"/>
      <c r="AG6" s="1303"/>
      <c r="AH6" s="1303"/>
      <c r="AI6" s="1303"/>
      <c r="AJ6" s="1303"/>
      <c r="AK6" s="1303"/>
      <c r="AL6" s="996"/>
      <c r="AP6" s="1849"/>
      <c r="AQ6" s="1849" t="s">
        <v>70</v>
      </c>
      <c r="AR6" s="1850"/>
      <c r="AS6" s="1849" t="s">
        <v>1464</v>
      </c>
      <c r="AT6" s="1849" t="s">
        <v>144</v>
      </c>
      <c r="AU6" s="1849" t="s">
        <v>739</v>
      </c>
      <c r="AV6" s="1849" t="s">
        <v>729</v>
      </c>
      <c r="AW6" s="1849" t="s">
        <v>729</v>
      </c>
      <c r="AX6" s="1849" t="s">
        <v>729</v>
      </c>
      <c r="AY6" s="1849"/>
      <c r="AZ6" s="1849" t="s">
        <v>787</v>
      </c>
      <c r="BA6" s="1849" t="s">
        <v>787</v>
      </c>
      <c r="BB6" s="1849" t="s">
        <v>787</v>
      </c>
      <c r="BC6" s="1849"/>
      <c r="BD6" s="1849" t="s">
        <v>787</v>
      </c>
      <c r="BE6" s="1849" t="s">
        <v>198</v>
      </c>
      <c r="BI6" s="1841" t="s">
        <v>1465</v>
      </c>
      <c r="BJ6" s="1842" t="s">
        <v>922</v>
      </c>
      <c r="BK6" s="1842" t="s">
        <v>1466</v>
      </c>
      <c r="BL6" s="1842" t="s">
        <v>1467</v>
      </c>
      <c r="BM6" s="1851"/>
      <c r="BN6" s="1851"/>
      <c r="BO6" s="1851"/>
      <c r="BU6" s="1841" t="s">
        <v>1468</v>
      </c>
      <c r="BV6" s="1842" t="s">
        <v>922</v>
      </c>
      <c r="BW6" s="1842" t="s">
        <v>1466</v>
      </c>
      <c r="BX6" s="1842"/>
      <c r="BY6" s="1852" t="s">
        <v>1469</v>
      </c>
      <c r="BZ6" s="1851"/>
      <c r="CA6" s="1851"/>
    </row>
    <row r="7" spans="1:83" ht="13.5" thickBot="1">
      <c r="A7" s="1853" t="s">
        <v>1291</v>
      </c>
      <c r="B7" s="1853" t="s">
        <v>1470</v>
      </c>
      <c r="C7" s="1853">
        <v>1998</v>
      </c>
      <c r="D7" s="1853">
        <v>1999</v>
      </c>
      <c r="E7" s="1853">
        <v>2000</v>
      </c>
      <c r="F7" s="1853">
        <v>2001</v>
      </c>
      <c r="G7" s="1853">
        <v>2002</v>
      </c>
      <c r="H7" s="1853">
        <v>2003</v>
      </c>
      <c r="I7" s="1853">
        <v>2004</v>
      </c>
      <c r="J7" s="1853">
        <v>2005</v>
      </c>
      <c r="K7" s="1853">
        <v>2006</v>
      </c>
      <c r="L7" s="1853">
        <v>2007</v>
      </c>
      <c r="M7" s="1853">
        <v>2008</v>
      </c>
      <c r="N7" s="1853">
        <v>2009</v>
      </c>
      <c r="O7" s="1853">
        <v>2010</v>
      </c>
      <c r="P7" s="1853">
        <v>2011</v>
      </c>
      <c r="Q7" s="1853">
        <v>2012</v>
      </c>
      <c r="R7" s="1853">
        <v>2013</v>
      </c>
      <c r="S7" s="1853">
        <v>2014</v>
      </c>
      <c r="T7" s="1853">
        <v>2015</v>
      </c>
      <c r="U7" s="1853">
        <v>2016</v>
      </c>
      <c r="V7" s="1853">
        <v>2017</v>
      </c>
      <c r="W7" s="1853">
        <v>2018</v>
      </c>
      <c r="X7" s="1853">
        <v>2019</v>
      </c>
      <c r="Y7" s="1853">
        <v>2020</v>
      </c>
      <c r="Z7" s="1853">
        <v>2021</v>
      </c>
      <c r="AA7" s="1853">
        <v>2022</v>
      </c>
      <c r="AB7" s="1853">
        <v>2023</v>
      </c>
      <c r="AC7" s="1853">
        <v>2024</v>
      </c>
      <c r="AD7" s="1853">
        <v>2025</v>
      </c>
      <c r="AE7" s="1853">
        <v>2026</v>
      </c>
      <c r="AF7" s="1853">
        <v>2027</v>
      </c>
      <c r="AG7" s="1853">
        <v>2028</v>
      </c>
      <c r="AH7" s="1853">
        <v>2029</v>
      </c>
      <c r="AI7" s="1853">
        <v>2030</v>
      </c>
      <c r="AJ7" s="1853">
        <v>2031</v>
      </c>
      <c r="AK7" s="1853">
        <v>2032</v>
      </c>
      <c r="AL7" s="1853" t="s">
        <v>198</v>
      </c>
      <c r="AZ7" s="1837"/>
      <c r="BI7" s="1841"/>
      <c r="BJ7" s="1842" t="s">
        <v>923</v>
      </c>
      <c r="BK7" s="1842" t="s">
        <v>1471</v>
      </c>
      <c r="BL7" s="1842" t="s">
        <v>1467</v>
      </c>
      <c r="BM7" s="1854"/>
      <c r="BN7" s="1851"/>
      <c r="BO7" s="1851"/>
      <c r="BU7" s="1841"/>
      <c r="BV7" s="1842" t="s">
        <v>923</v>
      </c>
      <c r="BW7" s="1842" t="s">
        <v>1471</v>
      </c>
      <c r="BX7" s="1842"/>
      <c r="BY7" s="1855"/>
      <c r="BZ7" s="1851"/>
      <c r="CA7" s="1851"/>
    </row>
    <row r="8" spans="1:83">
      <c r="A8" s="1838">
        <v>1998</v>
      </c>
      <c r="B8" s="1856">
        <v>0</v>
      </c>
      <c r="C8" s="1837">
        <f t="shared" ref="C8:L8" si="0">$B$8/10</f>
        <v>0</v>
      </c>
      <c r="D8" s="1837">
        <f t="shared" si="0"/>
        <v>0</v>
      </c>
      <c r="E8" s="1837">
        <f t="shared" si="0"/>
        <v>0</v>
      </c>
      <c r="F8" s="1837">
        <f t="shared" si="0"/>
        <v>0</v>
      </c>
      <c r="G8" s="1837">
        <f t="shared" si="0"/>
        <v>0</v>
      </c>
      <c r="H8" s="1837">
        <f t="shared" si="0"/>
        <v>0</v>
      </c>
      <c r="I8" s="1837">
        <f t="shared" si="0"/>
        <v>0</v>
      </c>
      <c r="J8" s="1837">
        <f t="shared" si="0"/>
        <v>0</v>
      </c>
      <c r="K8" s="1837">
        <f t="shared" si="0"/>
        <v>0</v>
      </c>
      <c r="L8" s="1837">
        <f t="shared" si="0"/>
        <v>0</v>
      </c>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f>SUM(C8:Y8)</f>
        <v>0</v>
      </c>
      <c r="AP8" s="1838">
        <v>1</v>
      </c>
      <c r="AQ8" s="996" t="s">
        <v>1472</v>
      </c>
      <c r="AR8" s="1765" t="s">
        <v>1473</v>
      </c>
      <c r="AS8" s="1837">
        <f>'G-2.09 NGL'!CB16</f>
        <v>52575.839999999997</v>
      </c>
      <c r="AT8" s="1837"/>
      <c r="AU8" s="1857" t="s">
        <v>946</v>
      </c>
      <c r="AV8" s="1837">
        <v>52576</v>
      </c>
      <c r="AW8" s="1837">
        <f>AV8*AW25</f>
        <v>33858.944000000003</v>
      </c>
      <c r="AX8" s="1837">
        <f>AV8*AX25</f>
        <v>18717.056</v>
      </c>
      <c r="AY8" s="1837"/>
      <c r="AZ8" s="1837"/>
      <c r="BA8" s="1837"/>
      <c r="BB8" s="1837"/>
      <c r="BC8" s="1837"/>
      <c r="BD8" s="1837"/>
      <c r="BE8" s="1837"/>
      <c r="BI8" s="1841"/>
      <c r="BJ8" s="1842" t="s">
        <v>924</v>
      </c>
      <c r="BK8" s="1842" t="s">
        <v>1474</v>
      </c>
      <c r="BL8" s="1842" t="s">
        <v>1467</v>
      </c>
      <c r="BM8" s="1858"/>
      <c r="BN8" s="1851"/>
      <c r="BO8" s="1851"/>
      <c r="BU8" s="1841"/>
      <c r="BV8" s="1842" t="s">
        <v>924</v>
      </c>
      <c r="BW8" s="1842" t="s">
        <v>1474</v>
      </c>
      <c r="BX8" s="1842"/>
      <c r="BY8" s="1859"/>
      <c r="BZ8" s="1851"/>
      <c r="CA8" s="1851"/>
    </row>
    <row r="9" spans="1:83">
      <c r="A9" s="1838">
        <v>1999</v>
      </c>
      <c r="B9" s="1856">
        <v>435627</v>
      </c>
      <c r="C9" s="1837"/>
      <c r="D9" s="1837">
        <f t="shared" ref="D9:M9" si="1">ROUND($B$9/10,0)</f>
        <v>43563</v>
      </c>
      <c r="E9" s="1837">
        <f t="shared" si="1"/>
        <v>43563</v>
      </c>
      <c r="F9" s="1837">
        <f t="shared" si="1"/>
        <v>43563</v>
      </c>
      <c r="G9" s="1837">
        <f t="shared" si="1"/>
        <v>43563</v>
      </c>
      <c r="H9" s="1837">
        <f t="shared" si="1"/>
        <v>43563</v>
      </c>
      <c r="I9" s="1837">
        <f t="shared" si="1"/>
        <v>43563</v>
      </c>
      <c r="J9" s="1837">
        <f t="shared" si="1"/>
        <v>43563</v>
      </c>
      <c r="K9" s="1837">
        <f t="shared" si="1"/>
        <v>43563</v>
      </c>
      <c r="L9" s="1837">
        <f t="shared" si="1"/>
        <v>43563</v>
      </c>
      <c r="M9" s="1837">
        <f t="shared" si="1"/>
        <v>43563</v>
      </c>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f t="shared" ref="AL9:AL14" si="2">SUM(D9:Y9)</f>
        <v>435630</v>
      </c>
      <c r="AP9" s="1838"/>
      <c r="AS9" s="1837"/>
      <c r="AU9" s="1857"/>
      <c r="AV9" s="1837"/>
      <c r="AW9" s="1837"/>
      <c r="AX9" s="1837"/>
      <c r="AY9" s="1837"/>
      <c r="AZ9" s="1837"/>
      <c r="BA9" s="1837"/>
      <c r="BB9" s="1837"/>
      <c r="BC9" s="1837"/>
      <c r="BD9" s="1837"/>
      <c r="BE9" s="1837"/>
      <c r="BI9" s="1841"/>
      <c r="BJ9" s="1842" t="s">
        <v>1475</v>
      </c>
      <c r="BK9" s="1842" t="s">
        <v>1476</v>
      </c>
      <c r="BL9" s="1842" t="s">
        <v>1467</v>
      </c>
      <c r="BM9" s="1854"/>
      <c r="BN9" s="1851"/>
      <c r="BO9" s="1851"/>
      <c r="BU9" s="1841"/>
      <c r="BV9" s="1842" t="s">
        <v>1475</v>
      </c>
      <c r="BW9" s="1842" t="s">
        <v>1476</v>
      </c>
      <c r="BX9" s="1842"/>
      <c r="BY9" s="1851"/>
      <c r="BZ9" s="1851"/>
      <c r="CA9" s="1851"/>
    </row>
    <row r="10" spans="1:83">
      <c r="A10" s="1838">
        <v>2000</v>
      </c>
      <c r="B10" s="1856">
        <v>24577</v>
      </c>
      <c r="C10" s="1837"/>
      <c r="D10" s="1837"/>
      <c r="E10" s="1837">
        <f t="shared" ref="E10:N10" si="3">ROUND($B$10/10,0)</f>
        <v>2458</v>
      </c>
      <c r="F10" s="1837">
        <f t="shared" si="3"/>
        <v>2458</v>
      </c>
      <c r="G10" s="1837">
        <f t="shared" si="3"/>
        <v>2458</v>
      </c>
      <c r="H10" s="1837">
        <f t="shared" si="3"/>
        <v>2458</v>
      </c>
      <c r="I10" s="1837">
        <f t="shared" si="3"/>
        <v>2458</v>
      </c>
      <c r="J10" s="1837">
        <f t="shared" si="3"/>
        <v>2458</v>
      </c>
      <c r="K10" s="1837">
        <f t="shared" si="3"/>
        <v>2458</v>
      </c>
      <c r="L10" s="1837">
        <f t="shared" si="3"/>
        <v>2458</v>
      </c>
      <c r="M10" s="1837">
        <f t="shared" si="3"/>
        <v>2458</v>
      </c>
      <c r="N10" s="1837">
        <f t="shared" si="3"/>
        <v>2458</v>
      </c>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f t="shared" si="2"/>
        <v>24580</v>
      </c>
      <c r="AP10" s="1838">
        <f>AP8+1</f>
        <v>2</v>
      </c>
      <c r="AQ10" s="996" t="s">
        <v>1477</v>
      </c>
      <c r="AR10" s="1765" t="s">
        <v>1473</v>
      </c>
      <c r="AS10" s="1837">
        <f>'G-2.09 NGL'!CB28</f>
        <v>1746671.47</v>
      </c>
      <c r="AU10" s="1857" t="s">
        <v>1478</v>
      </c>
      <c r="AV10" s="1837"/>
      <c r="AW10" s="1837"/>
      <c r="AX10" s="1837"/>
      <c r="AY10" s="1837"/>
      <c r="AZ10" s="1837"/>
      <c r="BA10" s="1837"/>
      <c r="BB10" s="1837"/>
      <c r="BC10" s="1837"/>
      <c r="BD10" s="1837"/>
      <c r="BE10" s="1837"/>
      <c r="BI10" s="1841"/>
      <c r="BJ10" s="1842" t="s">
        <v>1479</v>
      </c>
      <c r="BK10" s="1842" t="s">
        <v>1480</v>
      </c>
      <c r="BL10" s="1842" t="s">
        <v>1467</v>
      </c>
      <c r="BM10" s="1860">
        <v>0</v>
      </c>
      <c r="BN10" s="1851"/>
      <c r="BO10" s="1851"/>
      <c r="BU10" s="1841"/>
      <c r="BV10" s="1842" t="s">
        <v>1479</v>
      </c>
      <c r="BW10" s="1842" t="s">
        <v>1480</v>
      </c>
      <c r="BX10" s="1842"/>
      <c r="BY10" s="1860">
        <f>80027.55+26666.23</f>
        <v>106693.78</v>
      </c>
      <c r="BZ10" s="1851"/>
      <c r="CA10" s="1851"/>
      <c r="CB10" s="1861"/>
      <c r="CC10" s="1861"/>
    </row>
    <row r="11" spans="1:83">
      <c r="A11" s="1838">
        <v>2001</v>
      </c>
      <c r="B11" s="1856">
        <v>9684</v>
      </c>
      <c r="C11" s="1837"/>
      <c r="D11" s="1837"/>
      <c r="E11" s="1837"/>
      <c r="F11" s="1837">
        <f t="shared" ref="F11:O11" si="4">ROUND($B$11/10,0)</f>
        <v>968</v>
      </c>
      <c r="G11" s="1837">
        <f t="shared" si="4"/>
        <v>968</v>
      </c>
      <c r="H11" s="1837">
        <f t="shared" si="4"/>
        <v>968</v>
      </c>
      <c r="I11" s="1837">
        <f t="shared" si="4"/>
        <v>968</v>
      </c>
      <c r="J11" s="1837">
        <f t="shared" si="4"/>
        <v>968</v>
      </c>
      <c r="K11" s="1837">
        <f t="shared" si="4"/>
        <v>968</v>
      </c>
      <c r="L11" s="1837">
        <f t="shared" si="4"/>
        <v>968</v>
      </c>
      <c r="M11" s="1837">
        <f t="shared" si="4"/>
        <v>968</v>
      </c>
      <c r="N11" s="1837">
        <f t="shared" si="4"/>
        <v>968</v>
      </c>
      <c r="O11" s="1837">
        <f t="shared" si="4"/>
        <v>968</v>
      </c>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f t="shared" si="2"/>
        <v>9680</v>
      </c>
      <c r="AS11" s="1837"/>
      <c r="AU11" s="1857"/>
      <c r="AV11" s="1837"/>
      <c r="AW11" s="1837"/>
      <c r="AX11" s="1837"/>
      <c r="AY11" s="1837"/>
      <c r="AZ11" s="1837"/>
      <c r="BA11" s="1837"/>
      <c r="BB11" s="1837"/>
      <c r="BC11" s="1837"/>
      <c r="BD11" s="1837"/>
      <c r="BE11" s="1837"/>
      <c r="BI11" s="1841"/>
      <c r="BJ11" s="1842" t="s">
        <v>1481</v>
      </c>
      <c r="BK11" s="1842" t="s">
        <v>1482</v>
      </c>
      <c r="BL11" s="1842" t="s">
        <v>1467</v>
      </c>
      <c r="BM11" s="1862"/>
      <c r="BN11" s="1851"/>
      <c r="BO11" s="1851"/>
      <c r="BU11" s="1841"/>
      <c r="BV11" s="1842" t="s">
        <v>1481</v>
      </c>
      <c r="BW11" s="1842" t="s">
        <v>1482</v>
      </c>
      <c r="BX11" s="1842"/>
      <c r="BY11" s="1863"/>
      <c r="BZ11" s="1851"/>
      <c r="CA11" s="1851"/>
      <c r="CB11" s="1861"/>
      <c r="CC11" s="1864"/>
    </row>
    <row r="12" spans="1:83">
      <c r="A12" s="1838">
        <v>2002</v>
      </c>
      <c r="B12" s="1856">
        <v>108034</v>
      </c>
      <c r="C12" s="1837"/>
      <c r="D12" s="1837"/>
      <c r="E12" s="1837"/>
      <c r="F12" s="1837"/>
      <c r="G12" s="1837">
        <f t="shared" ref="G12:P12" si="5">ROUND($B$12/10,0)</f>
        <v>10803</v>
      </c>
      <c r="H12" s="1837">
        <f t="shared" si="5"/>
        <v>10803</v>
      </c>
      <c r="I12" s="1837">
        <f t="shared" si="5"/>
        <v>10803</v>
      </c>
      <c r="J12" s="1837">
        <f t="shared" si="5"/>
        <v>10803</v>
      </c>
      <c r="K12" s="1837">
        <f t="shared" si="5"/>
        <v>10803</v>
      </c>
      <c r="L12" s="1837">
        <f t="shared" si="5"/>
        <v>10803</v>
      </c>
      <c r="M12" s="1837">
        <f t="shared" si="5"/>
        <v>10803</v>
      </c>
      <c r="N12" s="1837">
        <f t="shared" si="5"/>
        <v>10803</v>
      </c>
      <c r="O12" s="1837">
        <f t="shared" si="5"/>
        <v>10803</v>
      </c>
      <c r="P12" s="1837">
        <f t="shared" si="5"/>
        <v>10803</v>
      </c>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f t="shared" si="2"/>
        <v>108030</v>
      </c>
      <c r="AP12" s="1838">
        <f>AP10+1</f>
        <v>3</v>
      </c>
      <c r="AR12" s="1765" t="s">
        <v>1483</v>
      </c>
      <c r="AS12" s="1837">
        <f>'G-2.09 NGL'!BP16</f>
        <v>0</v>
      </c>
      <c r="AU12" s="1857"/>
      <c r="AV12" s="1837"/>
      <c r="AW12" s="1837"/>
      <c r="AX12" s="1837"/>
      <c r="AY12" s="1837"/>
      <c r="AZ12" s="1837"/>
      <c r="BA12" s="1837"/>
      <c r="BB12" s="1837"/>
      <c r="BC12" s="1837"/>
      <c r="BD12" s="1837"/>
      <c r="BE12" s="1837"/>
      <c r="BI12" s="1841"/>
      <c r="BJ12" s="1842" t="s">
        <v>1484</v>
      </c>
      <c r="BK12" s="1842" t="s">
        <v>1485</v>
      </c>
      <c r="BL12" s="1842" t="s">
        <v>1467</v>
      </c>
      <c r="BM12" s="1865"/>
      <c r="BN12" s="1851"/>
      <c r="BO12" s="1851"/>
      <c r="BU12" s="1841"/>
      <c r="BV12" s="1842" t="s">
        <v>1484</v>
      </c>
      <c r="BW12" s="1842" t="s">
        <v>1485</v>
      </c>
      <c r="BX12" s="1842"/>
      <c r="BY12" s="1866">
        <v>3544724.92</v>
      </c>
      <c r="BZ12" s="1851"/>
      <c r="CA12" s="1851"/>
      <c r="CB12" s="1861"/>
      <c r="CC12" s="1861"/>
    </row>
    <row r="13" spans="1:83">
      <c r="A13" s="1838">
        <v>2003</v>
      </c>
      <c r="B13" s="1856">
        <v>-116425</v>
      </c>
      <c r="C13" s="1837"/>
      <c r="D13" s="1837"/>
      <c r="E13" s="1837"/>
      <c r="F13" s="1837"/>
      <c r="G13" s="1837"/>
      <c r="H13" s="1837">
        <f t="shared" ref="H13:Q13" si="6">ROUND($B$13/10,0)</f>
        <v>-11643</v>
      </c>
      <c r="I13" s="1837">
        <f t="shared" si="6"/>
        <v>-11643</v>
      </c>
      <c r="J13" s="1837">
        <f t="shared" si="6"/>
        <v>-11643</v>
      </c>
      <c r="K13" s="1837">
        <f t="shared" si="6"/>
        <v>-11643</v>
      </c>
      <c r="L13" s="1837">
        <f t="shared" si="6"/>
        <v>-11643</v>
      </c>
      <c r="M13" s="1837">
        <f t="shared" si="6"/>
        <v>-11643</v>
      </c>
      <c r="N13" s="1837">
        <f t="shared" si="6"/>
        <v>-11643</v>
      </c>
      <c r="O13" s="1837">
        <f t="shared" si="6"/>
        <v>-11643</v>
      </c>
      <c r="P13" s="1837">
        <f t="shared" si="6"/>
        <v>-11643</v>
      </c>
      <c r="Q13" s="1837">
        <f t="shared" si="6"/>
        <v>-11643</v>
      </c>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f t="shared" si="2"/>
        <v>-116430</v>
      </c>
      <c r="AP13" s="1838"/>
      <c r="AS13" s="1837"/>
      <c r="AT13" s="1837"/>
      <c r="AU13" s="1857"/>
      <c r="AV13" s="1837"/>
      <c r="AW13" s="1837"/>
      <c r="AX13" s="1837"/>
      <c r="AY13" s="1837"/>
      <c r="AZ13" s="1837"/>
      <c r="BA13" s="1837"/>
      <c r="BB13" s="1837"/>
      <c r="BC13" s="1837"/>
      <c r="BD13" s="1837"/>
      <c r="BE13" s="1837"/>
      <c r="BI13" s="1841"/>
      <c r="BJ13" s="1842" t="s">
        <v>1486</v>
      </c>
      <c r="BK13" s="1842" t="s">
        <v>1487</v>
      </c>
      <c r="BL13" s="1842" t="s">
        <v>1467</v>
      </c>
      <c r="BM13" s="1867"/>
      <c r="BN13" s="1851"/>
      <c r="BO13" s="1851"/>
      <c r="BU13" s="1841"/>
      <c r="BV13" s="1842" t="s">
        <v>1486</v>
      </c>
      <c r="BW13" s="1842" t="s">
        <v>1487</v>
      </c>
      <c r="BX13" s="1842"/>
      <c r="BY13" s="1868"/>
      <c r="BZ13" s="1851"/>
      <c r="CA13" s="1851"/>
      <c r="CB13" s="1861"/>
    </row>
    <row r="14" spans="1:83">
      <c r="A14" s="1838">
        <v>2004</v>
      </c>
      <c r="B14" s="1856">
        <v>110176</v>
      </c>
      <c r="C14" s="1837"/>
      <c r="D14" s="1837"/>
      <c r="E14" s="1837"/>
      <c r="F14" s="1837"/>
      <c r="G14" s="1837"/>
      <c r="H14" s="1837"/>
      <c r="I14" s="1837">
        <f t="shared" ref="I14:R14" si="7">ROUND($B$14/10,0)</f>
        <v>11018</v>
      </c>
      <c r="J14" s="1837">
        <f t="shared" si="7"/>
        <v>11018</v>
      </c>
      <c r="K14" s="1837">
        <f t="shared" si="7"/>
        <v>11018</v>
      </c>
      <c r="L14" s="1837">
        <f t="shared" si="7"/>
        <v>11018</v>
      </c>
      <c r="M14" s="1837">
        <f t="shared" si="7"/>
        <v>11018</v>
      </c>
      <c r="N14" s="1837">
        <f t="shared" si="7"/>
        <v>11018</v>
      </c>
      <c r="O14" s="1837">
        <f t="shared" si="7"/>
        <v>11018</v>
      </c>
      <c r="P14" s="1837">
        <f t="shared" si="7"/>
        <v>11018</v>
      </c>
      <c r="Q14" s="1837">
        <f t="shared" si="7"/>
        <v>11018</v>
      </c>
      <c r="R14" s="1837">
        <f t="shared" si="7"/>
        <v>11018</v>
      </c>
      <c r="S14" s="1837"/>
      <c r="T14" s="1837"/>
      <c r="U14" s="1837"/>
      <c r="V14" s="1837"/>
      <c r="W14" s="1837"/>
      <c r="X14" s="1837"/>
      <c r="Y14" s="1837"/>
      <c r="Z14" s="1837"/>
      <c r="AA14" s="1837"/>
      <c r="AB14" s="1837"/>
      <c r="AC14" s="1837"/>
      <c r="AD14" s="1837"/>
      <c r="AE14" s="1837"/>
      <c r="AF14" s="1837"/>
      <c r="AG14" s="1837"/>
      <c r="AH14" s="1837"/>
      <c r="AI14" s="1837"/>
      <c r="AJ14" s="1837"/>
      <c r="AK14" s="1837"/>
      <c r="AL14" s="1837">
        <f t="shared" si="2"/>
        <v>110180</v>
      </c>
      <c r="AP14" s="1838">
        <f>AP12+1</f>
        <v>4</v>
      </c>
      <c r="AR14" s="1765" t="s">
        <v>1483</v>
      </c>
      <c r="AS14" s="1837">
        <f>'G-2.09 NGL'!BP28</f>
        <v>0</v>
      </c>
      <c r="AT14" s="1837"/>
      <c r="AU14" s="1857"/>
      <c r="AV14" s="1837"/>
      <c r="AW14" s="1837"/>
      <c r="AX14" s="1837"/>
      <c r="AY14" s="1837"/>
      <c r="AZ14" s="1837"/>
      <c r="BA14" s="1837"/>
      <c r="BB14" s="1837"/>
      <c r="BC14" s="1837"/>
      <c r="BD14" s="1837"/>
      <c r="BE14" s="1837"/>
      <c r="BI14" s="1841"/>
      <c r="BJ14" s="1842" t="s">
        <v>1488</v>
      </c>
      <c r="BK14" s="1842" t="s">
        <v>1489</v>
      </c>
      <c r="BL14" s="1842" t="s">
        <v>1467</v>
      </c>
      <c r="BM14" s="1869"/>
      <c r="BN14" s="1851"/>
      <c r="BO14" s="1851"/>
      <c r="BU14" s="1841"/>
      <c r="BV14" s="1842" t="s">
        <v>1488</v>
      </c>
      <c r="BW14" s="1842" t="s">
        <v>1489</v>
      </c>
      <c r="BX14" s="1842"/>
      <c r="BY14" s="1869"/>
      <c r="BZ14" s="1851"/>
      <c r="CA14" s="1851"/>
      <c r="CB14" s="1861"/>
    </row>
    <row r="15" spans="1:83">
      <c r="A15" s="1838">
        <v>2005</v>
      </c>
      <c r="B15" s="1870">
        <v>244184</v>
      </c>
      <c r="C15" s="1837"/>
      <c r="D15" s="1837"/>
      <c r="E15" s="1837"/>
      <c r="F15" s="1837"/>
      <c r="G15" s="1837"/>
      <c r="H15" s="1837"/>
      <c r="I15" s="1837"/>
      <c r="J15" s="1837">
        <v>24418</v>
      </c>
      <c r="K15" s="1837">
        <v>24418</v>
      </c>
      <c r="L15" s="1837">
        <v>24418</v>
      </c>
      <c r="M15" s="1837">
        <v>24418</v>
      </c>
      <c r="N15" s="1837">
        <v>24418</v>
      </c>
      <c r="O15" s="1837">
        <v>24418</v>
      </c>
      <c r="P15" s="1837">
        <v>24418</v>
      </c>
      <c r="Q15" s="1837">
        <v>24418</v>
      </c>
      <c r="R15" s="1837">
        <v>24418</v>
      </c>
      <c r="S15" s="1837">
        <v>24418</v>
      </c>
      <c r="T15" s="1837"/>
      <c r="U15" s="1837"/>
      <c r="V15" s="1837"/>
      <c r="W15" s="1837"/>
      <c r="X15" s="1837"/>
      <c r="Y15" s="1837"/>
      <c r="Z15" s="1837"/>
      <c r="AA15" s="1837"/>
      <c r="AB15" s="1837"/>
      <c r="AC15" s="1837"/>
      <c r="AD15" s="1837"/>
      <c r="AE15" s="1837"/>
      <c r="AF15" s="1837"/>
      <c r="AG15" s="1837"/>
      <c r="AH15" s="1837"/>
      <c r="AI15" s="1837"/>
      <c r="AJ15" s="1837"/>
      <c r="AK15" s="1837"/>
      <c r="AL15" s="1837">
        <f>SUM(J15:AC15)</f>
        <v>244180</v>
      </c>
      <c r="AP15" s="1838"/>
      <c r="AS15" s="1837"/>
      <c r="AT15" s="1837"/>
      <c r="AU15" s="1857"/>
      <c r="AV15" s="1837"/>
      <c r="AW15" s="1837"/>
      <c r="AX15" s="1837"/>
      <c r="AY15" s="1837"/>
      <c r="AZ15" s="1837"/>
      <c r="BA15" s="1837"/>
      <c r="BB15" s="1837"/>
      <c r="BC15" s="1837"/>
      <c r="BD15" s="1837"/>
      <c r="BE15" s="1837"/>
      <c r="BI15" s="1841"/>
      <c r="BJ15" s="1842" t="s">
        <v>1490</v>
      </c>
      <c r="BK15" s="1842" t="s">
        <v>1491</v>
      </c>
      <c r="BL15" s="1842" t="s">
        <v>1467</v>
      </c>
      <c r="BM15" s="1871"/>
      <c r="BN15" s="1851"/>
      <c r="BO15" s="1851"/>
      <c r="BU15" s="1841"/>
      <c r="BV15" s="1842" t="s">
        <v>1490</v>
      </c>
      <c r="BW15" s="1842" t="s">
        <v>1491</v>
      </c>
      <c r="BX15" s="1842"/>
      <c r="BY15" s="1871"/>
      <c r="BZ15" s="1851"/>
      <c r="CA15" s="1851"/>
      <c r="CB15" s="1861"/>
    </row>
    <row r="16" spans="1:83">
      <c r="A16" s="1838">
        <v>2006</v>
      </c>
      <c r="B16" s="1870">
        <v>65410</v>
      </c>
      <c r="C16" s="1837"/>
      <c r="D16" s="1837"/>
      <c r="E16" s="1837"/>
      <c r="F16" s="1837"/>
      <c r="G16" s="1837"/>
      <c r="H16" s="1837"/>
      <c r="I16" s="1837"/>
      <c r="J16" s="1837"/>
      <c r="K16" s="1837">
        <v>6541</v>
      </c>
      <c r="L16" s="1837">
        <v>6541</v>
      </c>
      <c r="M16" s="1837">
        <v>6541</v>
      </c>
      <c r="N16" s="1837">
        <v>6541</v>
      </c>
      <c r="O16" s="1837">
        <v>6541</v>
      </c>
      <c r="P16" s="1837">
        <v>6541</v>
      </c>
      <c r="Q16" s="1837">
        <v>6541</v>
      </c>
      <c r="R16" s="1837">
        <v>6541</v>
      </c>
      <c r="S16" s="1837">
        <v>6541</v>
      </c>
      <c r="T16" s="1837">
        <v>6541</v>
      </c>
      <c r="U16" s="1837"/>
      <c r="V16" s="1837"/>
      <c r="W16" s="1837"/>
      <c r="X16" s="1837"/>
      <c r="Y16" s="1837"/>
      <c r="Z16" s="1837"/>
      <c r="AA16" s="1837"/>
      <c r="AB16" s="1837"/>
      <c r="AC16" s="1837"/>
      <c r="AD16" s="1837"/>
      <c r="AE16" s="1837"/>
      <c r="AF16" s="1837"/>
      <c r="AG16" s="1837"/>
      <c r="AH16" s="1837"/>
      <c r="AI16" s="1837"/>
      <c r="AJ16" s="1837"/>
      <c r="AK16" s="1837"/>
      <c r="AL16" s="1837">
        <f>SUM(J16:AC16)</f>
        <v>65410</v>
      </c>
      <c r="AP16" s="1838">
        <v>5</v>
      </c>
      <c r="AR16" s="1765" t="s">
        <v>1483</v>
      </c>
      <c r="AS16" s="1837">
        <f>'G-2.09 NGL'!BP40</f>
        <v>0</v>
      </c>
      <c r="AT16" s="1837"/>
      <c r="AV16" s="1837"/>
      <c r="AW16" s="1837"/>
      <c r="AX16" s="1837"/>
      <c r="AY16" s="1837"/>
      <c r="AZ16" s="1837"/>
      <c r="BA16" s="1837"/>
      <c r="BB16" s="1837"/>
      <c r="BC16" s="1837"/>
      <c r="BD16" s="1837"/>
      <c r="BE16" s="1837"/>
      <c r="BI16" s="1841"/>
      <c r="BJ16" s="1842" t="s">
        <v>1492</v>
      </c>
      <c r="BK16" s="1842" t="s">
        <v>1493</v>
      </c>
      <c r="BL16" s="1842" t="s">
        <v>110</v>
      </c>
      <c r="BM16" s="1872">
        <f>BM10-BM12</f>
        <v>0</v>
      </c>
      <c r="BN16" s="1851"/>
      <c r="BO16" s="1851"/>
      <c r="BP16" s="1873">
        <f>BM16</f>
        <v>0</v>
      </c>
      <c r="BQ16" s="1861"/>
      <c r="BR16" s="1874"/>
      <c r="BU16" s="1841"/>
      <c r="BV16" s="1842" t="s">
        <v>1492</v>
      </c>
      <c r="BW16" s="1842" t="s">
        <v>1493</v>
      </c>
      <c r="BX16" s="1842"/>
      <c r="BY16" s="1872">
        <f>+BY10-54117.94</f>
        <v>52575.839999999997</v>
      </c>
      <c r="BZ16" s="1851"/>
      <c r="CA16" s="1851"/>
      <c r="CB16" s="1873">
        <f>BY16</f>
        <v>52575.839999999997</v>
      </c>
      <c r="CC16" s="1861"/>
      <c r="CD16" s="1861"/>
      <c r="CE16" s="1864"/>
    </row>
    <row r="17" spans="1:81">
      <c r="A17" s="1838">
        <v>2007</v>
      </c>
      <c r="B17" s="1870">
        <v>166676</v>
      </c>
      <c r="C17" s="1837"/>
      <c r="D17" s="1837"/>
      <c r="E17" s="1837"/>
      <c r="F17" s="1837"/>
      <c r="G17" s="1837"/>
      <c r="H17" s="1837"/>
      <c r="I17" s="1837"/>
      <c r="J17" s="1837"/>
      <c r="K17" s="1837"/>
      <c r="L17" s="1837">
        <v>16668</v>
      </c>
      <c r="M17" s="1837">
        <v>16668</v>
      </c>
      <c r="N17" s="1837">
        <v>16668</v>
      </c>
      <c r="O17" s="1837">
        <v>16668</v>
      </c>
      <c r="P17" s="1837">
        <v>16668</v>
      </c>
      <c r="Q17" s="1837">
        <v>16668</v>
      </c>
      <c r="R17" s="1837">
        <v>16668</v>
      </c>
      <c r="S17" s="1837">
        <v>16668</v>
      </c>
      <c r="T17" s="1837">
        <v>16668</v>
      </c>
      <c r="U17" s="1837">
        <v>16668</v>
      </c>
      <c r="V17" s="1837"/>
      <c r="W17" s="1837"/>
      <c r="X17" s="1837"/>
      <c r="Y17" s="1837"/>
      <c r="Z17" s="1837"/>
      <c r="AA17" s="1837"/>
      <c r="AB17" s="1837"/>
      <c r="AC17" s="1837"/>
      <c r="AD17" s="1837"/>
      <c r="AE17" s="1837"/>
      <c r="AF17" s="1837"/>
      <c r="AG17" s="1837"/>
      <c r="AH17" s="1837"/>
      <c r="AI17" s="1837"/>
      <c r="AJ17" s="1837"/>
      <c r="AK17" s="1837"/>
      <c r="AL17" s="1837">
        <f>SUM(J17:AC17)</f>
        <v>166680</v>
      </c>
      <c r="AP17" s="1838"/>
      <c r="AS17" s="1837"/>
      <c r="AT17" s="1837"/>
      <c r="AV17" s="1837"/>
      <c r="AW17" s="1837"/>
      <c r="AX17" s="1837"/>
      <c r="AY17" s="1837"/>
      <c r="AZ17" s="1837"/>
      <c r="BA17" s="1837"/>
      <c r="BB17" s="1837"/>
      <c r="BC17" s="1837"/>
      <c r="BD17" s="1837"/>
      <c r="BE17" s="1837"/>
      <c r="BI17" s="1841"/>
      <c r="BJ17" s="1842"/>
      <c r="BK17" s="1842"/>
      <c r="BL17" s="1842"/>
      <c r="BM17" s="1851"/>
      <c r="BN17" s="1851"/>
      <c r="BO17" s="1851"/>
      <c r="BR17" s="1861"/>
      <c r="BU17" s="1841"/>
      <c r="BV17" s="1842"/>
      <c r="BW17" s="1842"/>
      <c r="BX17" s="1842"/>
      <c r="BY17" s="1851"/>
      <c r="BZ17" s="1851"/>
      <c r="CA17" s="1851"/>
    </row>
    <row r="18" spans="1:81">
      <c r="A18" s="1838">
        <v>2008</v>
      </c>
      <c r="B18" s="1870">
        <v>172857</v>
      </c>
      <c r="C18" s="1837"/>
      <c r="D18" s="1837"/>
      <c r="E18" s="1837"/>
      <c r="F18" s="1837"/>
      <c r="G18" s="1837"/>
      <c r="H18" s="1837"/>
      <c r="I18" s="1837"/>
      <c r="J18" s="1837"/>
      <c r="K18" s="1837"/>
      <c r="L18" s="1837"/>
      <c r="M18" s="1837">
        <v>17286</v>
      </c>
      <c r="N18" s="1837">
        <v>17286</v>
      </c>
      <c r="O18" s="1837">
        <v>17286</v>
      </c>
      <c r="P18" s="1837">
        <v>17286</v>
      </c>
      <c r="Q18" s="1837">
        <v>17286</v>
      </c>
      <c r="R18" s="1837">
        <v>17286</v>
      </c>
      <c r="S18" s="1837">
        <v>17286</v>
      </c>
      <c r="T18" s="1837">
        <v>17286</v>
      </c>
      <c r="U18" s="1837">
        <v>17286</v>
      </c>
      <c r="V18" s="1837">
        <v>17286</v>
      </c>
      <c r="W18" s="1837"/>
      <c r="X18" s="1837"/>
      <c r="Y18" s="1837"/>
      <c r="Z18" s="1837"/>
      <c r="AA18" s="1837"/>
      <c r="AB18" s="1837"/>
      <c r="AC18" s="1837"/>
      <c r="AD18" s="1837"/>
      <c r="AE18" s="1837"/>
      <c r="AF18" s="1837"/>
      <c r="AG18" s="1837"/>
      <c r="AH18" s="1837"/>
      <c r="AI18" s="1837"/>
      <c r="AJ18" s="1837"/>
      <c r="AK18" s="1837"/>
      <c r="AL18" s="1837">
        <f t="shared" ref="AL18:AL23" si="8">SUM(J18:AF18)</f>
        <v>172860</v>
      </c>
      <c r="AP18" s="1838">
        <v>6</v>
      </c>
      <c r="AR18" s="1765" t="s">
        <v>1483</v>
      </c>
      <c r="AS18" s="1875">
        <f>'G-2.09 NGL'!BP52</f>
        <v>0</v>
      </c>
      <c r="AT18" s="1875"/>
      <c r="AU18" s="1876"/>
      <c r="AV18" s="1875"/>
      <c r="AW18" s="1875"/>
      <c r="AX18" s="1875"/>
      <c r="AY18" s="1875"/>
      <c r="AZ18" s="1875"/>
      <c r="BA18" s="1875"/>
      <c r="BB18" s="1875"/>
      <c r="BC18" s="1875"/>
      <c r="BD18" s="1875"/>
      <c r="BE18" s="1837"/>
      <c r="BI18" s="1841" t="s">
        <v>1494</v>
      </c>
      <c r="BJ18" s="1842" t="s">
        <v>922</v>
      </c>
      <c r="BK18" s="1842" t="s">
        <v>1466</v>
      </c>
      <c r="BL18" s="1842"/>
      <c r="BM18" s="1852"/>
      <c r="BN18" s="1851"/>
      <c r="BO18" s="1851"/>
      <c r="BU18" s="1841" t="s">
        <v>1495</v>
      </c>
      <c r="BV18" s="1842" t="s">
        <v>922</v>
      </c>
      <c r="BW18" s="1842" t="s">
        <v>1466</v>
      </c>
      <c r="BX18" s="1842"/>
      <c r="BY18" s="1852" t="s">
        <v>1477</v>
      </c>
      <c r="BZ18" s="1851"/>
      <c r="CA18" s="1851"/>
    </row>
    <row r="19" spans="1:81">
      <c r="A19" s="1838">
        <v>2009</v>
      </c>
      <c r="B19" s="1870">
        <v>35772</v>
      </c>
      <c r="C19" s="1837"/>
      <c r="D19" s="1837"/>
      <c r="E19" s="1837"/>
      <c r="F19" s="1837"/>
      <c r="G19" s="1837"/>
      <c r="H19" s="1837"/>
      <c r="I19" s="1837"/>
      <c r="J19" s="1837"/>
      <c r="K19" s="1837"/>
      <c r="L19" s="1837"/>
      <c r="M19" s="1837"/>
      <c r="N19" s="1837">
        <v>3577</v>
      </c>
      <c r="O19" s="1837">
        <v>3577</v>
      </c>
      <c r="P19" s="1837">
        <v>3577</v>
      </c>
      <c r="Q19" s="1837">
        <v>3577</v>
      </c>
      <c r="R19" s="1837">
        <v>3577</v>
      </c>
      <c r="S19" s="1837">
        <v>3577</v>
      </c>
      <c r="T19" s="1837">
        <v>3577</v>
      </c>
      <c r="U19" s="1837">
        <v>3577</v>
      </c>
      <c r="V19" s="1837">
        <v>3577</v>
      </c>
      <c r="W19" s="1837">
        <v>3577</v>
      </c>
      <c r="X19" s="1837"/>
      <c r="Y19" s="1837"/>
      <c r="Z19" s="1837"/>
      <c r="AA19" s="1837"/>
      <c r="AB19" s="1837"/>
      <c r="AC19" s="1837"/>
      <c r="AD19" s="1837"/>
      <c r="AE19" s="1837"/>
      <c r="AF19" s="1837"/>
      <c r="AG19" s="1837"/>
      <c r="AH19" s="1837"/>
      <c r="AI19" s="1837"/>
      <c r="AJ19" s="1837"/>
      <c r="AK19" s="1837"/>
      <c r="AL19" s="1837">
        <f t="shared" si="8"/>
        <v>35770</v>
      </c>
      <c r="AP19" s="1838"/>
      <c r="AS19" s="1837"/>
      <c r="AT19" s="1837"/>
      <c r="AV19" s="1837"/>
      <c r="AW19" s="1837"/>
      <c r="AX19" s="1837"/>
      <c r="AY19" s="1837"/>
      <c r="AZ19" s="1837"/>
      <c r="BA19" s="1837"/>
      <c r="BB19" s="1837"/>
      <c r="BC19" s="1837"/>
      <c r="BD19" s="1837"/>
      <c r="BE19" s="1837"/>
      <c r="BI19" s="1841"/>
      <c r="BJ19" s="1842" t="s">
        <v>923</v>
      </c>
      <c r="BK19" s="1842" t="s">
        <v>1471</v>
      </c>
      <c r="BL19" s="1842"/>
      <c r="BM19" s="1855"/>
      <c r="BN19" s="1851"/>
      <c r="BO19" s="1851"/>
      <c r="BU19" s="1841"/>
      <c r="BV19" s="1842" t="s">
        <v>923</v>
      </c>
      <c r="BW19" s="1842" t="s">
        <v>1471</v>
      </c>
      <c r="BX19" s="1842"/>
      <c r="BY19" s="1851"/>
      <c r="BZ19" s="1851"/>
      <c r="CA19" s="1851"/>
    </row>
    <row r="20" spans="1:81">
      <c r="A20" s="1838">
        <v>2010</v>
      </c>
      <c r="B20" s="1870">
        <v>10483</v>
      </c>
      <c r="C20" s="1837"/>
      <c r="D20" s="1837"/>
      <c r="E20" s="1837"/>
      <c r="F20" s="1837"/>
      <c r="G20" s="1837"/>
      <c r="H20" s="1837"/>
      <c r="I20" s="1837"/>
      <c r="J20" s="1837"/>
      <c r="K20" s="1837"/>
      <c r="L20" s="1837"/>
      <c r="M20" s="1837"/>
      <c r="N20" s="1837"/>
      <c r="O20" s="1837">
        <v>1048</v>
      </c>
      <c r="P20" s="1837">
        <v>1048</v>
      </c>
      <c r="Q20" s="1837">
        <v>1048</v>
      </c>
      <c r="R20" s="1837">
        <v>1048</v>
      </c>
      <c r="S20" s="1837">
        <v>1048</v>
      </c>
      <c r="T20" s="1837">
        <v>1048</v>
      </c>
      <c r="U20" s="1837">
        <v>1048</v>
      </c>
      <c r="V20" s="1837">
        <v>1048</v>
      </c>
      <c r="W20" s="1837">
        <v>1048</v>
      </c>
      <c r="X20" s="1837">
        <v>1048</v>
      </c>
      <c r="Y20" s="1837"/>
      <c r="Z20" s="1837"/>
      <c r="AA20" s="1837"/>
      <c r="AB20" s="1837"/>
      <c r="AC20" s="1837"/>
      <c r="AD20" s="1837"/>
      <c r="AE20" s="1837"/>
      <c r="AF20" s="1837"/>
      <c r="AG20" s="1837"/>
      <c r="AH20" s="1837"/>
      <c r="AI20" s="1837"/>
      <c r="AJ20" s="1837"/>
      <c r="AK20" s="1837"/>
      <c r="AL20" s="1837">
        <f t="shared" si="8"/>
        <v>10480</v>
      </c>
      <c r="AP20" s="1877"/>
      <c r="AQ20" s="1184" t="s">
        <v>1496</v>
      </c>
      <c r="AR20" s="1878"/>
      <c r="AS20" s="1877">
        <f>SUM(AS8+AS10+AS12+AS14+AS16+AS18)</f>
        <v>1799247.31</v>
      </c>
      <c r="AT20" s="1877"/>
      <c r="AU20" s="1879"/>
      <c r="AV20" s="1877">
        <f>SUM(AV8:AV18)</f>
        <v>52576</v>
      </c>
      <c r="AW20" s="1877">
        <f>SUM(AW8:AW18)</f>
        <v>33858.944000000003</v>
      </c>
      <c r="AX20" s="1877">
        <f>SUM(AX8:AX18)</f>
        <v>18717.056</v>
      </c>
      <c r="AY20" s="1877"/>
      <c r="AZ20" s="1877">
        <f>SUM(AZ8:AZ18)</f>
        <v>0</v>
      </c>
      <c r="BA20" s="1877">
        <f>SUM(BA8:BA18)</f>
        <v>0</v>
      </c>
      <c r="BB20" s="1877">
        <f>SUM(BB8:BB18)</f>
        <v>0</v>
      </c>
      <c r="BC20" s="1880"/>
      <c r="BD20" s="1877">
        <f>SUM(BD8:BD18)</f>
        <v>0</v>
      </c>
      <c r="BE20" s="1877">
        <f>SUM(AV20,AZ20,BD20)</f>
        <v>52576</v>
      </c>
      <c r="BI20" s="1841"/>
      <c r="BJ20" s="1842" t="s">
        <v>924</v>
      </c>
      <c r="BK20" s="1842" t="s">
        <v>1474</v>
      </c>
      <c r="BL20" s="1842"/>
      <c r="BM20" s="1859"/>
      <c r="BN20" s="1851"/>
      <c r="BO20" s="1851"/>
      <c r="BU20" s="1841"/>
      <c r="BV20" s="1842" t="s">
        <v>924</v>
      </c>
      <c r="BW20" s="1842" t="s">
        <v>1474</v>
      </c>
      <c r="BX20" s="1842"/>
      <c r="BY20" s="1851"/>
      <c r="BZ20" s="1851"/>
      <c r="CA20" s="1851"/>
    </row>
    <row r="21" spans="1:81">
      <c r="A21" s="1838">
        <v>2011</v>
      </c>
      <c r="B21" s="1870">
        <v>-261</v>
      </c>
      <c r="C21" s="1837"/>
      <c r="D21" s="1837"/>
      <c r="E21" s="1837"/>
      <c r="F21" s="1837"/>
      <c r="G21" s="1837"/>
      <c r="H21" s="1837"/>
      <c r="I21" s="1837"/>
      <c r="J21" s="1837"/>
      <c r="K21" s="1837"/>
      <c r="L21" s="1837"/>
      <c r="M21" s="1837"/>
      <c r="N21" s="1837"/>
      <c r="O21" s="1837"/>
      <c r="P21" s="1837">
        <v>-26</v>
      </c>
      <c r="Q21" s="1837">
        <v>-26</v>
      </c>
      <c r="R21" s="1837">
        <v>-26</v>
      </c>
      <c r="S21" s="1837">
        <v>-26</v>
      </c>
      <c r="T21" s="1837">
        <v>-26</v>
      </c>
      <c r="U21" s="1837">
        <v>-26</v>
      </c>
      <c r="V21" s="1837">
        <v>-26</v>
      </c>
      <c r="W21" s="1837">
        <v>-26</v>
      </c>
      <c r="X21" s="1837">
        <v>-26</v>
      </c>
      <c r="Y21" s="1837">
        <v>-27</v>
      </c>
      <c r="Z21" s="1837"/>
      <c r="AA21" s="1837"/>
      <c r="AB21" s="1837"/>
      <c r="AC21" s="1837"/>
      <c r="AD21" s="1837"/>
      <c r="AE21" s="1837"/>
      <c r="AF21" s="1837"/>
      <c r="AG21" s="1837"/>
      <c r="AH21" s="1837"/>
      <c r="AI21" s="1837"/>
      <c r="AJ21" s="1837"/>
      <c r="AK21" s="1837"/>
      <c r="AL21" s="1837">
        <f t="shared" si="8"/>
        <v>-261</v>
      </c>
      <c r="AP21" s="1877"/>
      <c r="AQ21" s="1877"/>
      <c r="AR21" s="1878"/>
      <c r="AS21" s="1877"/>
      <c r="AT21" s="1877"/>
      <c r="AU21" s="1879"/>
      <c r="AV21" s="1877"/>
      <c r="AW21" s="1877"/>
      <c r="AX21" s="1877"/>
      <c r="AY21" s="1880"/>
      <c r="AZ21" s="1877"/>
      <c r="BA21" s="1877"/>
      <c r="BB21" s="1877"/>
      <c r="BC21" s="1880"/>
      <c r="BD21" s="1877"/>
      <c r="BE21" s="1877"/>
      <c r="BI21" s="1841"/>
      <c r="BJ21" s="1842" t="s">
        <v>1475</v>
      </c>
      <c r="BK21" s="1842" t="s">
        <v>1476</v>
      </c>
      <c r="BL21" s="1842"/>
      <c r="BM21" s="1851"/>
      <c r="BN21" s="1851"/>
      <c r="BO21" s="1851"/>
      <c r="BU21" s="1841"/>
      <c r="BV21" s="1842" t="s">
        <v>1475</v>
      </c>
      <c r="BW21" s="1842" t="s">
        <v>1476</v>
      </c>
      <c r="BX21" s="1842"/>
      <c r="BY21" s="1851"/>
      <c r="BZ21" s="1851"/>
      <c r="CA21" s="1851"/>
    </row>
    <row r="22" spans="1:81">
      <c r="A22" s="1838">
        <v>2012</v>
      </c>
      <c r="B22" s="1870">
        <v>0</v>
      </c>
      <c r="C22" s="1837"/>
      <c r="D22" s="1837"/>
      <c r="E22" s="1837"/>
      <c r="F22" s="1837"/>
      <c r="G22" s="1837"/>
      <c r="H22" s="1837"/>
      <c r="I22" s="1837"/>
      <c r="J22" s="1837"/>
      <c r="K22" s="1837"/>
      <c r="L22" s="1837"/>
      <c r="M22" s="1837"/>
      <c r="N22" s="1837"/>
      <c r="O22" s="1837"/>
      <c r="P22" s="1837"/>
      <c r="Q22" s="1837">
        <v>0</v>
      </c>
      <c r="R22" s="1837">
        <v>0</v>
      </c>
      <c r="S22" s="1837">
        <v>0</v>
      </c>
      <c r="T22" s="1837">
        <v>0</v>
      </c>
      <c r="U22" s="1837">
        <v>0</v>
      </c>
      <c r="V22" s="1837">
        <v>0</v>
      </c>
      <c r="W22" s="1837">
        <v>0</v>
      </c>
      <c r="X22" s="1837">
        <v>0</v>
      </c>
      <c r="Y22" s="1837">
        <v>0</v>
      </c>
      <c r="Z22" s="1837">
        <v>0</v>
      </c>
      <c r="AA22" s="1837">
        <v>0</v>
      </c>
      <c r="AB22" s="1837">
        <v>0</v>
      </c>
      <c r="AC22" s="1837"/>
      <c r="AD22" s="1837"/>
      <c r="AE22" s="1837"/>
      <c r="AF22" s="1837"/>
      <c r="AG22" s="1837"/>
      <c r="AH22" s="1837"/>
      <c r="AI22" s="1837"/>
      <c r="AJ22" s="1837"/>
      <c r="AK22" s="1837"/>
      <c r="AL22" s="1837">
        <f t="shared" si="8"/>
        <v>0</v>
      </c>
      <c r="AP22" s="1838"/>
      <c r="AS22" s="1881"/>
      <c r="AT22" s="1881"/>
      <c r="AU22" s="1840"/>
      <c r="AV22" s="1837"/>
      <c r="AW22" s="1837"/>
      <c r="AX22" s="1837"/>
      <c r="AY22" s="1837"/>
      <c r="AZ22" s="1837"/>
      <c r="BA22" s="1837"/>
      <c r="BB22" s="1837"/>
      <c r="BC22" s="1837"/>
      <c r="BD22" s="1837"/>
      <c r="BI22" s="1841"/>
      <c r="BJ22" s="1842" t="s">
        <v>1479</v>
      </c>
      <c r="BK22" s="1842" t="s">
        <v>1480</v>
      </c>
      <c r="BL22" s="1842"/>
      <c r="BM22" s="1882"/>
      <c r="BN22" s="1851"/>
      <c r="BO22" s="1851"/>
      <c r="BP22" s="1874"/>
      <c r="BU22" s="1841"/>
      <c r="BV22" s="1842" t="s">
        <v>1479</v>
      </c>
      <c r="BW22" s="1842" t="s">
        <v>1480</v>
      </c>
      <c r="BX22" s="1842"/>
      <c r="BY22" s="1860">
        <v>1787567.59</v>
      </c>
      <c r="BZ22" s="1851"/>
      <c r="CA22" s="1851"/>
      <c r="CB22" s="1861"/>
      <c r="CC22" s="1861"/>
    </row>
    <row r="23" spans="1:81">
      <c r="A23" s="1838">
        <v>2013</v>
      </c>
      <c r="B23" s="1870">
        <v>0</v>
      </c>
      <c r="C23" s="1837"/>
      <c r="D23" s="1837"/>
      <c r="E23" s="1837"/>
      <c r="F23" s="1837"/>
      <c r="G23" s="1837"/>
      <c r="H23" s="1837"/>
      <c r="I23" s="1837"/>
      <c r="J23" s="1837"/>
      <c r="K23" s="1837"/>
      <c r="L23" s="1837"/>
      <c r="M23" s="1837"/>
      <c r="N23" s="1837"/>
      <c r="O23" s="1837"/>
      <c r="P23" s="1837"/>
      <c r="Q23" s="1837"/>
      <c r="R23" s="1837">
        <v>0</v>
      </c>
      <c r="S23" s="1837">
        <v>0</v>
      </c>
      <c r="T23" s="1837">
        <v>0</v>
      </c>
      <c r="U23" s="1837">
        <v>0</v>
      </c>
      <c r="V23" s="1837">
        <v>0</v>
      </c>
      <c r="W23" s="1837">
        <v>0</v>
      </c>
      <c r="X23" s="1837">
        <v>0</v>
      </c>
      <c r="Y23" s="1837">
        <v>0</v>
      </c>
      <c r="Z23" s="1837">
        <v>0</v>
      </c>
      <c r="AA23" s="1837">
        <v>0</v>
      </c>
      <c r="AB23" s="1837">
        <v>0</v>
      </c>
      <c r="AC23" s="1837"/>
      <c r="AD23" s="1837"/>
      <c r="AE23" s="1837"/>
      <c r="AF23" s="1837"/>
      <c r="AG23" s="1837"/>
      <c r="AH23" s="1837"/>
      <c r="AI23" s="1837"/>
      <c r="AJ23" s="1837"/>
      <c r="AK23" s="1837"/>
      <c r="AL23" s="1837">
        <f t="shared" si="8"/>
        <v>0</v>
      </c>
      <c r="AP23" s="1838"/>
      <c r="AS23" s="1881"/>
      <c r="AT23" s="1881"/>
      <c r="AU23" s="1840"/>
      <c r="AV23" s="1837"/>
      <c r="AW23" s="1837"/>
      <c r="AX23" s="1837"/>
      <c r="AY23" s="1837"/>
      <c r="AZ23" s="1837"/>
      <c r="BA23" s="1837"/>
      <c r="BB23" s="1837"/>
      <c r="BC23" s="1837"/>
      <c r="BD23" s="1837"/>
      <c r="BI23" s="1841"/>
      <c r="BJ23" s="1842" t="s">
        <v>1481</v>
      </c>
      <c r="BK23" s="1842" t="s">
        <v>1482</v>
      </c>
      <c r="BL23" s="1842"/>
      <c r="BM23" s="1863"/>
      <c r="BN23" s="1851"/>
      <c r="BO23" s="1851"/>
      <c r="BU23" s="1841"/>
      <c r="BV23" s="1842" t="s">
        <v>1481</v>
      </c>
      <c r="BW23" s="1842" t="s">
        <v>1482</v>
      </c>
      <c r="BX23" s="1842"/>
      <c r="BY23" s="1863"/>
      <c r="BZ23" s="1851"/>
      <c r="CA23" s="1851"/>
      <c r="CB23" s="1861"/>
      <c r="CC23" s="1864"/>
    </row>
    <row r="24" spans="1:81">
      <c r="A24" s="1838">
        <v>2014</v>
      </c>
      <c r="B24" s="1870">
        <v>234733.7526336</v>
      </c>
      <c r="C24" s="1837"/>
      <c r="D24" s="1837"/>
      <c r="E24" s="1837"/>
      <c r="F24" s="1837"/>
      <c r="G24" s="1837"/>
      <c r="H24" s="1837"/>
      <c r="I24" s="1837"/>
      <c r="J24" s="1837"/>
      <c r="K24" s="1837"/>
      <c r="L24" s="1837"/>
      <c r="M24" s="1837"/>
      <c r="N24" s="1837"/>
      <c r="O24" s="1837"/>
      <c r="P24" s="1837"/>
      <c r="Q24" s="1837"/>
      <c r="R24" s="1837"/>
      <c r="S24" s="1837">
        <v>23473</v>
      </c>
      <c r="T24" s="1837">
        <v>23473</v>
      </c>
      <c r="U24" s="1837">
        <v>23473</v>
      </c>
      <c r="V24" s="1837">
        <v>23473</v>
      </c>
      <c r="W24" s="1837">
        <v>23473</v>
      </c>
      <c r="X24" s="1837">
        <v>23473</v>
      </c>
      <c r="Y24" s="1837">
        <v>23473</v>
      </c>
      <c r="Z24" s="1837">
        <v>23473</v>
      </c>
      <c r="AA24" s="1837">
        <v>23473</v>
      </c>
      <c r="AB24" s="1837">
        <v>23477</v>
      </c>
      <c r="AC24" s="1837"/>
      <c r="AD24" s="1837"/>
      <c r="AE24" s="1837"/>
      <c r="AF24" s="1837"/>
      <c r="AG24" s="1837"/>
      <c r="AH24" s="1837"/>
      <c r="AI24" s="1837"/>
      <c r="AJ24" s="1837"/>
      <c r="AK24" s="1837"/>
      <c r="AL24" s="1837">
        <f t="shared" ref="AL24:AL33" si="9">SUM(J24:AG24)</f>
        <v>234734</v>
      </c>
      <c r="AQ24" s="1883" t="s">
        <v>1497</v>
      </c>
      <c r="AR24" s="1850"/>
      <c r="AS24" s="1884"/>
      <c r="AT24" s="1884"/>
      <c r="BI24" s="1841"/>
      <c r="BJ24" s="1842" t="s">
        <v>1484</v>
      </c>
      <c r="BK24" s="1842" t="s">
        <v>1485</v>
      </c>
      <c r="BL24" s="1842"/>
      <c r="BM24" s="1866"/>
      <c r="BN24" s="1851"/>
      <c r="BO24" s="1851"/>
      <c r="BP24" s="1861"/>
      <c r="BU24" s="1841"/>
      <c r="BV24" s="1842" t="s">
        <v>1484</v>
      </c>
      <c r="BW24" s="1842" t="s">
        <v>1485</v>
      </c>
      <c r="BX24" s="1842"/>
      <c r="BY24" s="1866">
        <v>40896.120000000003</v>
      </c>
      <c r="BZ24" s="1851"/>
      <c r="CA24" s="1851"/>
      <c r="CB24" s="1861"/>
      <c r="CC24" s="1861"/>
    </row>
    <row r="25" spans="1:81">
      <c r="A25" s="1838">
        <v>2015</v>
      </c>
      <c r="B25" s="1870">
        <v>204354</v>
      </c>
      <c r="C25" s="1837"/>
      <c r="D25" s="1837"/>
      <c r="E25" s="1837"/>
      <c r="F25" s="1837"/>
      <c r="G25" s="1837"/>
      <c r="H25" s="1837"/>
      <c r="I25" s="1837"/>
      <c r="J25" s="1837"/>
      <c r="K25" s="1837"/>
      <c r="L25" s="1837"/>
      <c r="M25" s="1837"/>
      <c r="N25" s="1837"/>
      <c r="O25" s="1837"/>
      <c r="P25" s="1837"/>
      <c r="Q25" s="1837"/>
      <c r="R25" s="1837"/>
      <c r="S25" s="1837"/>
      <c r="T25" s="1837">
        <f t="shared" ref="T25:AC25" si="10">$B$25/10</f>
        <v>20435.400000000001</v>
      </c>
      <c r="U25" s="1837">
        <f t="shared" si="10"/>
        <v>20435.400000000001</v>
      </c>
      <c r="V25" s="1837">
        <f t="shared" si="10"/>
        <v>20435.400000000001</v>
      </c>
      <c r="W25" s="1837">
        <f t="shared" si="10"/>
        <v>20435.400000000001</v>
      </c>
      <c r="X25" s="1837">
        <f t="shared" si="10"/>
        <v>20435.400000000001</v>
      </c>
      <c r="Y25" s="1837">
        <f t="shared" si="10"/>
        <v>20435.400000000001</v>
      </c>
      <c r="Z25" s="1837">
        <f t="shared" si="10"/>
        <v>20435.400000000001</v>
      </c>
      <c r="AA25" s="1837">
        <f t="shared" si="10"/>
        <v>20435.400000000001</v>
      </c>
      <c r="AB25" s="1837">
        <f t="shared" si="10"/>
        <v>20435.400000000001</v>
      </c>
      <c r="AC25" s="1837">
        <f t="shared" si="10"/>
        <v>20435.400000000001</v>
      </c>
      <c r="AD25" s="1837"/>
      <c r="AE25" s="1837"/>
      <c r="AF25" s="1837"/>
      <c r="AG25" s="1837"/>
      <c r="AH25" s="1837"/>
      <c r="AI25" s="1837"/>
      <c r="AJ25" s="1837"/>
      <c r="AK25" s="1837"/>
      <c r="AL25" s="1837">
        <f t="shared" si="9"/>
        <v>204353.99999999997</v>
      </c>
      <c r="AQ25" s="996" t="s">
        <v>1498</v>
      </c>
      <c r="AS25" s="1884"/>
      <c r="AT25" s="1884"/>
      <c r="AV25" s="1885">
        <f>AW25+AX25</f>
        <v>1</v>
      </c>
      <c r="AW25" s="1886">
        <v>0.64400000000000002</v>
      </c>
      <c r="AX25" s="1886">
        <v>0.35599999999999998</v>
      </c>
      <c r="BI25" s="1841"/>
      <c r="BJ25" s="1842" t="s">
        <v>1486</v>
      </c>
      <c r="BK25" s="1842" t="s">
        <v>1487</v>
      </c>
      <c r="BL25" s="1842"/>
      <c r="BM25" s="1868"/>
      <c r="BN25" s="1851"/>
      <c r="BO25" s="1851"/>
      <c r="BU25" s="1841"/>
      <c r="BV25" s="1842" t="s">
        <v>1486</v>
      </c>
      <c r="BW25" s="1842" t="s">
        <v>1487</v>
      </c>
      <c r="BX25" s="1842"/>
      <c r="BY25" s="1868"/>
      <c r="BZ25" s="1851"/>
      <c r="CA25" s="1851"/>
      <c r="CB25" s="1861"/>
    </row>
    <row r="26" spans="1:81">
      <c r="A26" s="1838">
        <v>2016</v>
      </c>
      <c r="B26" s="1870">
        <v>120035.50865891398</v>
      </c>
      <c r="C26" s="1837"/>
      <c r="D26" s="1837"/>
      <c r="E26" s="1837"/>
      <c r="F26" s="1837"/>
      <c r="G26" s="1837"/>
      <c r="H26" s="1837"/>
      <c r="I26" s="1837"/>
      <c r="J26" s="1837"/>
      <c r="K26" s="1837"/>
      <c r="L26" s="1837"/>
      <c r="M26" s="1837"/>
      <c r="N26" s="1837"/>
      <c r="O26" s="1837"/>
      <c r="P26" s="1837"/>
      <c r="Q26" s="1837"/>
      <c r="R26" s="1837"/>
      <c r="S26" s="1837"/>
      <c r="T26" s="1837"/>
      <c r="U26" s="1837">
        <f t="shared" ref="U26:AD26" si="11">$B$26/10</f>
        <v>12003.550865891399</v>
      </c>
      <c r="V26" s="1837">
        <f t="shared" si="11"/>
        <v>12003.550865891399</v>
      </c>
      <c r="W26" s="1837">
        <f t="shared" si="11"/>
        <v>12003.550865891399</v>
      </c>
      <c r="X26" s="1837">
        <f t="shared" si="11"/>
        <v>12003.550865891399</v>
      </c>
      <c r="Y26" s="1837">
        <f t="shared" si="11"/>
        <v>12003.550865891399</v>
      </c>
      <c r="Z26" s="1837">
        <f t="shared" si="11"/>
        <v>12003.550865891399</v>
      </c>
      <c r="AA26" s="1837">
        <f t="shared" si="11"/>
        <v>12003.550865891399</v>
      </c>
      <c r="AB26" s="1837">
        <f t="shared" si="11"/>
        <v>12003.550865891399</v>
      </c>
      <c r="AC26" s="1837">
        <f t="shared" si="11"/>
        <v>12003.550865891399</v>
      </c>
      <c r="AD26" s="1837">
        <f t="shared" si="11"/>
        <v>12003.550865891399</v>
      </c>
      <c r="AE26" s="1837"/>
      <c r="AF26" s="1837"/>
      <c r="AG26" s="1837"/>
      <c r="AH26" s="1837"/>
      <c r="AI26" s="1837"/>
      <c r="AJ26" s="1837"/>
      <c r="AK26" s="1837"/>
      <c r="AL26" s="1837">
        <f t="shared" si="9"/>
        <v>120035.50865891401</v>
      </c>
      <c r="AQ26" s="996" t="s">
        <v>1499</v>
      </c>
      <c r="AS26" s="1884"/>
      <c r="AT26" s="1884"/>
      <c r="AV26" s="1887">
        <f>AW26+AX26</f>
        <v>1</v>
      </c>
      <c r="AW26" s="1886">
        <v>0.66942999999999997</v>
      </c>
      <c r="AX26" s="1886">
        <v>0.33056999999999997</v>
      </c>
      <c r="AZ26" s="1887">
        <f>SUM(BA26:BB26)</f>
        <v>1</v>
      </c>
      <c r="BA26" s="1886">
        <v>0.71745999999999999</v>
      </c>
      <c r="BB26" s="1886">
        <v>0.28254000000000001</v>
      </c>
      <c r="BD26" s="1887"/>
      <c r="BI26" s="1841"/>
      <c r="BJ26" s="1842" t="s">
        <v>1488</v>
      </c>
      <c r="BK26" s="1842" t="s">
        <v>1489</v>
      </c>
      <c r="BL26" s="1842"/>
      <c r="BM26" s="1869"/>
      <c r="BN26" s="1851"/>
      <c r="BO26" s="1851"/>
      <c r="BU26" s="1841"/>
      <c r="BV26" s="1842" t="s">
        <v>1488</v>
      </c>
      <c r="BW26" s="1842" t="s">
        <v>1489</v>
      </c>
      <c r="BX26" s="1842"/>
      <c r="BY26" s="1869"/>
      <c r="BZ26" s="1851"/>
      <c r="CA26" s="1851"/>
      <c r="CB26" s="1861"/>
    </row>
    <row r="27" spans="1:81">
      <c r="A27" s="1838">
        <v>2017</v>
      </c>
      <c r="B27" s="1870">
        <v>36793</v>
      </c>
      <c r="C27" s="1837"/>
      <c r="D27" s="1837"/>
      <c r="E27" s="1837"/>
      <c r="F27" s="1837"/>
      <c r="G27" s="1837"/>
      <c r="H27" s="1837"/>
      <c r="I27" s="1837"/>
      <c r="J27" s="1837"/>
      <c r="K27" s="1837"/>
      <c r="L27" s="1837"/>
      <c r="M27" s="1837"/>
      <c r="N27" s="1837"/>
      <c r="O27" s="1837"/>
      <c r="P27" s="1837"/>
      <c r="Q27" s="1837"/>
      <c r="R27" s="1837"/>
      <c r="S27" s="1837"/>
      <c r="T27" s="1837"/>
      <c r="U27" s="1837"/>
      <c r="V27" s="1837">
        <f t="shared" ref="V27:AE27" si="12">$B$27/10</f>
        <v>3679.3</v>
      </c>
      <c r="W27" s="1837">
        <f t="shared" si="12"/>
        <v>3679.3</v>
      </c>
      <c r="X27" s="1837">
        <f t="shared" si="12"/>
        <v>3679.3</v>
      </c>
      <c r="Y27" s="1837">
        <f t="shared" si="12"/>
        <v>3679.3</v>
      </c>
      <c r="Z27" s="1837">
        <f t="shared" si="12"/>
        <v>3679.3</v>
      </c>
      <c r="AA27" s="1837">
        <f t="shared" si="12"/>
        <v>3679.3</v>
      </c>
      <c r="AB27" s="1837">
        <f t="shared" si="12"/>
        <v>3679.3</v>
      </c>
      <c r="AC27" s="1837">
        <f t="shared" si="12"/>
        <v>3679.3</v>
      </c>
      <c r="AD27" s="1837">
        <f t="shared" si="12"/>
        <v>3679.3</v>
      </c>
      <c r="AE27" s="1837">
        <f t="shared" si="12"/>
        <v>3679.3</v>
      </c>
      <c r="AF27" s="1837"/>
      <c r="AG27" s="1837"/>
      <c r="AH27" s="1837"/>
      <c r="AI27" s="1837"/>
      <c r="AJ27" s="1837"/>
      <c r="AK27" s="1837"/>
      <c r="AL27" s="1837">
        <f t="shared" si="9"/>
        <v>36793</v>
      </c>
      <c r="AS27" s="1884"/>
      <c r="AT27" s="1884"/>
      <c r="AV27" s="1887"/>
      <c r="BI27" s="1841"/>
      <c r="BJ27" s="1842" t="s">
        <v>1490</v>
      </c>
      <c r="BK27" s="1842" t="s">
        <v>1491</v>
      </c>
      <c r="BL27" s="1842"/>
      <c r="BM27" s="1854"/>
      <c r="BN27" s="1851"/>
      <c r="BO27" s="1851"/>
      <c r="BU27" s="1841"/>
      <c r="BV27" s="1842" t="s">
        <v>1490</v>
      </c>
      <c r="BW27" s="1842" t="s">
        <v>1491</v>
      </c>
      <c r="BX27" s="1842"/>
      <c r="BY27" s="1854"/>
      <c r="BZ27" s="1851"/>
      <c r="CA27" s="1851"/>
      <c r="CB27" s="1861"/>
    </row>
    <row r="28" spans="1:81">
      <c r="A28" s="867">
        <v>2018</v>
      </c>
      <c r="B28" s="1888">
        <v>-15051.183274999999</v>
      </c>
      <c r="C28" s="477"/>
      <c r="D28" s="477"/>
      <c r="E28" s="477"/>
      <c r="F28" s="477"/>
      <c r="G28" s="477"/>
      <c r="H28" s="477"/>
      <c r="I28" s="477"/>
      <c r="J28" s="477"/>
      <c r="K28" s="477"/>
      <c r="L28" s="477"/>
      <c r="M28" s="477"/>
      <c r="N28" s="477"/>
      <c r="O28" s="477"/>
      <c r="P28" s="477"/>
      <c r="Q28" s="477"/>
      <c r="R28" s="477"/>
      <c r="S28" s="477"/>
      <c r="T28" s="477"/>
      <c r="U28" s="477"/>
      <c r="V28" s="477"/>
      <c r="W28" s="875">
        <f t="shared" ref="W28:AF28" si="13">ROUND($B$28/10,0)</f>
        <v>-1505</v>
      </c>
      <c r="X28" s="875">
        <f t="shared" si="13"/>
        <v>-1505</v>
      </c>
      <c r="Y28" s="875">
        <f t="shared" si="13"/>
        <v>-1505</v>
      </c>
      <c r="Z28" s="875">
        <f t="shared" si="13"/>
        <v>-1505</v>
      </c>
      <c r="AA28" s="875">
        <f t="shared" si="13"/>
        <v>-1505</v>
      </c>
      <c r="AB28" s="875">
        <f t="shared" si="13"/>
        <v>-1505</v>
      </c>
      <c r="AC28" s="875">
        <f t="shared" si="13"/>
        <v>-1505</v>
      </c>
      <c r="AD28" s="875">
        <f t="shared" si="13"/>
        <v>-1505</v>
      </c>
      <c r="AE28" s="875">
        <f t="shared" si="13"/>
        <v>-1505</v>
      </c>
      <c r="AF28" s="875">
        <f t="shared" si="13"/>
        <v>-1505</v>
      </c>
      <c r="AG28" s="875"/>
      <c r="AH28" s="875"/>
      <c r="AI28" s="875"/>
      <c r="AJ28" s="875"/>
      <c r="AK28" s="875"/>
      <c r="AL28" s="1837">
        <f t="shared" si="9"/>
        <v>-15050</v>
      </c>
      <c r="AQ28" s="996" t="s">
        <v>1500</v>
      </c>
      <c r="AR28" s="996"/>
      <c r="AS28" s="1885">
        <f>SUM(AV28:BD28)</f>
        <v>0.99999999999999989</v>
      </c>
      <c r="AU28" s="996"/>
      <c r="AV28" s="1889">
        <v>0.70111999999999997</v>
      </c>
      <c r="AW28" s="1890"/>
      <c r="AX28" s="1890"/>
      <c r="AY28" s="1890"/>
      <c r="AZ28" s="1890">
        <v>0.20707999999999999</v>
      </c>
      <c r="BA28" s="1890"/>
      <c r="BB28" s="1890"/>
      <c r="BC28" s="1891"/>
      <c r="BD28" s="1890">
        <v>9.1800000000000007E-2</v>
      </c>
      <c r="BI28" s="1841"/>
      <c r="BJ28" s="1842" t="s">
        <v>1492</v>
      </c>
      <c r="BK28" s="1842" t="s">
        <v>1493</v>
      </c>
      <c r="BL28" s="1842"/>
      <c r="BM28" s="1872">
        <f>BM22-BM24</f>
        <v>0</v>
      </c>
      <c r="BN28" s="1851"/>
      <c r="BO28" s="1851"/>
      <c r="BP28" s="1873">
        <f>BM28</f>
        <v>0</v>
      </c>
      <c r="BQ28" s="1892"/>
      <c r="BU28" s="1841"/>
      <c r="BV28" s="1842" t="s">
        <v>1492</v>
      </c>
      <c r="BW28" s="1842" t="s">
        <v>1493</v>
      </c>
      <c r="BX28" s="1842"/>
      <c r="BY28" s="1872">
        <f>BY22-BY24</f>
        <v>1746671.47</v>
      </c>
      <c r="BZ28" s="1851"/>
      <c r="CA28" s="1851"/>
      <c r="CB28" s="1873">
        <f>BY28</f>
        <v>1746671.47</v>
      </c>
      <c r="CC28" s="1893" t="s">
        <v>1501</v>
      </c>
    </row>
    <row r="29" spans="1:81">
      <c r="A29" s="1838">
        <v>2019</v>
      </c>
      <c r="B29" s="1870">
        <v>-9410</v>
      </c>
      <c r="C29" s="1837"/>
      <c r="D29" s="1837"/>
      <c r="E29" s="1837"/>
      <c r="F29" s="1837"/>
      <c r="G29" s="1837"/>
      <c r="H29" s="1837"/>
      <c r="I29" s="1837"/>
      <c r="J29" s="1837"/>
      <c r="K29" s="1837"/>
      <c r="L29" s="1837"/>
      <c r="M29" s="1837"/>
      <c r="N29" s="1837"/>
      <c r="O29" s="1837"/>
      <c r="P29" s="1837"/>
      <c r="Q29" s="1837"/>
      <c r="R29" s="1837"/>
      <c r="S29" s="1837"/>
      <c r="T29" s="1837"/>
      <c r="U29" s="1837"/>
      <c r="V29" s="1837"/>
      <c r="W29" s="1837"/>
      <c r="X29" s="1837">
        <f t="shared" ref="X29:AG29" si="14">$B$29/10</f>
        <v>-941</v>
      </c>
      <c r="Y29" s="1837">
        <f t="shared" si="14"/>
        <v>-941</v>
      </c>
      <c r="Z29" s="1837">
        <f t="shared" si="14"/>
        <v>-941</v>
      </c>
      <c r="AA29" s="1837">
        <f t="shared" si="14"/>
        <v>-941</v>
      </c>
      <c r="AB29" s="1837">
        <f t="shared" si="14"/>
        <v>-941</v>
      </c>
      <c r="AC29" s="1837">
        <f t="shared" si="14"/>
        <v>-941</v>
      </c>
      <c r="AD29" s="1837">
        <f t="shared" si="14"/>
        <v>-941</v>
      </c>
      <c r="AE29" s="1837">
        <f t="shared" si="14"/>
        <v>-941</v>
      </c>
      <c r="AF29" s="1837">
        <f t="shared" si="14"/>
        <v>-941</v>
      </c>
      <c r="AG29" s="1837">
        <f t="shared" si="14"/>
        <v>-941</v>
      </c>
      <c r="AH29" s="1837"/>
      <c r="AI29" s="1837"/>
      <c r="AJ29" s="1837"/>
      <c r="AK29" s="1837"/>
      <c r="AL29" s="1837">
        <f t="shared" si="9"/>
        <v>-9410</v>
      </c>
      <c r="AQ29" s="996" t="s">
        <v>1502</v>
      </c>
      <c r="AS29" s="1894">
        <f>SUM(AV29:AZ29)</f>
        <v>1</v>
      </c>
      <c r="AT29" s="1884"/>
      <c r="AV29" s="1886">
        <v>0.77144000000000001</v>
      </c>
      <c r="AW29" s="1886"/>
      <c r="AX29" s="1886"/>
      <c r="AY29" s="1886"/>
      <c r="AZ29" s="1886">
        <v>0.22856000000000001</v>
      </c>
      <c r="BI29" s="1841"/>
      <c r="BJ29" s="1842"/>
      <c r="BK29" s="1842"/>
      <c r="BL29" s="1842"/>
      <c r="BQ29" s="1861"/>
      <c r="BU29" s="1841"/>
      <c r="BV29" s="1842"/>
      <c r="BW29" s="1842"/>
      <c r="BX29" s="1842"/>
      <c r="BY29" s="1851"/>
      <c r="BZ29" s="1851"/>
      <c r="CA29" s="1851"/>
    </row>
    <row r="30" spans="1:81">
      <c r="A30" s="867">
        <v>2020</v>
      </c>
      <c r="B30" s="1870">
        <v>0</v>
      </c>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f t="shared" ref="Y30:AH30" si="15">$B$30/10</f>
        <v>0</v>
      </c>
      <c r="Z30" s="1837">
        <f t="shared" si="15"/>
        <v>0</v>
      </c>
      <c r="AA30" s="1837">
        <f t="shared" si="15"/>
        <v>0</v>
      </c>
      <c r="AB30" s="1837">
        <f t="shared" si="15"/>
        <v>0</v>
      </c>
      <c r="AC30" s="1837">
        <f t="shared" si="15"/>
        <v>0</v>
      </c>
      <c r="AD30" s="1837">
        <f t="shared" si="15"/>
        <v>0</v>
      </c>
      <c r="AE30" s="1837">
        <f t="shared" si="15"/>
        <v>0</v>
      </c>
      <c r="AF30" s="1837">
        <f t="shared" si="15"/>
        <v>0</v>
      </c>
      <c r="AG30" s="1837">
        <f t="shared" si="15"/>
        <v>0</v>
      </c>
      <c r="AH30" s="1837">
        <f t="shared" si="15"/>
        <v>0</v>
      </c>
      <c r="AI30" s="1837"/>
      <c r="AJ30" s="1837"/>
      <c r="AK30" s="1837"/>
      <c r="AL30" s="1837">
        <f t="shared" si="9"/>
        <v>0</v>
      </c>
      <c r="AS30" s="1884"/>
      <c r="AT30" s="1884"/>
      <c r="BI30" s="1841" t="s">
        <v>1468</v>
      </c>
      <c r="BJ30" s="1842" t="s">
        <v>922</v>
      </c>
      <c r="BK30" s="1842" t="s">
        <v>1466</v>
      </c>
      <c r="BL30" s="1842"/>
      <c r="BM30" s="1852"/>
      <c r="BN30" s="1851"/>
      <c r="BO30" s="1851"/>
      <c r="BU30" s="1841" t="s">
        <v>1503</v>
      </c>
      <c r="BV30" s="1842" t="s">
        <v>922</v>
      </c>
      <c r="BW30" s="1842" t="s">
        <v>1466</v>
      </c>
      <c r="BX30" s="1842"/>
      <c r="BY30" s="1852"/>
      <c r="BZ30" s="1851"/>
      <c r="CA30" s="1851"/>
    </row>
    <row r="31" spans="1:81">
      <c r="A31" s="1838">
        <v>2021</v>
      </c>
      <c r="B31" s="1870">
        <v>72497.976042384325</v>
      </c>
      <c r="C31" s="1837"/>
      <c r="D31" s="1837"/>
      <c r="E31" s="1837"/>
      <c r="F31" s="1837"/>
      <c r="G31" s="1837"/>
      <c r="H31" s="1837"/>
      <c r="I31" s="1837"/>
      <c r="J31" s="1837"/>
      <c r="K31" s="1837"/>
      <c r="L31" s="1837"/>
      <c r="M31" s="1837"/>
      <c r="N31" s="1837"/>
      <c r="O31" s="1837"/>
      <c r="P31" s="1837"/>
      <c r="Q31" s="1837"/>
      <c r="R31" s="1837"/>
      <c r="S31" s="1837"/>
      <c r="T31" s="1837"/>
      <c r="U31" s="1837"/>
      <c r="V31" s="1837"/>
      <c r="W31" s="1837"/>
      <c r="X31" s="1837"/>
      <c r="Y31" s="1837"/>
      <c r="Z31" s="1837">
        <f t="shared" ref="Z31:AI31" si="16">$B$31/10</f>
        <v>7249.7976042384325</v>
      </c>
      <c r="AA31" s="1837">
        <f t="shared" si="16"/>
        <v>7249.7976042384325</v>
      </c>
      <c r="AB31" s="1837">
        <f t="shared" si="16"/>
        <v>7249.7976042384325</v>
      </c>
      <c r="AC31" s="1837">
        <f t="shared" si="16"/>
        <v>7249.7976042384325</v>
      </c>
      <c r="AD31" s="1837">
        <f t="shared" si="16"/>
        <v>7249.7976042384325</v>
      </c>
      <c r="AE31" s="1837">
        <f t="shared" si="16"/>
        <v>7249.7976042384325</v>
      </c>
      <c r="AF31" s="1837">
        <f t="shared" si="16"/>
        <v>7249.7976042384325</v>
      </c>
      <c r="AG31" s="1837">
        <f t="shared" si="16"/>
        <v>7249.7976042384325</v>
      </c>
      <c r="AH31" s="1837">
        <f t="shared" si="16"/>
        <v>7249.7976042384325</v>
      </c>
      <c r="AI31" s="1837">
        <f t="shared" si="16"/>
        <v>7249.7976042384325</v>
      </c>
      <c r="AJ31" s="1837"/>
      <c r="AK31" s="1837"/>
      <c r="AL31" s="1837">
        <f t="shared" si="9"/>
        <v>57998.38083390746</v>
      </c>
      <c r="AS31" s="1884"/>
      <c r="AT31" s="1884"/>
      <c r="BI31" s="1841"/>
      <c r="BJ31" s="1842" t="s">
        <v>923</v>
      </c>
      <c r="BK31" s="1842" t="s">
        <v>1471</v>
      </c>
      <c r="BL31" s="1842"/>
      <c r="BM31" s="1855"/>
      <c r="BN31" s="1851"/>
      <c r="BO31" s="1851"/>
      <c r="BU31" s="1841"/>
      <c r="BV31" s="1842" t="s">
        <v>923</v>
      </c>
      <c r="BW31" s="1842" t="s">
        <v>1471</v>
      </c>
      <c r="BX31" s="1842"/>
      <c r="BY31" s="1851"/>
      <c r="BZ31" s="1851"/>
      <c r="CA31" s="1851"/>
    </row>
    <row r="32" spans="1:81">
      <c r="A32" s="1838">
        <v>2022</v>
      </c>
      <c r="B32" s="1870">
        <v>33859</v>
      </c>
      <c r="C32" s="1837"/>
      <c r="D32" s="1837"/>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f t="shared" ref="AA32:AJ32" si="17">$B$32/10</f>
        <v>3385.9</v>
      </c>
      <c r="AB32" s="1837">
        <f t="shared" si="17"/>
        <v>3385.9</v>
      </c>
      <c r="AC32" s="1837">
        <f t="shared" si="17"/>
        <v>3385.9</v>
      </c>
      <c r="AD32" s="1837">
        <f t="shared" si="17"/>
        <v>3385.9</v>
      </c>
      <c r="AE32" s="1837">
        <f t="shared" si="17"/>
        <v>3385.9</v>
      </c>
      <c r="AF32" s="1837">
        <f t="shared" si="17"/>
        <v>3385.9</v>
      </c>
      <c r="AG32" s="1837">
        <f t="shared" si="17"/>
        <v>3385.9</v>
      </c>
      <c r="AH32" s="1837">
        <f t="shared" si="17"/>
        <v>3385.9</v>
      </c>
      <c r="AI32" s="1837">
        <f t="shared" si="17"/>
        <v>3385.9</v>
      </c>
      <c r="AJ32" s="1837">
        <f t="shared" si="17"/>
        <v>3385.9</v>
      </c>
      <c r="AK32" s="1837"/>
      <c r="AL32" s="1837">
        <f t="shared" si="9"/>
        <v>23701.300000000003</v>
      </c>
      <c r="BI32" s="1841"/>
      <c r="BJ32" s="1842" t="s">
        <v>924</v>
      </c>
      <c r="BK32" s="1842" t="s">
        <v>1474</v>
      </c>
      <c r="BL32" s="1842"/>
      <c r="BM32" s="1859"/>
      <c r="BN32" s="1851"/>
      <c r="BO32" s="1851"/>
      <c r="BU32" s="1841"/>
      <c r="BV32" s="1842" t="s">
        <v>924</v>
      </c>
      <c r="BW32" s="1842" t="s">
        <v>1474</v>
      </c>
      <c r="BX32" s="1842"/>
      <c r="BY32" s="1851"/>
      <c r="BZ32" s="1851"/>
      <c r="CA32" s="1851"/>
    </row>
    <row r="33" spans="1:81">
      <c r="A33" s="1838">
        <v>2023</v>
      </c>
      <c r="B33" s="1870">
        <v>0</v>
      </c>
      <c r="C33" s="1837"/>
      <c r="D33" s="1837"/>
      <c r="E33" s="1837"/>
      <c r="F33" s="1837"/>
      <c r="G33" s="1837"/>
      <c r="H33" s="1837"/>
      <c r="I33" s="1837"/>
      <c r="J33" s="1837"/>
      <c r="K33" s="1837"/>
      <c r="L33" s="1837"/>
      <c r="M33" s="1837"/>
      <c r="N33" s="1837"/>
      <c r="O33" s="1837"/>
      <c r="P33" s="1837"/>
      <c r="Q33" s="1837"/>
      <c r="R33" s="1837"/>
      <c r="S33" s="1837"/>
      <c r="T33" s="1837"/>
      <c r="U33" s="1837"/>
      <c r="V33" s="1837"/>
      <c r="W33" s="1837"/>
      <c r="X33" s="1837"/>
      <c r="Y33" s="1837"/>
      <c r="Z33" s="1837"/>
      <c r="AA33" s="1837"/>
      <c r="AB33" s="1837">
        <f t="shared" ref="AB33:AK33" si="18">$B$33/10</f>
        <v>0</v>
      </c>
      <c r="AC33" s="1837">
        <f t="shared" si="18"/>
        <v>0</v>
      </c>
      <c r="AD33" s="1837">
        <f t="shared" si="18"/>
        <v>0</v>
      </c>
      <c r="AE33" s="1837">
        <f t="shared" si="18"/>
        <v>0</v>
      </c>
      <c r="AF33" s="1837">
        <f t="shared" si="18"/>
        <v>0</v>
      </c>
      <c r="AG33" s="1837">
        <f t="shared" si="18"/>
        <v>0</v>
      </c>
      <c r="AH33" s="1837">
        <f t="shared" si="18"/>
        <v>0</v>
      </c>
      <c r="AI33" s="1837">
        <f t="shared" si="18"/>
        <v>0</v>
      </c>
      <c r="AJ33" s="1837">
        <f t="shared" si="18"/>
        <v>0</v>
      </c>
      <c r="AK33" s="1837">
        <f t="shared" si="18"/>
        <v>0</v>
      </c>
      <c r="AL33" s="1837">
        <f t="shared" si="9"/>
        <v>0</v>
      </c>
      <c r="BI33" s="1841"/>
      <c r="BJ33" s="1842" t="s">
        <v>1475</v>
      </c>
      <c r="BK33" s="1842" t="s">
        <v>1476</v>
      </c>
      <c r="BL33" s="1842"/>
      <c r="BM33" s="1851"/>
      <c r="BN33" s="1851"/>
      <c r="BO33" s="1851"/>
      <c r="BU33" s="1841"/>
      <c r="BV33" s="1842" t="s">
        <v>1475</v>
      </c>
      <c r="BW33" s="1842" t="s">
        <v>1476</v>
      </c>
      <c r="BX33" s="1842"/>
      <c r="BY33" s="1851"/>
      <c r="BZ33" s="1851"/>
      <c r="CA33" s="1851"/>
    </row>
    <row r="34" spans="1:81" ht="13.5" thickBot="1">
      <c r="A34" s="996" t="s">
        <v>706</v>
      </c>
      <c r="B34" s="1895">
        <f>SUM(B8:B33)</f>
        <v>1944606.0540598982</v>
      </c>
      <c r="C34" s="1895">
        <f t="shared" ref="C34:K34" si="19">SUM(C8:C29)</f>
        <v>0</v>
      </c>
      <c r="D34" s="1895">
        <f t="shared" si="19"/>
        <v>43563</v>
      </c>
      <c r="E34" s="1895">
        <f t="shared" si="19"/>
        <v>46021</v>
      </c>
      <c r="F34" s="1895">
        <f t="shared" si="19"/>
        <v>46989</v>
      </c>
      <c r="G34" s="1895">
        <f t="shared" si="19"/>
        <v>57792</v>
      </c>
      <c r="H34" s="1895">
        <f t="shared" si="19"/>
        <v>46149</v>
      </c>
      <c r="I34" s="1895">
        <f t="shared" si="19"/>
        <v>57167</v>
      </c>
      <c r="J34" s="1895">
        <f t="shared" si="19"/>
        <v>81585</v>
      </c>
      <c r="K34" s="1895">
        <f t="shared" si="19"/>
        <v>88126</v>
      </c>
      <c r="L34" s="1895">
        <f t="shared" ref="L34:AL34" si="20">SUM(L8:L33)</f>
        <v>104794</v>
      </c>
      <c r="M34" s="1895">
        <f t="shared" si="20"/>
        <v>122080</v>
      </c>
      <c r="N34" s="1895">
        <f t="shared" si="20"/>
        <v>82094</v>
      </c>
      <c r="O34" s="1895">
        <f t="shared" si="20"/>
        <v>80684</v>
      </c>
      <c r="P34" s="1895">
        <f t="shared" si="20"/>
        <v>79690</v>
      </c>
      <c r="Q34" s="1895">
        <f t="shared" si="20"/>
        <v>68887</v>
      </c>
      <c r="R34" s="1895">
        <f t="shared" si="20"/>
        <v>80530</v>
      </c>
      <c r="S34" s="1895">
        <f t="shared" si="20"/>
        <v>92985</v>
      </c>
      <c r="T34" s="1895">
        <f t="shared" si="20"/>
        <v>89002.4</v>
      </c>
      <c r="U34" s="1895">
        <f t="shared" si="20"/>
        <v>94464.950865891398</v>
      </c>
      <c r="V34" s="1895">
        <f t="shared" si="20"/>
        <v>81476.250865891401</v>
      </c>
      <c r="W34" s="1895">
        <f t="shared" si="20"/>
        <v>62685.250865891401</v>
      </c>
      <c r="X34" s="1895">
        <f t="shared" si="20"/>
        <v>58167.250865891401</v>
      </c>
      <c r="Y34" s="1895">
        <f t="shared" si="20"/>
        <v>57118.250865891401</v>
      </c>
      <c r="Z34" s="1895">
        <f t="shared" si="20"/>
        <v>64395.048470129834</v>
      </c>
      <c r="AA34" s="1895">
        <f t="shared" si="20"/>
        <v>67780.948470129835</v>
      </c>
      <c r="AB34" s="1895">
        <f t="shared" si="20"/>
        <v>67784.948470129835</v>
      </c>
      <c r="AC34" s="1895">
        <f t="shared" si="20"/>
        <v>44307.948470129835</v>
      </c>
      <c r="AD34" s="1895">
        <f t="shared" si="20"/>
        <v>23872.548470129834</v>
      </c>
      <c r="AE34" s="1895">
        <f t="shared" si="20"/>
        <v>11868.997604238431</v>
      </c>
      <c r="AF34" s="1895">
        <f t="shared" si="20"/>
        <v>8189.6976042384322</v>
      </c>
      <c r="AG34" s="1895">
        <f t="shared" si="20"/>
        <v>9694.6976042384322</v>
      </c>
      <c r="AH34" s="1895">
        <f t="shared" si="20"/>
        <v>10635.697604238432</v>
      </c>
      <c r="AI34" s="1895">
        <f t="shared" si="20"/>
        <v>10635.697604238432</v>
      </c>
      <c r="AJ34" s="1895">
        <f t="shared" si="20"/>
        <v>3385.9</v>
      </c>
      <c r="AK34" s="1895">
        <f t="shared" si="20"/>
        <v>0</v>
      </c>
      <c r="AL34" s="1895">
        <f t="shared" si="20"/>
        <v>1919945.1894928215</v>
      </c>
      <c r="BI34" s="1841"/>
      <c r="BJ34" s="1842" t="s">
        <v>1479</v>
      </c>
      <c r="BK34" s="1842" t="s">
        <v>1480</v>
      </c>
      <c r="BL34" s="1842"/>
      <c r="BM34" s="1860"/>
      <c r="BN34" s="1851"/>
      <c r="BO34" s="1851"/>
      <c r="BP34" s="1861"/>
      <c r="BQ34" s="1861"/>
      <c r="BU34" s="1841"/>
      <c r="BV34" s="1842" t="s">
        <v>1479</v>
      </c>
      <c r="BW34" s="1842" t="s">
        <v>1480</v>
      </c>
      <c r="BX34" s="1842"/>
      <c r="BY34" s="1896"/>
      <c r="BZ34" s="1851"/>
      <c r="CA34" s="1851"/>
      <c r="CB34" s="1861"/>
    </row>
    <row r="35" spans="1:81">
      <c r="A35" s="996"/>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BI35" s="1841"/>
      <c r="BJ35" s="1842" t="s">
        <v>1481</v>
      </c>
      <c r="BK35" s="1842" t="s">
        <v>1482</v>
      </c>
      <c r="BL35" s="1842"/>
      <c r="BM35" s="1863"/>
      <c r="BN35" s="1851"/>
      <c r="BO35" s="1851"/>
      <c r="BP35" s="1861"/>
      <c r="BQ35" s="1864"/>
      <c r="BU35" s="1841"/>
      <c r="BV35" s="1842" t="s">
        <v>1481</v>
      </c>
      <c r="BW35" s="1842" t="s">
        <v>1482</v>
      </c>
      <c r="BX35" s="1842"/>
      <c r="BY35" s="1863"/>
      <c r="BZ35" s="1851"/>
      <c r="CA35" s="1851"/>
      <c r="CB35" s="1861"/>
    </row>
    <row r="36" spans="1:81">
      <c r="A36" s="996"/>
      <c r="B36" s="1837"/>
      <c r="C36" s="1837"/>
      <c r="D36" s="1837"/>
      <c r="E36" s="1837"/>
      <c r="F36" s="1837"/>
      <c r="G36" s="1837"/>
      <c r="H36" s="1837"/>
      <c r="I36" s="1837"/>
      <c r="J36" s="1837"/>
      <c r="K36" s="1837"/>
      <c r="L36" s="1897"/>
      <c r="M36" s="1897"/>
      <c r="N36" s="1897"/>
      <c r="O36" s="1897"/>
      <c r="P36" s="1897"/>
      <c r="Q36" s="1897">
        <v>44743</v>
      </c>
      <c r="R36" s="1897">
        <v>44774</v>
      </c>
      <c r="S36" s="1897">
        <v>44805</v>
      </c>
      <c r="T36" s="1897">
        <v>44835</v>
      </c>
      <c r="U36" s="1897">
        <v>44866</v>
      </c>
      <c r="V36" s="1897">
        <v>44896</v>
      </c>
      <c r="W36" s="1897">
        <v>44927</v>
      </c>
      <c r="X36" s="1897">
        <v>44958</v>
      </c>
      <c r="Y36" s="1897">
        <v>44986</v>
      </c>
      <c r="Z36" s="1897">
        <v>45017</v>
      </c>
      <c r="AA36" s="1897">
        <v>45047</v>
      </c>
      <c r="AB36" s="1897">
        <v>45078</v>
      </c>
      <c r="AC36" s="1898"/>
      <c r="AD36" s="1898"/>
      <c r="AE36" s="1898"/>
      <c r="AF36" s="1898"/>
      <c r="AG36" s="1898"/>
      <c r="AH36" s="1898"/>
      <c r="AI36" s="1898"/>
      <c r="AJ36" s="1898"/>
      <c r="AK36" s="1898"/>
      <c r="AL36" s="1898" t="s">
        <v>24</v>
      </c>
      <c r="BI36" s="1841"/>
      <c r="BJ36" s="1842" t="s">
        <v>1484</v>
      </c>
      <c r="BK36" s="1842" t="s">
        <v>1485</v>
      </c>
      <c r="BL36" s="1842"/>
      <c r="BM36" s="1866"/>
      <c r="BN36" s="1851"/>
      <c r="BO36" s="1851"/>
      <c r="BP36" s="1861"/>
      <c r="BQ36" s="1861"/>
      <c r="BU36" s="1841"/>
      <c r="BV36" s="1842" t="s">
        <v>1484</v>
      </c>
      <c r="BW36" s="1842" t="s">
        <v>1485</v>
      </c>
      <c r="BX36" s="1842"/>
      <c r="BY36" s="1868"/>
      <c r="BZ36" s="1851"/>
      <c r="CA36" s="1851"/>
      <c r="CB36" s="1861"/>
    </row>
    <row r="37" spans="1:81">
      <c r="A37" s="1184" t="s">
        <v>1504</v>
      </c>
      <c r="B37" s="1837"/>
      <c r="C37" s="1837"/>
      <c r="D37" s="1837"/>
      <c r="E37" s="1837"/>
      <c r="F37" s="1837"/>
      <c r="G37" s="1837"/>
      <c r="H37" s="1837"/>
      <c r="I37" s="1837"/>
      <c r="J37" s="1837"/>
      <c r="K37" s="1837"/>
      <c r="L37" s="1837"/>
      <c r="M37" s="1837"/>
      <c r="N37" s="1837"/>
      <c r="O37" s="1837"/>
      <c r="P37" s="1837"/>
      <c r="Q37" s="1837">
        <f t="shared" ref="Q37:V37" si="21">$AA$34/12</f>
        <v>5648.4123725108193</v>
      </c>
      <c r="R37" s="1837">
        <f t="shared" si="21"/>
        <v>5648.4123725108193</v>
      </c>
      <c r="S37" s="1837">
        <f t="shared" si="21"/>
        <v>5648.4123725108193</v>
      </c>
      <c r="T37" s="1837">
        <f t="shared" si="21"/>
        <v>5648.4123725108193</v>
      </c>
      <c r="U37" s="1837">
        <f t="shared" si="21"/>
        <v>5648.4123725108193</v>
      </c>
      <c r="V37" s="1837">
        <f t="shared" si="21"/>
        <v>5648.4123725108193</v>
      </c>
      <c r="W37" s="1837">
        <f t="shared" ref="W37:AB37" si="22">$AB$34/12</f>
        <v>5648.7457058441532</v>
      </c>
      <c r="X37" s="1837">
        <f t="shared" si="22"/>
        <v>5648.7457058441532</v>
      </c>
      <c r="Y37" s="1837">
        <f t="shared" si="22"/>
        <v>5648.7457058441532</v>
      </c>
      <c r="Z37" s="1837">
        <f t="shared" si="22"/>
        <v>5648.7457058441532</v>
      </c>
      <c r="AA37" s="1837">
        <f t="shared" si="22"/>
        <v>5648.7457058441532</v>
      </c>
      <c r="AB37" s="1837">
        <f t="shared" si="22"/>
        <v>5648.7457058441532</v>
      </c>
      <c r="AC37" s="1837"/>
      <c r="AD37" s="1837"/>
      <c r="AE37" s="1837"/>
      <c r="AF37" s="1837"/>
      <c r="AG37" s="1837"/>
      <c r="AH37" s="1837"/>
      <c r="AI37" s="1837"/>
      <c r="AJ37" s="1837"/>
      <c r="AK37" s="1837"/>
      <c r="AL37" s="1899">
        <f>SUM(Q37:AB37)</f>
        <v>67782.948470129821</v>
      </c>
      <c r="BI37" s="1841"/>
      <c r="BJ37" s="1842" t="s">
        <v>1486</v>
      </c>
      <c r="BK37" s="1842" t="s">
        <v>1487</v>
      </c>
      <c r="BL37" s="1842"/>
      <c r="BM37" s="1868"/>
      <c r="BN37" s="1851"/>
      <c r="BO37" s="1851"/>
      <c r="BP37" s="1861"/>
      <c r="BU37" s="1841"/>
      <c r="BV37" s="1842" t="s">
        <v>1486</v>
      </c>
      <c r="BW37" s="1842" t="s">
        <v>1487</v>
      </c>
      <c r="BX37" s="1842"/>
      <c r="BY37" s="1868"/>
      <c r="BZ37" s="1851"/>
      <c r="CA37" s="1851"/>
      <c r="CB37" s="1861"/>
    </row>
    <row r="38" spans="1:81">
      <c r="A38" s="996"/>
      <c r="B38" s="1837"/>
      <c r="C38" s="1837"/>
      <c r="D38" s="1837"/>
      <c r="E38" s="1837"/>
      <c r="F38" s="1837"/>
      <c r="G38" s="1837"/>
      <c r="H38" s="1837"/>
      <c r="I38" s="1837"/>
      <c r="J38" s="1837"/>
      <c r="K38" s="1837"/>
      <c r="L38" s="1837"/>
      <c r="M38" s="1837"/>
      <c r="N38" s="996"/>
      <c r="Q38" s="1837"/>
      <c r="R38" s="1837"/>
      <c r="S38" s="1837"/>
      <c r="T38" s="1900"/>
      <c r="U38" s="1837"/>
      <c r="V38" s="1837"/>
      <c r="W38" s="1837"/>
      <c r="X38" s="1837"/>
      <c r="Y38" s="1837"/>
      <c r="Z38" s="1837"/>
      <c r="AA38" s="1837"/>
      <c r="AB38" s="1837"/>
      <c r="AC38" s="1837"/>
      <c r="AD38" s="1837"/>
      <c r="AE38" s="1837"/>
      <c r="AF38" s="1837"/>
      <c r="AG38" s="1837"/>
      <c r="AH38" s="1837"/>
      <c r="AI38" s="1837"/>
      <c r="AJ38" s="1837"/>
      <c r="AK38" s="1837"/>
      <c r="AL38" s="1837"/>
      <c r="BI38" s="1841"/>
      <c r="BJ38" s="1842" t="s">
        <v>1488</v>
      </c>
      <c r="BK38" s="1842" t="s">
        <v>1489</v>
      </c>
      <c r="BL38" s="1842"/>
      <c r="BM38" s="1869"/>
      <c r="BN38" s="1851"/>
      <c r="BO38" s="1851"/>
      <c r="BP38" s="1861"/>
      <c r="BU38" s="1841"/>
      <c r="BV38" s="1842" t="s">
        <v>1488</v>
      </c>
      <c r="BW38" s="1842" t="s">
        <v>1489</v>
      </c>
      <c r="BX38" s="1842"/>
      <c r="BY38" s="1869"/>
      <c r="BZ38" s="1851"/>
      <c r="CA38" s="1851"/>
      <c r="CB38" s="1861"/>
    </row>
    <row r="39" spans="1:81">
      <c r="A39" s="996"/>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BI39" s="1841"/>
      <c r="BJ39" s="1842" t="s">
        <v>1490</v>
      </c>
      <c r="BK39" s="1842" t="s">
        <v>1491</v>
      </c>
      <c r="BL39" s="1842"/>
      <c r="BM39" s="1871"/>
      <c r="BN39" s="1851"/>
      <c r="BO39" s="1851"/>
      <c r="BP39" s="1861"/>
      <c r="BU39" s="1841"/>
      <c r="BV39" s="1842" t="s">
        <v>1490</v>
      </c>
      <c r="BW39" s="1842" t="s">
        <v>1491</v>
      </c>
      <c r="BX39" s="1842"/>
      <c r="BY39" s="1854"/>
      <c r="BZ39" s="1851"/>
      <c r="CA39" s="1851"/>
      <c r="CB39" s="1861"/>
    </row>
    <row r="40" spans="1:81">
      <c r="A40" s="1184" t="s">
        <v>78</v>
      </c>
      <c r="B40" s="996"/>
      <c r="C40" s="3944" t="s">
        <v>1463</v>
      </c>
      <c r="D40" s="3945"/>
      <c r="E40" s="3945"/>
      <c r="F40" s="3945"/>
      <c r="G40" s="3945"/>
      <c r="H40" s="3945"/>
      <c r="I40" s="3945"/>
      <c r="J40" s="3945"/>
      <c r="K40" s="3945"/>
      <c r="L40" s="3945"/>
      <c r="M40" s="3945"/>
      <c r="N40" s="3945"/>
      <c r="O40" s="3945"/>
      <c r="P40" s="3945"/>
      <c r="Q40" s="3945"/>
      <c r="R40" s="3945"/>
      <c r="S40" s="3945"/>
      <c r="T40" s="3945"/>
      <c r="U40" s="3945"/>
      <c r="V40" s="3945"/>
      <c r="W40" s="3945"/>
      <c r="X40" s="3945"/>
      <c r="Y40" s="3945"/>
      <c r="Z40" s="3945"/>
      <c r="AA40" s="3945"/>
      <c r="AB40" s="3945"/>
      <c r="AC40" s="1303"/>
      <c r="AD40" s="1303"/>
      <c r="AE40" s="1303"/>
      <c r="AF40" s="1303"/>
      <c r="AG40" s="1303"/>
      <c r="AH40" s="1303"/>
      <c r="AI40" s="1303"/>
      <c r="AJ40" s="1303"/>
      <c r="AK40" s="1303"/>
      <c r="AL40" s="996"/>
      <c r="BI40" s="1841"/>
      <c r="BJ40" s="1842" t="s">
        <v>1492</v>
      </c>
      <c r="BK40" s="1842" t="s">
        <v>1493</v>
      </c>
      <c r="BL40" s="1842"/>
      <c r="BM40" s="1872"/>
      <c r="BN40" s="1851"/>
      <c r="BO40" s="1851"/>
      <c r="BP40" s="1873">
        <f>BM40</f>
        <v>0</v>
      </c>
      <c r="BQ40" s="1861"/>
      <c r="BR40" s="1861"/>
      <c r="BU40" s="1841"/>
      <c r="BV40" s="1842" t="s">
        <v>1492</v>
      </c>
      <c r="BW40" s="1842" t="s">
        <v>1493</v>
      </c>
      <c r="BX40" s="1842"/>
      <c r="BY40" s="1901"/>
      <c r="BZ40" s="1851"/>
      <c r="CA40" s="1851"/>
      <c r="CB40" s="1873">
        <f>BY40</f>
        <v>0</v>
      </c>
      <c r="CC40" s="1892"/>
    </row>
    <row r="41" spans="1:81" ht="13.5" thickBot="1">
      <c r="A41" s="1853" t="s">
        <v>1291</v>
      </c>
      <c r="B41" s="1853" t="s">
        <v>1470</v>
      </c>
      <c r="C41" s="1853">
        <v>1998</v>
      </c>
      <c r="D41" s="1853">
        <v>1999</v>
      </c>
      <c r="E41" s="1853">
        <v>2000</v>
      </c>
      <c r="F41" s="1853">
        <v>2001</v>
      </c>
      <c r="G41" s="1853">
        <v>2002</v>
      </c>
      <c r="H41" s="1853">
        <v>2003</v>
      </c>
      <c r="I41" s="1853">
        <v>2004</v>
      </c>
      <c r="J41" s="1853">
        <v>2005</v>
      </c>
      <c r="K41" s="1853">
        <v>2006</v>
      </c>
      <c r="L41" s="1853">
        <v>2007</v>
      </c>
      <c r="M41" s="1853">
        <v>2008</v>
      </c>
      <c r="N41" s="1853">
        <v>2009</v>
      </c>
      <c r="O41" s="1853">
        <v>2010</v>
      </c>
      <c r="P41" s="1853">
        <v>2011</v>
      </c>
      <c r="Q41" s="1853">
        <v>2012</v>
      </c>
      <c r="R41" s="1853">
        <v>2013</v>
      </c>
      <c r="S41" s="1853">
        <v>2014</v>
      </c>
      <c r="T41" s="1853">
        <v>2015</v>
      </c>
      <c r="U41" s="1853">
        <v>2016</v>
      </c>
      <c r="V41" s="1853">
        <v>2017</v>
      </c>
      <c r="W41" s="1853">
        <v>2018</v>
      </c>
      <c r="X41" s="1853">
        <v>2019</v>
      </c>
      <c r="Y41" s="1853">
        <v>2020</v>
      </c>
      <c r="Z41" s="1853">
        <v>2021</v>
      </c>
      <c r="AA41" s="1853">
        <v>2022</v>
      </c>
      <c r="AB41" s="1853">
        <v>2023</v>
      </c>
      <c r="AC41" s="1853">
        <v>2024</v>
      </c>
      <c r="AD41" s="1853">
        <v>2025</v>
      </c>
      <c r="AE41" s="1853">
        <v>2026</v>
      </c>
      <c r="AF41" s="1853">
        <v>2027</v>
      </c>
      <c r="AG41" s="1853">
        <v>2028</v>
      </c>
      <c r="AH41" s="1853">
        <v>2029</v>
      </c>
      <c r="AI41" s="1853">
        <v>2030</v>
      </c>
      <c r="AJ41" s="1853">
        <v>2031</v>
      </c>
      <c r="AK41" s="1853">
        <v>2032</v>
      </c>
      <c r="AL41" s="1853" t="s">
        <v>198</v>
      </c>
      <c r="BI41" s="1841"/>
      <c r="BJ41" s="1842"/>
      <c r="BK41" s="1842"/>
      <c r="BL41" s="1842"/>
      <c r="BM41" s="1851"/>
      <c r="BN41" s="1851"/>
      <c r="BO41" s="1851"/>
      <c r="BU41" s="1841"/>
      <c r="BV41" s="1842"/>
      <c r="BW41" s="1842"/>
      <c r="BX41" s="1842"/>
      <c r="BY41" s="1851"/>
      <c r="BZ41" s="1851"/>
      <c r="CA41" s="1851"/>
    </row>
    <row r="42" spans="1:81">
      <c r="A42" s="1902">
        <v>1998</v>
      </c>
      <c r="B42" s="1903">
        <v>0</v>
      </c>
      <c r="C42" s="1904">
        <v>0</v>
      </c>
      <c r="D42" s="1904">
        <v>0</v>
      </c>
      <c r="E42" s="1904">
        <v>0</v>
      </c>
      <c r="F42" s="1904">
        <v>0</v>
      </c>
      <c r="G42" s="1904">
        <v>0</v>
      </c>
      <c r="H42" s="1904">
        <v>0</v>
      </c>
      <c r="I42" s="1904">
        <v>0</v>
      </c>
      <c r="J42" s="1904">
        <v>0</v>
      </c>
      <c r="K42" s="1904">
        <v>0</v>
      </c>
      <c r="L42" s="1904">
        <v>0</v>
      </c>
      <c r="M42" s="1904"/>
      <c r="N42" s="1904"/>
      <c r="O42" s="1904"/>
      <c r="P42" s="1904"/>
      <c r="Q42" s="1904"/>
      <c r="R42" s="1904"/>
      <c r="S42" s="1904"/>
      <c r="T42" s="1904"/>
      <c r="U42" s="1904"/>
      <c r="V42" s="1904"/>
      <c r="W42" s="1904"/>
      <c r="X42" s="1904"/>
      <c r="Y42" s="1904"/>
      <c r="Z42" s="1904"/>
      <c r="AA42" s="1904"/>
      <c r="AB42" s="1904"/>
      <c r="AC42" s="1904"/>
      <c r="AD42" s="1904"/>
      <c r="AE42" s="1904"/>
      <c r="AF42" s="1904"/>
      <c r="AG42" s="1904"/>
      <c r="AH42" s="1904"/>
      <c r="AI42" s="1904"/>
      <c r="AJ42" s="1904"/>
      <c r="AK42" s="1904"/>
      <c r="AL42" s="1837">
        <f>SUM(C42:Y42)</f>
        <v>0</v>
      </c>
      <c r="BI42" s="1841" t="s">
        <v>1495</v>
      </c>
      <c r="BJ42" s="1842" t="s">
        <v>922</v>
      </c>
      <c r="BK42" s="1842" t="s">
        <v>1466</v>
      </c>
      <c r="BL42" s="1842"/>
      <c r="BM42" s="1852"/>
      <c r="BN42" s="1851"/>
      <c r="BO42" s="1851"/>
      <c r="BU42" s="1841" t="s">
        <v>1505</v>
      </c>
      <c r="BV42" s="1842" t="s">
        <v>922</v>
      </c>
      <c r="BW42" s="1842" t="s">
        <v>1466</v>
      </c>
      <c r="BX42" s="1842"/>
      <c r="BY42" s="1852"/>
      <c r="BZ42" s="1851"/>
      <c r="CA42" s="1851"/>
    </row>
    <row r="43" spans="1:81">
      <c r="A43" s="1902">
        <v>1999</v>
      </c>
      <c r="B43" s="1903">
        <v>94593</v>
      </c>
      <c r="C43" s="1904"/>
      <c r="D43" s="1837">
        <f t="shared" ref="D43:M43" si="23">ROUND($B$43/10,0)</f>
        <v>9459</v>
      </c>
      <c r="E43" s="1837">
        <f t="shared" si="23"/>
        <v>9459</v>
      </c>
      <c r="F43" s="1837">
        <f t="shared" si="23"/>
        <v>9459</v>
      </c>
      <c r="G43" s="1837">
        <f t="shared" si="23"/>
        <v>9459</v>
      </c>
      <c r="H43" s="1837">
        <f t="shared" si="23"/>
        <v>9459</v>
      </c>
      <c r="I43" s="1837">
        <f t="shared" si="23"/>
        <v>9459</v>
      </c>
      <c r="J43" s="1837">
        <f t="shared" si="23"/>
        <v>9459</v>
      </c>
      <c r="K43" s="1837">
        <f t="shared" si="23"/>
        <v>9459</v>
      </c>
      <c r="L43" s="1837">
        <f t="shared" si="23"/>
        <v>9459</v>
      </c>
      <c r="M43" s="1837">
        <f t="shared" si="23"/>
        <v>9459</v>
      </c>
      <c r="N43" s="1904"/>
      <c r="O43" s="1904"/>
      <c r="P43" s="1904"/>
      <c r="Q43" s="1904"/>
      <c r="R43" s="1904"/>
      <c r="S43" s="1904"/>
      <c r="T43" s="1904"/>
      <c r="U43" s="1904"/>
      <c r="V43" s="1904"/>
      <c r="W43" s="1904"/>
      <c r="X43" s="1904"/>
      <c r="Y43" s="1904"/>
      <c r="Z43" s="1904"/>
      <c r="AA43" s="1904"/>
      <c r="AB43" s="1904"/>
      <c r="AC43" s="1904"/>
      <c r="AD43" s="1904"/>
      <c r="AE43" s="1904"/>
      <c r="AF43" s="1904"/>
      <c r="AG43" s="1904"/>
      <c r="AH43" s="1904"/>
      <c r="AI43" s="1904"/>
      <c r="AJ43" s="1904"/>
      <c r="AK43" s="1904"/>
      <c r="AL43" s="1837">
        <f t="shared" ref="AL43:AL48" si="24">SUM(D43:Y43)</f>
        <v>94590</v>
      </c>
      <c r="BI43" s="1841"/>
      <c r="BJ43" s="1842" t="s">
        <v>923</v>
      </c>
      <c r="BK43" s="1842" t="s">
        <v>1471</v>
      </c>
      <c r="BL43" s="1842"/>
      <c r="BM43" s="1851"/>
      <c r="BN43" s="1851"/>
      <c r="BO43" s="1851"/>
      <c r="BU43" s="1841"/>
      <c r="BV43" s="1842" t="s">
        <v>923</v>
      </c>
      <c r="BW43" s="1842" t="s">
        <v>1471</v>
      </c>
      <c r="BX43" s="1842"/>
      <c r="BY43" s="1851"/>
      <c r="BZ43" s="1851"/>
      <c r="CA43" s="1851"/>
    </row>
    <row r="44" spans="1:81">
      <c r="A44" s="1902">
        <v>2000</v>
      </c>
      <c r="B44" s="1903">
        <v>7096</v>
      </c>
      <c r="C44" s="1904"/>
      <c r="D44" s="1904"/>
      <c r="E44" s="1837">
        <f t="shared" ref="E44:N44" si="25">ROUND($B$44/10,0)</f>
        <v>710</v>
      </c>
      <c r="F44" s="1837">
        <f t="shared" si="25"/>
        <v>710</v>
      </c>
      <c r="G44" s="1837">
        <f t="shared" si="25"/>
        <v>710</v>
      </c>
      <c r="H44" s="1837">
        <f t="shared" si="25"/>
        <v>710</v>
      </c>
      <c r="I44" s="1837">
        <f t="shared" si="25"/>
        <v>710</v>
      </c>
      <c r="J44" s="1837">
        <f t="shared" si="25"/>
        <v>710</v>
      </c>
      <c r="K44" s="1837">
        <f t="shared" si="25"/>
        <v>710</v>
      </c>
      <c r="L44" s="1837">
        <f t="shared" si="25"/>
        <v>710</v>
      </c>
      <c r="M44" s="1837">
        <f t="shared" si="25"/>
        <v>710</v>
      </c>
      <c r="N44" s="1837">
        <f t="shared" si="25"/>
        <v>710</v>
      </c>
      <c r="O44" s="1904"/>
      <c r="P44" s="1904"/>
      <c r="Q44" s="1904"/>
      <c r="R44" s="1904"/>
      <c r="S44" s="1904"/>
      <c r="T44" s="1904"/>
      <c r="U44" s="1904"/>
      <c r="V44" s="1904"/>
      <c r="W44" s="1904"/>
      <c r="X44" s="1904"/>
      <c r="Y44" s="1904"/>
      <c r="Z44" s="1904"/>
      <c r="AA44" s="1904"/>
      <c r="AB44" s="1904"/>
      <c r="AC44" s="1904"/>
      <c r="AD44" s="1904"/>
      <c r="AE44" s="1904"/>
      <c r="AF44" s="1904"/>
      <c r="AG44" s="1904"/>
      <c r="AH44" s="1904"/>
      <c r="AI44" s="1904"/>
      <c r="AJ44" s="1904"/>
      <c r="AK44" s="1904"/>
      <c r="AL44" s="1837">
        <f t="shared" si="24"/>
        <v>7100</v>
      </c>
      <c r="BI44" s="1841"/>
      <c r="BJ44" s="1842" t="s">
        <v>924</v>
      </c>
      <c r="BK44" s="1842" t="s">
        <v>1474</v>
      </c>
      <c r="BL44" s="1842"/>
      <c r="BM44" s="1851"/>
      <c r="BN44" s="1851"/>
      <c r="BO44" s="1851"/>
      <c r="BU44" s="1841"/>
      <c r="BV44" s="1842" t="s">
        <v>924</v>
      </c>
      <c r="BW44" s="1842" t="s">
        <v>1474</v>
      </c>
      <c r="BX44" s="1842"/>
      <c r="BY44" s="1851"/>
      <c r="BZ44" s="1851"/>
      <c r="CA44" s="1851"/>
    </row>
    <row r="45" spans="1:81">
      <c r="A45" s="1902">
        <v>2001</v>
      </c>
      <c r="B45" s="1903">
        <v>3918</v>
      </c>
      <c r="C45" s="1904"/>
      <c r="D45" s="1904"/>
      <c r="E45" s="1904"/>
      <c r="F45" s="1837">
        <f t="shared" ref="F45:O45" si="26">ROUND($B$45/10,0)</f>
        <v>392</v>
      </c>
      <c r="G45" s="1837">
        <f t="shared" si="26"/>
        <v>392</v>
      </c>
      <c r="H45" s="1837">
        <f t="shared" si="26"/>
        <v>392</v>
      </c>
      <c r="I45" s="1837">
        <f t="shared" si="26"/>
        <v>392</v>
      </c>
      <c r="J45" s="1837">
        <f t="shared" si="26"/>
        <v>392</v>
      </c>
      <c r="K45" s="1837">
        <f t="shared" si="26"/>
        <v>392</v>
      </c>
      <c r="L45" s="1837">
        <f t="shared" si="26"/>
        <v>392</v>
      </c>
      <c r="M45" s="1837">
        <f t="shared" si="26"/>
        <v>392</v>
      </c>
      <c r="N45" s="1837">
        <f t="shared" si="26"/>
        <v>392</v>
      </c>
      <c r="O45" s="1837">
        <f t="shared" si="26"/>
        <v>392</v>
      </c>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837">
        <f t="shared" si="24"/>
        <v>3920</v>
      </c>
      <c r="BI45" s="1841"/>
      <c r="BJ45" s="1842" t="s">
        <v>1475</v>
      </c>
      <c r="BK45" s="1842" t="s">
        <v>1476</v>
      </c>
      <c r="BL45" s="1842"/>
      <c r="BM45" s="1851"/>
      <c r="BN45" s="1851"/>
      <c r="BO45" s="1851"/>
      <c r="BU45" s="1841"/>
      <c r="BV45" s="1842" t="s">
        <v>1475</v>
      </c>
      <c r="BW45" s="1842" t="s">
        <v>1476</v>
      </c>
      <c r="BX45" s="1842"/>
      <c r="BY45" s="1851"/>
      <c r="BZ45" s="1851"/>
      <c r="CA45" s="1851"/>
    </row>
    <row r="46" spans="1:81">
      <c r="A46" s="1902">
        <v>2002</v>
      </c>
      <c r="B46" s="1903">
        <v>25315</v>
      </c>
      <c r="C46" s="1904"/>
      <c r="D46" s="1904"/>
      <c r="E46" s="1904"/>
      <c r="F46" s="1904"/>
      <c r="G46" s="1837">
        <f t="shared" ref="G46:P46" si="27">ROUND($B$46/10,0)</f>
        <v>2532</v>
      </c>
      <c r="H46" s="1837">
        <f t="shared" si="27"/>
        <v>2532</v>
      </c>
      <c r="I46" s="1837">
        <f t="shared" si="27"/>
        <v>2532</v>
      </c>
      <c r="J46" s="1837">
        <f t="shared" si="27"/>
        <v>2532</v>
      </c>
      <c r="K46" s="1837">
        <f t="shared" si="27"/>
        <v>2532</v>
      </c>
      <c r="L46" s="1837">
        <f t="shared" si="27"/>
        <v>2532</v>
      </c>
      <c r="M46" s="1837">
        <f t="shared" si="27"/>
        <v>2532</v>
      </c>
      <c r="N46" s="1837">
        <f t="shared" si="27"/>
        <v>2532</v>
      </c>
      <c r="O46" s="1837">
        <f t="shared" si="27"/>
        <v>2532</v>
      </c>
      <c r="P46" s="1837">
        <f t="shared" si="27"/>
        <v>2532</v>
      </c>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837">
        <f t="shared" si="24"/>
        <v>25320</v>
      </c>
      <c r="BI46" s="1841"/>
      <c r="BJ46" s="1842" t="s">
        <v>1479</v>
      </c>
      <c r="BK46" s="1842" t="s">
        <v>1480</v>
      </c>
      <c r="BL46" s="1842"/>
      <c r="BM46" s="1860"/>
      <c r="BN46" s="1851"/>
      <c r="BO46" s="1851"/>
      <c r="BP46" s="1861"/>
      <c r="BQ46" s="1861"/>
      <c r="BU46" s="1841"/>
      <c r="BV46" s="1842" t="s">
        <v>1479</v>
      </c>
      <c r="BW46" s="1842" t="s">
        <v>1480</v>
      </c>
      <c r="BX46" s="1842"/>
      <c r="BY46" s="1896"/>
      <c r="BZ46" s="1851"/>
      <c r="CA46" s="1851"/>
      <c r="CB46" s="1861"/>
    </row>
    <row r="47" spans="1:81">
      <c r="A47" s="1902">
        <v>2003</v>
      </c>
      <c r="B47" s="1903">
        <v>-2137</v>
      </c>
      <c r="C47" s="1904"/>
      <c r="D47" s="1904"/>
      <c r="E47" s="1904"/>
      <c r="F47" s="1904"/>
      <c r="G47" s="1904"/>
      <c r="H47" s="1837">
        <f t="shared" ref="H47:Q47" si="28">ROUND($B$47/10,0)</f>
        <v>-214</v>
      </c>
      <c r="I47" s="1837">
        <f t="shared" si="28"/>
        <v>-214</v>
      </c>
      <c r="J47" s="1837">
        <f t="shared" si="28"/>
        <v>-214</v>
      </c>
      <c r="K47" s="1837">
        <f t="shared" si="28"/>
        <v>-214</v>
      </c>
      <c r="L47" s="1837">
        <f t="shared" si="28"/>
        <v>-214</v>
      </c>
      <c r="M47" s="1837">
        <f t="shared" si="28"/>
        <v>-214</v>
      </c>
      <c r="N47" s="1837">
        <f t="shared" si="28"/>
        <v>-214</v>
      </c>
      <c r="O47" s="1837">
        <f t="shared" si="28"/>
        <v>-214</v>
      </c>
      <c r="P47" s="1837">
        <f t="shared" si="28"/>
        <v>-214</v>
      </c>
      <c r="Q47" s="1837">
        <f t="shared" si="28"/>
        <v>-214</v>
      </c>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837">
        <f t="shared" si="24"/>
        <v>-2140</v>
      </c>
      <c r="BI47" s="1841"/>
      <c r="BJ47" s="1842" t="s">
        <v>1481</v>
      </c>
      <c r="BK47" s="1842" t="s">
        <v>1482</v>
      </c>
      <c r="BL47" s="1842"/>
      <c r="BM47" s="1863"/>
      <c r="BN47" s="1851"/>
      <c r="BO47" s="1851"/>
      <c r="BP47" s="1861"/>
      <c r="BQ47" s="1864"/>
      <c r="BU47" s="1841"/>
      <c r="BV47" s="1842" t="s">
        <v>1481</v>
      </c>
      <c r="BW47" s="1842" t="s">
        <v>1482</v>
      </c>
      <c r="BX47" s="1842"/>
      <c r="BY47" s="1863"/>
      <c r="BZ47" s="1851"/>
      <c r="CA47" s="1851"/>
      <c r="CB47" s="1861"/>
    </row>
    <row r="48" spans="1:81">
      <c r="A48" s="1902">
        <v>2004</v>
      </c>
      <c r="B48" s="1903">
        <v>61</v>
      </c>
      <c r="C48" s="1904"/>
      <c r="D48" s="1904"/>
      <c r="E48" s="1904"/>
      <c r="F48" s="1904"/>
      <c r="G48" s="1904"/>
      <c r="H48" s="1904"/>
      <c r="I48" s="1837">
        <f t="shared" ref="I48:R48" si="29">ROUND($B$48/10,0)</f>
        <v>6</v>
      </c>
      <c r="J48" s="1837">
        <f t="shared" si="29"/>
        <v>6</v>
      </c>
      <c r="K48" s="1837">
        <f t="shared" si="29"/>
        <v>6</v>
      </c>
      <c r="L48" s="1837">
        <f t="shared" si="29"/>
        <v>6</v>
      </c>
      <c r="M48" s="1837">
        <f t="shared" si="29"/>
        <v>6</v>
      </c>
      <c r="N48" s="1837">
        <f t="shared" si="29"/>
        <v>6</v>
      </c>
      <c r="O48" s="1837">
        <f t="shared" si="29"/>
        <v>6</v>
      </c>
      <c r="P48" s="1837">
        <f t="shared" si="29"/>
        <v>6</v>
      </c>
      <c r="Q48" s="1837">
        <f t="shared" si="29"/>
        <v>6</v>
      </c>
      <c r="R48" s="1837">
        <f t="shared" si="29"/>
        <v>6</v>
      </c>
      <c r="S48" s="1904"/>
      <c r="T48" s="1904"/>
      <c r="U48" s="1904"/>
      <c r="V48" s="1904"/>
      <c r="W48" s="1904"/>
      <c r="X48" s="1904"/>
      <c r="Y48" s="1904"/>
      <c r="Z48" s="1904"/>
      <c r="AA48" s="1904"/>
      <c r="AB48" s="1904"/>
      <c r="AC48" s="1904"/>
      <c r="AD48" s="1904"/>
      <c r="AE48" s="1904"/>
      <c r="AF48" s="1904"/>
      <c r="AG48" s="1904"/>
      <c r="AH48" s="1904"/>
      <c r="AI48" s="1904"/>
      <c r="AJ48" s="1904"/>
      <c r="AK48" s="1904"/>
      <c r="AL48" s="1837">
        <f t="shared" si="24"/>
        <v>60</v>
      </c>
      <c r="BI48" s="1841"/>
      <c r="BJ48" s="1842" t="s">
        <v>1484</v>
      </c>
      <c r="BK48" s="1842" t="s">
        <v>1485</v>
      </c>
      <c r="BL48" s="1842"/>
      <c r="BM48" s="1866"/>
      <c r="BN48" s="1851"/>
      <c r="BO48" s="1851"/>
      <c r="BP48" s="1861"/>
      <c r="BQ48" s="1861"/>
      <c r="BU48" s="1841"/>
      <c r="BV48" s="1842" t="s">
        <v>1484</v>
      </c>
      <c r="BW48" s="1842" t="s">
        <v>1485</v>
      </c>
      <c r="BX48" s="1842"/>
      <c r="BY48" s="1868"/>
      <c r="BZ48" s="1851"/>
      <c r="CA48" s="1851"/>
      <c r="CB48" s="1861"/>
    </row>
    <row r="49" spans="1:81">
      <c r="A49" s="1902">
        <v>2005</v>
      </c>
      <c r="B49" s="1905">
        <v>625</v>
      </c>
      <c r="C49" s="1904"/>
      <c r="D49" s="1904"/>
      <c r="E49" s="1904"/>
      <c r="F49" s="1904"/>
      <c r="G49" s="1904"/>
      <c r="H49" s="1904"/>
      <c r="I49" s="1904"/>
      <c r="J49" s="1837">
        <v>63</v>
      </c>
      <c r="K49" s="1837">
        <v>63</v>
      </c>
      <c r="L49" s="1837">
        <v>63</v>
      </c>
      <c r="M49" s="1837">
        <v>63</v>
      </c>
      <c r="N49" s="1837">
        <v>63</v>
      </c>
      <c r="O49" s="1837">
        <v>63</v>
      </c>
      <c r="P49" s="1837">
        <v>63</v>
      </c>
      <c r="Q49" s="1837">
        <v>63</v>
      </c>
      <c r="R49" s="1837">
        <v>63</v>
      </c>
      <c r="S49" s="1837">
        <v>63</v>
      </c>
      <c r="T49" s="1837"/>
      <c r="U49" s="1837"/>
      <c r="V49" s="1837"/>
      <c r="W49" s="1837"/>
      <c r="X49" s="1837"/>
      <c r="Y49" s="1837"/>
      <c r="Z49" s="1837"/>
      <c r="AA49" s="1837"/>
      <c r="AB49" s="1837"/>
      <c r="AC49" s="1837"/>
      <c r="AD49" s="1837"/>
      <c r="AE49" s="1837"/>
      <c r="AF49" s="1837"/>
      <c r="AG49" s="1837"/>
      <c r="AH49" s="1837"/>
      <c r="AI49" s="1837"/>
      <c r="AJ49" s="1837"/>
      <c r="AK49" s="1837"/>
      <c r="AL49" s="1837">
        <v>630</v>
      </c>
      <c r="BI49" s="1841"/>
      <c r="BJ49" s="1842" t="s">
        <v>1486</v>
      </c>
      <c r="BK49" s="1842" t="s">
        <v>1487</v>
      </c>
      <c r="BL49" s="1842"/>
      <c r="BM49" s="1868"/>
      <c r="BN49" s="1851"/>
      <c r="BO49" s="1851"/>
      <c r="BP49" s="1861"/>
      <c r="BU49" s="1841"/>
      <c r="BV49" s="1842" t="s">
        <v>1486</v>
      </c>
      <c r="BW49" s="1842" t="s">
        <v>1487</v>
      </c>
      <c r="BX49" s="1842"/>
      <c r="BY49" s="1868"/>
      <c r="BZ49" s="1851"/>
      <c r="CA49" s="1851"/>
      <c r="CB49" s="1861"/>
    </row>
    <row r="50" spans="1:81">
      <c r="A50" s="1902">
        <v>2006</v>
      </c>
      <c r="B50" s="1905">
        <v>99</v>
      </c>
      <c r="C50" s="1904"/>
      <c r="D50" s="1904"/>
      <c r="E50" s="1904"/>
      <c r="F50" s="1904"/>
      <c r="G50" s="1904"/>
      <c r="H50" s="1904"/>
      <c r="I50" s="1904"/>
      <c r="J50" s="1904"/>
      <c r="K50" s="1837">
        <v>10</v>
      </c>
      <c r="L50" s="1837">
        <v>10</v>
      </c>
      <c r="M50" s="1837">
        <v>10</v>
      </c>
      <c r="N50" s="1837">
        <v>10</v>
      </c>
      <c r="O50" s="1837">
        <v>10</v>
      </c>
      <c r="P50" s="1837">
        <v>10</v>
      </c>
      <c r="Q50" s="1837">
        <v>10</v>
      </c>
      <c r="R50" s="1837">
        <v>10</v>
      </c>
      <c r="S50" s="1837">
        <v>10</v>
      </c>
      <c r="T50" s="1837">
        <v>10</v>
      </c>
      <c r="U50" s="1837"/>
      <c r="V50" s="1837"/>
      <c r="W50" s="1837"/>
      <c r="X50" s="1837"/>
      <c r="Y50" s="1837"/>
      <c r="Z50" s="1837"/>
      <c r="AA50" s="1837"/>
      <c r="AB50" s="1837"/>
      <c r="AC50" s="1837"/>
      <c r="AD50" s="1837"/>
      <c r="AE50" s="1837"/>
      <c r="AF50" s="1837"/>
      <c r="AG50" s="1837"/>
      <c r="AH50" s="1837"/>
      <c r="AI50" s="1837"/>
      <c r="AJ50" s="1837"/>
      <c r="AK50" s="1837"/>
      <c r="AL50" s="1837">
        <v>100</v>
      </c>
      <c r="BI50" s="1841"/>
      <c r="BJ50" s="1842" t="s">
        <v>1488</v>
      </c>
      <c r="BK50" s="1842" t="s">
        <v>1489</v>
      </c>
      <c r="BL50" s="1842"/>
      <c r="BM50" s="1869"/>
      <c r="BN50" s="1851"/>
      <c r="BO50" s="1851"/>
      <c r="BP50" s="1861"/>
      <c r="BU50" s="1841"/>
      <c r="BV50" s="1842" t="s">
        <v>1488</v>
      </c>
      <c r="BW50" s="1842" t="s">
        <v>1489</v>
      </c>
      <c r="BX50" s="1842"/>
      <c r="BY50" s="1869"/>
      <c r="BZ50" s="1851"/>
      <c r="CA50" s="1851"/>
      <c r="CB50" s="1861"/>
    </row>
    <row r="51" spans="1:81">
      <c r="A51" s="1902">
        <v>2007</v>
      </c>
      <c r="B51" s="1905">
        <v>25</v>
      </c>
      <c r="C51" s="1904"/>
      <c r="D51" s="1904"/>
      <c r="E51" s="1904"/>
      <c r="F51" s="1904"/>
      <c r="G51" s="1904"/>
      <c r="H51" s="1904"/>
      <c r="I51" s="1904"/>
      <c r="J51" s="1904"/>
      <c r="K51" s="1904"/>
      <c r="L51" s="1837">
        <v>3</v>
      </c>
      <c r="M51" s="1837">
        <v>3</v>
      </c>
      <c r="N51" s="1837">
        <v>3</v>
      </c>
      <c r="O51" s="1837">
        <v>3</v>
      </c>
      <c r="P51" s="1837">
        <v>3</v>
      </c>
      <c r="Q51" s="1837">
        <v>3</v>
      </c>
      <c r="R51" s="1837">
        <v>3</v>
      </c>
      <c r="S51" s="1837">
        <v>3</v>
      </c>
      <c r="T51" s="1837">
        <v>3</v>
      </c>
      <c r="U51" s="1837">
        <v>0</v>
      </c>
      <c r="V51" s="1837"/>
      <c r="W51" s="1837"/>
      <c r="X51" s="1837"/>
      <c r="Y51" s="1837"/>
      <c r="Z51" s="1837"/>
      <c r="AA51" s="1837"/>
      <c r="AB51" s="1837"/>
      <c r="AC51" s="1837"/>
      <c r="AD51" s="1837"/>
      <c r="AE51" s="1837"/>
      <c r="AF51" s="1837"/>
      <c r="AG51" s="1837"/>
      <c r="AH51" s="1837"/>
      <c r="AI51" s="1837"/>
      <c r="AJ51" s="1837"/>
      <c r="AK51" s="1837"/>
      <c r="AL51" s="1837">
        <f>SUM(K51:AC51)</f>
        <v>27</v>
      </c>
      <c r="BI51" s="1841"/>
      <c r="BJ51" s="1842" t="s">
        <v>1490</v>
      </c>
      <c r="BK51" s="1842" t="s">
        <v>1491</v>
      </c>
      <c r="BL51" s="1842"/>
      <c r="BM51" s="1854"/>
      <c r="BN51" s="1851"/>
      <c r="BO51" s="1851"/>
      <c r="BP51" s="1861"/>
      <c r="BU51" s="1841"/>
      <c r="BV51" s="1842" t="s">
        <v>1490</v>
      </c>
      <c r="BW51" s="1842" t="s">
        <v>1491</v>
      </c>
      <c r="BX51" s="1842"/>
      <c r="BY51" s="1871"/>
      <c r="BZ51" s="1851"/>
      <c r="CA51" s="1851"/>
      <c r="CB51" s="1861"/>
    </row>
    <row r="52" spans="1:81">
      <c r="A52" s="1838">
        <v>2008</v>
      </c>
      <c r="B52" s="1905">
        <v>3452</v>
      </c>
      <c r="C52" s="1904"/>
      <c r="D52" s="1904"/>
      <c r="E52" s="1904"/>
      <c r="F52" s="1904"/>
      <c r="G52" s="1904"/>
      <c r="H52" s="1904"/>
      <c r="I52" s="1904"/>
      <c r="J52" s="1904"/>
      <c r="K52" s="1904"/>
      <c r="L52" s="1904"/>
      <c r="M52" s="1837">
        <v>345</v>
      </c>
      <c r="N52" s="1837">
        <v>345</v>
      </c>
      <c r="O52" s="1837">
        <v>345</v>
      </c>
      <c r="P52" s="1837">
        <v>345</v>
      </c>
      <c r="Q52" s="1837">
        <v>345</v>
      </c>
      <c r="R52" s="1837">
        <v>345</v>
      </c>
      <c r="S52" s="1837">
        <v>345</v>
      </c>
      <c r="T52" s="1837">
        <v>345</v>
      </c>
      <c r="U52" s="1837">
        <v>345</v>
      </c>
      <c r="V52" s="1837">
        <v>347</v>
      </c>
      <c r="W52" s="1837"/>
      <c r="X52" s="1837"/>
      <c r="Y52" s="1837"/>
      <c r="Z52" s="1837"/>
      <c r="AA52" s="1837"/>
      <c r="AB52" s="1837"/>
      <c r="AC52" s="1837"/>
      <c r="AD52" s="1837"/>
      <c r="AE52" s="1837"/>
      <c r="AF52" s="1837"/>
      <c r="AG52" s="1837"/>
      <c r="AH52" s="1837"/>
      <c r="AI52" s="1837"/>
      <c r="AJ52" s="1837"/>
      <c r="AK52" s="1837"/>
      <c r="AL52" s="1837">
        <f t="shared" ref="AL52:AL67" si="30">SUM(M52:AG52)</f>
        <v>3452</v>
      </c>
      <c r="BI52" s="1841"/>
      <c r="BJ52" s="1842" t="s">
        <v>1492</v>
      </c>
      <c r="BK52" s="1842" t="s">
        <v>1493</v>
      </c>
      <c r="BL52" s="1842"/>
      <c r="BM52" s="1872"/>
      <c r="BN52" s="1851"/>
      <c r="BO52" s="1851"/>
      <c r="BP52" s="1873">
        <f>BM52</f>
        <v>0</v>
      </c>
      <c r="BQ52" s="1861"/>
      <c r="BU52" s="1841"/>
      <c r="BV52" s="1842" t="s">
        <v>1492</v>
      </c>
      <c r="BW52" s="1842" t="s">
        <v>1493</v>
      </c>
      <c r="BX52" s="1842"/>
      <c r="BY52" s="1901"/>
      <c r="BZ52" s="1851"/>
      <c r="CA52" s="1851"/>
      <c r="CB52" s="1873">
        <f>BY46-BY47-BY48+BY49</f>
        <v>0</v>
      </c>
      <c r="CC52" s="1892"/>
    </row>
    <row r="53" spans="1:81">
      <c r="A53" s="1838">
        <v>2009</v>
      </c>
      <c r="B53" s="1905">
        <v>1496</v>
      </c>
      <c r="C53" s="1904"/>
      <c r="D53" s="1904"/>
      <c r="E53" s="1904"/>
      <c r="F53" s="1904"/>
      <c r="G53" s="1904"/>
      <c r="H53" s="1904"/>
      <c r="I53" s="1904"/>
      <c r="J53" s="1904"/>
      <c r="K53" s="1904"/>
      <c r="L53" s="1904"/>
      <c r="M53" s="1904"/>
      <c r="N53" s="1837">
        <v>150</v>
      </c>
      <c r="O53" s="1837">
        <v>150</v>
      </c>
      <c r="P53" s="1837">
        <v>150</v>
      </c>
      <c r="Q53" s="1837">
        <v>150</v>
      </c>
      <c r="R53" s="1837">
        <v>150</v>
      </c>
      <c r="S53" s="1837">
        <v>150</v>
      </c>
      <c r="T53" s="1837">
        <v>150</v>
      </c>
      <c r="U53" s="1837">
        <v>150</v>
      </c>
      <c r="V53" s="1837">
        <v>150</v>
      </c>
      <c r="W53" s="1837">
        <v>146</v>
      </c>
      <c r="X53" s="1837"/>
      <c r="Y53" s="1837"/>
      <c r="Z53" s="1837"/>
      <c r="AA53" s="1837"/>
      <c r="AB53" s="1837"/>
      <c r="AC53" s="1837"/>
      <c r="AD53" s="1837"/>
      <c r="AE53" s="1837"/>
      <c r="AF53" s="1837"/>
      <c r="AG53" s="1837"/>
      <c r="AH53" s="1837"/>
      <c r="AI53" s="1837"/>
      <c r="AJ53" s="1837"/>
      <c r="AK53" s="1837"/>
      <c r="AL53" s="1837">
        <f t="shared" si="30"/>
        <v>1496</v>
      </c>
      <c r="BI53" s="1841"/>
      <c r="BJ53" s="1842"/>
      <c r="BK53" s="1842"/>
      <c r="BL53" s="1842"/>
      <c r="BM53" s="1851"/>
      <c r="BN53" s="1851"/>
      <c r="BO53" s="1851"/>
      <c r="BU53" s="1841"/>
      <c r="BV53" s="1842"/>
      <c r="BW53" s="1842"/>
      <c r="BX53" s="1842"/>
      <c r="BY53" s="1851"/>
      <c r="BZ53" s="1851"/>
      <c r="CA53" s="1851"/>
    </row>
    <row r="54" spans="1:81">
      <c r="A54" s="1838">
        <v>2010</v>
      </c>
      <c r="B54" s="1905">
        <v>426</v>
      </c>
      <c r="C54" s="1904"/>
      <c r="D54" s="1904"/>
      <c r="E54" s="1904"/>
      <c r="F54" s="1904"/>
      <c r="G54" s="1904"/>
      <c r="H54" s="1904"/>
      <c r="I54" s="1904"/>
      <c r="J54" s="1904"/>
      <c r="K54" s="1904"/>
      <c r="L54" s="1904"/>
      <c r="M54" s="1904"/>
      <c r="N54" s="1904"/>
      <c r="O54" s="1837">
        <v>43</v>
      </c>
      <c r="P54" s="1837">
        <v>43</v>
      </c>
      <c r="Q54" s="1837">
        <v>43</v>
      </c>
      <c r="R54" s="1837">
        <v>43</v>
      </c>
      <c r="S54" s="1837">
        <v>43</v>
      </c>
      <c r="T54" s="1837">
        <v>43</v>
      </c>
      <c r="U54" s="1837">
        <v>43</v>
      </c>
      <c r="V54" s="1837">
        <v>43</v>
      </c>
      <c r="W54" s="1837">
        <v>43</v>
      </c>
      <c r="X54" s="1837">
        <v>39</v>
      </c>
      <c r="Y54" s="1837"/>
      <c r="Z54" s="1837"/>
      <c r="AA54" s="1837"/>
      <c r="AB54" s="1837"/>
      <c r="AC54" s="1837"/>
      <c r="AD54" s="1837"/>
      <c r="AE54" s="1837"/>
      <c r="AF54" s="1837"/>
      <c r="AG54" s="1837"/>
      <c r="AH54" s="1837"/>
      <c r="AI54" s="1837"/>
      <c r="AJ54" s="1837"/>
      <c r="AK54" s="1837"/>
      <c r="AL54" s="1837">
        <f t="shared" si="30"/>
        <v>426</v>
      </c>
      <c r="BI54" s="1841" t="s">
        <v>1506</v>
      </c>
      <c r="BJ54" s="1842" t="s">
        <v>922</v>
      </c>
      <c r="BK54" s="1842" t="s">
        <v>1466</v>
      </c>
      <c r="BL54" s="1842"/>
      <c r="BM54" s="1852"/>
      <c r="BN54" s="1851"/>
      <c r="BO54" s="1851"/>
      <c r="BU54" s="1841" t="s">
        <v>1507</v>
      </c>
      <c r="BV54" s="1842" t="s">
        <v>922</v>
      </c>
      <c r="BW54" s="1842" t="s">
        <v>1466</v>
      </c>
      <c r="BX54" s="1842"/>
      <c r="BY54" s="1852"/>
      <c r="BZ54" s="1851"/>
      <c r="CA54" s="1851"/>
    </row>
    <row r="55" spans="1:81">
      <c r="A55" s="1838">
        <v>2011</v>
      </c>
      <c r="B55" s="1905">
        <v>0</v>
      </c>
      <c r="C55" s="1904"/>
      <c r="D55" s="1904"/>
      <c r="E55" s="1904"/>
      <c r="F55" s="1904"/>
      <c r="G55" s="1904"/>
      <c r="H55" s="1904"/>
      <c r="I55" s="1904"/>
      <c r="J55" s="1904"/>
      <c r="K55" s="1904"/>
      <c r="L55" s="1904"/>
      <c r="M55" s="1904"/>
      <c r="N55" s="1904"/>
      <c r="O55" s="1904"/>
      <c r="P55" s="1837">
        <v>0</v>
      </c>
      <c r="Q55" s="1837">
        <v>0</v>
      </c>
      <c r="R55" s="1837">
        <v>0</v>
      </c>
      <c r="S55" s="1837">
        <v>0</v>
      </c>
      <c r="T55" s="1837">
        <v>0</v>
      </c>
      <c r="U55" s="1837">
        <v>0</v>
      </c>
      <c r="V55" s="1837">
        <v>0</v>
      </c>
      <c r="W55" s="1837">
        <v>0</v>
      </c>
      <c r="X55" s="1837">
        <v>0</v>
      </c>
      <c r="Y55" s="1837">
        <v>0</v>
      </c>
      <c r="Z55" s="1837">
        <v>0</v>
      </c>
      <c r="AA55" s="1837">
        <v>0</v>
      </c>
      <c r="AB55" s="1837">
        <v>0</v>
      </c>
      <c r="AC55" s="1837">
        <v>0</v>
      </c>
      <c r="AD55" s="1837"/>
      <c r="AE55" s="1837"/>
      <c r="AF55" s="1837"/>
      <c r="AG55" s="1837"/>
      <c r="AH55" s="1837"/>
      <c r="AI55" s="1837"/>
      <c r="AJ55" s="1837"/>
      <c r="AK55" s="1837"/>
      <c r="AL55" s="1837">
        <f t="shared" si="30"/>
        <v>0</v>
      </c>
      <c r="BI55" s="1841"/>
      <c r="BJ55" s="1842" t="s">
        <v>923</v>
      </c>
      <c r="BK55" s="1842" t="s">
        <v>1471</v>
      </c>
      <c r="BL55" s="1842"/>
      <c r="BM55" s="1851"/>
      <c r="BN55" s="1851"/>
      <c r="BO55" s="1851"/>
      <c r="BU55" s="1841"/>
      <c r="BV55" s="1842" t="s">
        <v>923</v>
      </c>
      <c r="BW55" s="1842" t="s">
        <v>1471</v>
      </c>
      <c r="BX55" s="1842"/>
      <c r="BY55" s="1851"/>
      <c r="BZ55" s="1851"/>
      <c r="CA55" s="1851"/>
    </row>
    <row r="56" spans="1:81">
      <c r="A56" s="1838">
        <v>2012</v>
      </c>
      <c r="B56" s="1870">
        <v>0</v>
      </c>
      <c r="C56" s="1837"/>
      <c r="D56" s="1837"/>
      <c r="E56" s="1837"/>
      <c r="F56" s="1837"/>
      <c r="G56" s="1837"/>
      <c r="H56" s="1837"/>
      <c r="I56" s="1837"/>
      <c r="J56" s="1837"/>
      <c r="K56" s="1837"/>
      <c r="L56" s="1837"/>
      <c r="M56" s="1837"/>
      <c r="N56" s="1837"/>
      <c r="O56" s="1837"/>
      <c r="P56" s="1837"/>
      <c r="Q56" s="1837">
        <v>0</v>
      </c>
      <c r="R56" s="1837">
        <v>0</v>
      </c>
      <c r="S56" s="1837">
        <v>0</v>
      </c>
      <c r="T56" s="1837">
        <v>0</v>
      </c>
      <c r="U56" s="1837">
        <v>0</v>
      </c>
      <c r="V56" s="1837">
        <v>0</v>
      </c>
      <c r="W56" s="1837">
        <v>0</v>
      </c>
      <c r="X56" s="1837">
        <v>0</v>
      </c>
      <c r="Y56" s="1837">
        <v>0</v>
      </c>
      <c r="Z56" s="1837">
        <v>0</v>
      </c>
      <c r="AA56" s="1837">
        <v>0</v>
      </c>
      <c r="AB56" s="1837">
        <v>0</v>
      </c>
      <c r="AC56" s="1837">
        <v>0</v>
      </c>
      <c r="AD56" s="1837"/>
      <c r="AE56" s="1837"/>
      <c r="AF56" s="1837"/>
      <c r="AG56" s="1837"/>
      <c r="AH56" s="1837"/>
      <c r="AI56" s="1837"/>
      <c r="AJ56" s="1837"/>
      <c r="AK56" s="1837"/>
      <c r="AL56" s="1837">
        <f t="shared" si="30"/>
        <v>0</v>
      </c>
      <c r="BI56" s="1841"/>
      <c r="BJ56" s="1842" t="s">
        <v>924</v>
      </c>
      <c r="BK56" s="1842" t="s">
        <v>1474</v>
      </c>
      <c r="BL56" s="1842"/>
      <c r="BM56" s="1851"/>
      <c r="BN56" s="1851"/>
      <c r="BO56" s="1851"/>
      <c r="BU56" s="1841"/>
      <c r="BV56" s="1842" t="s">
        <v>924</v>
      </c>
      <c r="BW56" s="1842" t="s">
        <v>1474</v>
      </c>
      <c r="BX56" s="1842"/>
      <c r="BY56" s="1851"/>
      <c r="BZ56" s="1851"/>
      <c r="CA56" s="1851"/>
    </row>
    <row r="57" spans="1:81">
      <c r="A57" s="1838">
        <v>2013</v>
      </c>
      <c r="B57" s="1870">
        <v>0</v>
      </c>
      <c r="C57" s="1837"/>
      <c r="D57" s="1837"/>
      <c r="E57" s="1837"/>
      <c r="F57" s="1837"/>
      <c r="G57" s="1837"/>
      <c r="H57" s="1837"/>
      <c r="I57" s="1837"/>
      <c r="J57" s="1837"/>
      <c r="K57" s="1837"/>
      <c r="L57" s="1837"/>
      <c r="M57" s="1837"/>
      <c r="N57" s="1837"/>
      <c r="O57" s="1837"/>
      <c r="P57" s="1837"/>
      <c r="Q57" s="1837"/>
      <c r="R57" s="1837">
        <v>0</v>
      </c>
      <c r="S57" s="1837">
        <v>0</v>
      </c>
      <c r="T57" s="1837">
        <v>0</v>
      </c>
      <c r="U57" s="1837">
        <v>0</v>
      </c>
      <c r="V57" s="1837">
        <v>0</v>
      </c>
      <c r="W57" s="1837">
        <v>0</v>
      </c>
      <c r="X57" s="1837">
        <v>0</v>
      </c>
      <c r="Y57" s="1837">
        <v>0</v>
      </c>
      <c r="Z57" s="1837">
        <v>0</v>
      </c>
      <c r="AA57" s="1837">
        <v>0</v>
      </c>
      <c r="AB57" s="1837">
        <v>0</v>
      </c>
      <c r="AC57" s="1837">
        <v>0</v>
      </c>
      <c r="AD57" s="1837"/>
      <c r="AE57" s="1837"/>
      <c r="AF57" s="1837"/>
      <c r="AG57" s="1837"/>
      <c r="AH57" s="1837"/>
      <c r="AI57" s="1837"/>
      <c r="AJ57" s="1837"/>
      <c r="AK57" s="1837"/>
      <c r="AL57" s="1837">
        <f t="shared" si="30"/>
        <v>0</v>
      </c>
      <c r="BI57" s="1841"/>
      <c r="BJ57" s="1842" t="s">
        <v>1475</v>
      </c>
      <c r="BK57" s="1842" t="s">
        <v>1476</v>
      </c>
      <c r="BL57" s="1842"/>
      <c r="BM57" s="1851"/>
      <c r="BN57" s="1851"/>
      <c r="BO57" s="1851"/>
      <c r="BU57" s="1841"/>
      <c r="BV57" s="1842" t="s">
        <v>1475</v>
      </c>
      <c r="BW57" s="1842" t="s">
        <v>1476</v>
      </c>
      <c r="BX57" s="1842"/>
      <c r="BY57" s="1851"/>
      <c r="BZ57" s="1851"/>
      <c r="CA57" s="1851"/>
    </row>
    <row r="58" spans="1:81">
      <c r="A58" s="1838">
        <v>2014</v>
      </c>
      <c r="B58" s="1870">
        <v>56271.997366399992</v>
      </c>
      <c r="C58" s="1837"/>
      <c r="D58" s="1837"/>
      <c r="E58" s="1837"/>
      <c r="F58" s="1837"/>
      <c r="G58" s="1837"/>
      <c r="H58" s="1837"/>
      <c r="I58" s="1837"/>
      <c r="J58" s="1837"/>
      <c r="K58" s="1837"/>
      <c r="L58" s="1837"/>
      <c r="M58" s="1837"/>
      <c r="N58" s="1837"/>
      <c r="O58" s="1837"/>
      <c r="P58" s="1837"/>
      <c r="Q58" s="1837"/>
      <c r="R58" s="1837"/>
      <c r="S58" s="1837">
        <v>5627</v>
      </c>
      <c r="T58" s="1837">
        <v>5627</v>
      </c>
      <c r="U58" s="1837">
        <v>5627</v>
      </c>
      <c r="V58" s="1837">
        <v>5627</v>
      </c>
      <c r="W58" s="1837">
        <v>5627</v>
      </c>
      <c r="X58" s="1837">
        <v>5627</v>
      </c>
      <c r="Y58" s="1837">
        <v>5627</v>
      </c>
      <c r="Z58" s="1837">
        <v>5627</v>
      </c>
      <c r="AA58" s="1837">
        <v>5627</v>
      </c>
      <c r="AB58" s="1837">
        <v>5629</v>
      </c>
      <c r="AC58" s="1837"/>
      <c r="AD58" s="1837"/>
      <c r="AE58" s="1837"/>
      <c r="AF58" s="1837"/>
      <c r="AG58" s="1837"/>
      <c r="AH58" s="1837"/>
      <c r="AI58" s="1837"/>
      <c r="AJ58" s="1837"/>
      <c r="AK58" s="1837"/>
      <c r="AL58" s="1837">
        <f t="shared" si="30"/>
        <v>56272</v>
      </c>
      <c r="BI58" s="1841"/>
      <c r="BJ58" s="1842" t="s">
        <v>1479</v>
      </c>
      <c r="BK58" s="1842" t="s">
        <v>1480</v>
      </c>
      <c r="BL58" s="1842"/>
      <c r="BM58" s="1860"/>
      <c r="BN58" s="1851"/>
      <c r="BO58" s="1851"/>
      <c r="BP58" s="1861"/>
      <c r="BU58" s="1841"/>
      <c r="BV58" s="1842" t="s">
        <v>1479</v>
      </c>
      <c r="BW58" s="1842" t="s">
        <v>1480</v>
      </c>
      <c r="BX58" s="1842"/>
      <c r="BY58" s="1896"/>
      <c r="BZ58" s="1851"/>
      <c r="CA58" s="1851"/>
      <c r="CB58" s="1861"/>
    </row>
    <row r="59" spans="1:81">
      <c r="A59" s="1838">
        <v>2015</v>
      </c>
      <c r="B59" s="1870">
        <v>37065</v>
      </c>
      <c r="C59" s="1837"/>
      <c r="D59" s="1837"/>
      <c r="E59" s="1837"/>
      <c r="F59" s="1837"/>
      <c r="G59" s="1837"/>
      <c r="H59" s="1837"/>
      <c r="I59" s="1837"/>
      <c r="J59" s="1837"/>
      <c r="K59" s="1837"/>
      <c r="L59" s="1837"/>
      <c r="M59" s="1837"/>
      <c r="N59" s="1837"/>
      <c r="O59" s="1837"/>
      <c r="P59" s="1837"/>
      <c r="Q59" s="1837"/>
      <c r="R59" s="1837"/>
      <c r="S59" s="1837"/>
      <c r="T59" s="1837">
        <f t="shared" ref="T59:AC59" si="31">$B$59/10</f>
        <v>3706.5</v>
      </c>
      <c r="U59" s="1837">
        <f t="shared" si="31"/>
        <v>3706.5</v>
      </c>
      <c r="V59" s="1837">
        <f t="shared" si="31"/>
        <v>3706.5</v>
      </c>
      <c r="W59" s="1837">
        <f t="shared" si="31"/>
        <v>3706.5</v>
      </c>
      <c r="X59" s="1837">
        <f t="shared" si="31"/>
        <v>3706.5</v>
      </c>
      <c r="Y59" s="1837">
        <f t="shared" si="31"/>
        <v>3706.5</v>
      </c>
      <c r="Z59" s="1837">
        <f t="shared" si="31"/>
        <v>3706.5</v>
      </c>
      <c r="AA59" s="1837">
        <f t="shared" si="31"/>
        <v>3706.5</v>
      </c>
      <c r="AB59" s="1837">
        <f t="shared" si="31"/>
        <v>3706.5</v>
      </c>
      <c r="AC59" s="1837">
        <f t="shared" si="31"/>
        <v>3706.5</v>
      </c>
      <c r="AD59" s="1837"/>
      <c r="AE59" s="1837"/>
      <c r="AF59" s="1837"/>
      <c r="AG59" s="1837"/>
      <c r="AH59" s="1837"/>
      <c r="AI59" s="1837"/>
      <c r="AJ59" s="1837"/>
      <c r="AK59" s="1837"/>
      <c r="AL59" s="1837">
        <f t="shared" si="30"/>
        <v>37065</v>
      </c>
      <c r="BI59" s="1841"/>
      <c r="BJ59" s="1842" t="s">
        <v>1481</v>
      </c>
      <c r="BK59" s="1842" t="s">
        <v>1482</v>
      </c>
      <c r="BL59" s="1842"/>
      <c r="BM59" s="1863"/>
      <c r="BN59" s="1851"/>
      <c r="BO59" s="1851"/>
      <c r="BP59" s="1861"/>
      <c r="BU59" s="1841"/>
      <c r="BV59" s="1842" t="s">
        <v>1481</v>
      </c>
      <c r="BW59" s="1842" t="s">
        <v>1482</v>
      </c>
      <c r="BX59" s="1842"/>
      <c r="BY59" s="1863"/>
      <c r="BZ59" s="1851"/>
      <c r="CA59" s="1851"/>
      <c r="CB59" s="1861"/>
    </row>
    <row r="60" spans="1:81">
      <c r="A60" s="1838">
        <v>2016</v>
      </c>
      <c r="B60" s="1870">
        <v>31612.808314672198</v>
      </c>
      <c r="C60" s="1837"/>
      <c r="D60" s="1837"/>
      <c r="E60" s="1837"/>
      <c r="F60" s="1837"/>
      <c r="G60" s="1837"/>
      <c r="H60" s="1837"/>
      <c r="I60" s="1837"/>
      <c r="J60" s="1837"/>
      <c r="K60" s="1837"/>
      <c r="L60" s="1837"/>
      <c r="M60" s="1837"/>
      <c r="N60" s="1837"/>
      <c r="O60" s="1837"/>
      <c r="P60" s="1837"/>
      <c r="Q60" s="1837"/>
      <c r="R60" s="1837"/>
      <c r="S60" s="1837"/>
      <c r="T60" s="1837"/>
      <c r="U60" s="1837">
        <f t="shared" ref="U60:AD60" si="32">$B$60/10</f>
        <v>3161.2808314672197</v>
      </c>
      <c r="V60" s="1837">
        <f t="shared" si="32"/>
        <v>3161.2808314672197</v>
      </c>
      <c r="W60" s="1837">
        <f t="shared" si="32"/>
        <v>3161.2808314672197</v>
      </c>
      <c r="X60" s="1837">
        <f t="shared" si="32"/>
        <v>3161.2808314672197</v>
      </c>
      <c r="Y60" s="1837">
        <f t="shared" si="32"/>
        <v>3161.2808314672197</v>
      </c>
      <c r="Z60" s="1837">
        <f t="shared" si="32"/>
        <v>3161.2808314672197</v>
      </c>
      <c r="AA60" s="1837">
        <f t="shared" si="32"/>
        <v>3161.2808314672197</v>
      </c>
      <c r="AB60" s="1837">
        <f t="shared" si="32"/>
        <v>3161.2808314672197</v>
      </c>
      <c r="AC60" s="1837">
        <f t="shared" si="32"/>
        <v>3161.2808314672197</v>
      </c>
      <c r="AD60" s="1837">
        <f t="shared" si="32"/>
        <v>3161.2808314672197</v>
      </c>
      <c r="AE60" s="1837"/>
      <c r="AF60" s="1837"/>
      <c r="AG60" s="1837"/>
      <c r="AH60" s="1837"/>
      <c r="AI60" s="1837"/>
      <c r="AJ60" s="1837"/>
      <c r="AK60" s="1837"/>
      <c r="AL60" s="1837">
        <f t="shared" si="30"/>
        <v>31612.808314672191</v>
      </c>
      <c r="BI60" s="1841"/>
      <c r="BJ60" s="1842" t="s">
        <v>1484</v>
      </c>
      <c r="BK60" s="1842" t="s">
        <v>1485</v>
      </c>
      <c r="BL60" s="1842"/>
      <c r="BM60" s="1866"/>
      <c r="BN60" s="1851"/>
      <c r="BO60" s="1851"/>
      <c r="BP60" s="1861"/>
      <c r="BU60" s="1841"/>
      <c r="BV60" s="1842" t="s">
        <v>1484</v>
      </c>
      <c r="BW60" s="1842" t="s">
        <v>1485</v>
      </c>
      <c r="BX60" s="1842"/>
      <c r="BY60" s="1868"/>
      <c r="BZ60" s="1851"/>
      <c r="CA60" s="1851"/>
      <c r="CB60" s="1861"/>
    </row>
    <row r="61" spans="1:81">
      <c r="A61" s="1838">
        <v>2017</v>
      </c>
      <c r="B61" s="1870">
        <v>0</v>
      </c>
      <c r="C61" s="1837"/>
      <c r="D61" s="1837"/>
      <c r="E61" s="1837"/>
      <c r="F61" s="1837"/>
      <c r="G61" s="1837"/>
      <c r="H61" s="1837"/>
      <c r="I61" s="1837"/>
      <c r="J61" s="1837"/>
      <c r="K61" s="1837"/>
      <c r="L61" s="1837"/>
      <c r="M61" s="1837"/>
      <c r="N61" s="1837"/>
      <c r="O61" s="1837"/>
      <c r="P61" s="1837"/>
      <c r="Q61" s="1837"/>
      <c r="R61" s="1837"/>
      <c r="S61" s="1837"/>
      <c r="T61" s="1837"/>
      <c r="U61" s="1837"/>
      <c r="V61" s="1837">
        <f t="shared" ref="V61:AE61" si="33">$B$61/10</f>
        <v>0</v>
      </c>
      <c r="W61" s="1837">
        <f t="shared" si="33"/>
        <v>0</v>
      </c>
      <c r="X61" s="1837">
        <f t="shared" si="33"/>
        <v>0</v>
      </c>
      <c r="Y61" s="1837">
        <f t="shared" si="33"/>
        <v>0</v>
      </c>
      <c r="Z61" s="1837">
        <f t="shared" si="33"/>
        <v>0</v>
      </c>
      <c r="AA61" s="1837">
        <f t="shared" si="33"/>
        <v>0</v>
      </c>
      <c r="AB61" s="1837">
        <f t="shared" si="33"/>
        <v>0</v>
      </c>
      <c r="AC61" s="1837">
        <f t="shared" si="33"/>
        <v>0</v>
      </c>
      <c r="AD61" s="1837">
        <f t="shared" si="33"/>
        <v>0</v>
      </c>
      <c r="AE61" s="1837">
        <f t="shared" si="33"/>
        <v>0</v>
      </c>
      <c r="AF61" s="1837"/>
      <c r="AG61" s="1837"/>
      <c r="AH61" s="1837"/>
      <c r="AI61" s="1837"/>
      <c r="AJ61" s="1837"/>
      <c r="AK61" s="1837"/>
      <c r="AL61" s="1837">
        <f t="shared" si="30"/>
        <v>0</v>
      </c>
      <c r="BI61" s="1841"/>
      <c r="BJ61" s="1842" t="s">
        <v>1486</v>
      </c>
      <c r="BK61" s="1842" t="s">
        <v>1487</v>
      </c>
      <c r="BL61" s="1842"/>
      <c r="BM61" s="1868"/>
      <c r="BN61" s="1851"/>
      <c r="BO61" s="1851"/>
      <c r="BP61" s="1861"/>
      <c r="BU61" s="1841"/>
      <c r="BV61" s="1842" t="s">
        <v>1486</v>
      </c>
      <c r="BW61" s="1842" t="s">
        <v>1487</v>
      </c>
      <c r="BX61" s="1842"/>
      <c r="BY61" s="1868"/>
      <c r="BZ61" s="1851"/>
      <c r="CA61" s="1851"/>
      <c r="CB61" s="1861"/>
    </row>
    <row r="62" spans="1:81">
      <c r="A62" s="1838">
        <v>2018</v>
      </c>
      <c r="B62" s="1870">
        <v>0</v>
      </c>
      <c r="C62" s="1837"/>
      <c r="D62" s="1837"/>
      <c r="E62" s="1837"/>
      <c r="F62" s="1837"/>
      <c r="G62" s="1837"/>
      <c r="H62" s="1837"/>
      <c r="I62" s="1837"/>
      <c r="J62" s="1837"/>
      <c r="K62" s="1837"/>
      <c r="L62" s="1837"/>
      <c r="M62" s="1837"/>
      <c r="N62" s="1837"/>
      <c r="O62" s="1837"/>
      <c r="P62" s="1837"/>
      <c r="Q62" s="1837"/>
      <c r="R62" s="1837"/>
      <c r="S62" s="1837"/>
      <c r="T62" s="1837"/>
      <c r="U62" s="1837"/>
      <c r="V62" s="1837"/>
      <c r="W62" s="1837">
        <f t="shared" ref="W62:AF62" si="34">$B$62/10</f>
        <v>0</v>
      </c>
      <c r="X62" s="1837">
        <f t="shared" si="34"/>
        <v>0</v>
      </c>
      <c r="Y62" s="1837">
        <f t="shared" si="34"/>
        <v>0</v>
      </c>
      <c r="Z62" s="1837">
        <f t="shared" si="34"/>
        <v>0</v>
      </c>
      <c r="AA62" s="1837">
        <f t="shared" si="34"/>
        <v>0</v>
      </c>
      <c r="AB62" s="1837">
        <f t="shared" si="34"/>
        <v>0</v>
      </c>
      <c r="AC62" s="1837">
        <f t="shared" si="34"/>
        <v>0</v>
      </c>
      <c r="AD62" s="1837">
        <f t="shared" si="34"/>
        <v>0</v>
      </c>
      <c r="AE62" s="1837">
        <f t="shared" si="34"/>
        <v>0</v>
      </c>
      <c r="AF62" s="1837">
        <f t="shared" si="34"/>
        <v>0</v>
      </c>
      <c r="AG62" s="1837"/>
      <c r="AH62" s="1837"/>
      <c r="AI62" s="1837"/>
      <c r="AJ62" s="1837"/>
      <c r="AK62" s="1837"/>
      <c r="AL62" s="1837">
        <f t="shared" si="30"/>
        <v>0</v>
      </c>
      <c r="BI62" s="1841"/>
      <c r="BJ62" s="1842" t="s">
        <v>1488</v>
      </c>
      <c r="BK62" s="1842" t="s">
        <v>1489</v>
      </c>
      <c r="BL62" s="1842"/>
      <c r="BM62" s="1869"/>
      <c r="BN62" s="1851"/>
      <c r="BO62" s="1851"/>
      <c r="BP62" s="1861"/>
      <c r="BU62" s="1841"/>
      <c r="BV62" s="1842" t="s">
        <v>1488</v>
      </c>
      <c r="BW62" s="1842" t="s">
        <v>1489</v>
      </c>
      <c r="BX62" s="1842"/>
      <c r="BY62" s="1869"/>
      <c r="BZ62" s="1851"/>
      <c r="CA62" s="1851"/>
      <c r="CB62" s="1861"/>
    </row>
    <row r="63" spans="1:81">
      <c r="A63" s="1838">
        <v>2019</v>
      </c>
      <c r="B63" s="1870">
        <v>-15629</v>
      </c>
      <c r="C63" s="1837"/>
      <c r="D63" s="1837"/>
      <c r="E63" s="1837"/>
      <c r="F63" s="1837"/>
      <c r="G63" s="1837"/>
      <c r="H63" s="1837"/>
      <c r="I63" s="1837"/>
      <c r="J63" s="1837"/>
      <c r="K63" s="1837"/>
      <c r="L63" s="1837"/>
      <c r="M63" s="1837"/>
      <c r="N63" s="1837"/>
      <c r="O63" s="1837"/>
      <c r="P63" s="1837"/>
      <c r="Q63" s="1837"/>
      <c r="R63" s="1837"/>
      <c r="S63" s="1837"/>
      <c r="T63" s="1837"/>
      <c r="U63" s="1837"/>
      <c r="V63" s="1837"/>
      <c r="W63" s="1837"/>
      <c r="X63" s="1837">
        <f t="shared" ref="X63:AG63" si="35">$B$63/10</f>
        <v>-1562.9</v>
      </c>
      <c r="Y63" s="1837">
        <f t="shared" si="35"/>
        <v>-1562.9</v>
      </c>
      <c r="Z63" s="1837">
        <f t="shared" si="35"/>
        <v>-1562.9</v>
      </c>
      <c r="AA63" s="1837">
        <f t="shared" si="35"/>
        <v>-1562.9</v>
      </c>
      <c r="AB63" s="1837">
        <f t="shared" si="35"/>
        <v>-1562.9</v>
      </c>
      <c r="AC63" s="1837">
        <f t="shared" si="35"/>
        <v>-1562.9</v>
      </c>
      <c r="AD63" s="1837">
        <f t="shared" si="35"/>
        <v>-1562.9</v>
      </c>
      <c r="AE63" s="1837">
        <f t="shared" si="35"/>
        <v>-1562.9</v>
      </c>
      <c r="AF63" s="1837">
        <f t="shared" si="35"/>
        <v>-1562.9</v>
      </c>
      <c r="AG63" s="1837">
        <f t="shared" si="35"/>
        <v>-1562.9</v>
      </c>
      <c r="AH63" s="1837"/>
      <c r="AI63" s="1837"/>
      <c r="AJ63" s="1837"/>
      <c r="AK63" s="1837"/>
      <c r="AL63" s="1837">
        <f t="shared" si="30"/>
        <v>-15628.999999999998</v>
      </c>
      <c r="BI63" s="1841"/>
      <c r="BJ63" s="1842" t="s">
        <v>1490</v>
      </c>
      <c r="BK63" s="1842" t="s">
        <v>1491</v>
      </c>
      <c r="BL63" s="1842"/>
      <c r="BM63" s="1854"/>
      <c r="BN63" s="1851"/>
      <c r="BO63" s="1851"/>
      <c r="BP63" s="1861"/>
      <c r="BU63" s="1841"/>
      <c r="BV63" s="1842" t="s">
        <v>1490</v>
      </c>
      <c r="BW63" s="1842" t="s">
        <v>1491</v>
      </c>
      <c r="BX63" s="1842"/>
      <c r="BY63" s="1871"/>
      <c r="BZ63" s="1851"/>
      <c r="CA63" s="1851"/>
      <c r="CB63" s="1861"/>
    </row>
    <row r="64" spans="1:81">
      <c r="A64" s="1838">
        <v>2020</v>
      </c>
      <c r="B64" s="1870">
        <v>0</v>
      </c>
      <c r="C64" s="1837"/>
      <c r="D64" s="1837"/>
      <c r="E64" s="1837"/>
      <c r="F64" s="1837"/>
      <c r="G64" s="1837"/>
      <c r="H64" s="1837"/>
      <c r="I64" s="1837"/>
      <c r="J64" s="1837"/>
      <c r="K64" s="1837"/>
      <c r="L64" s="1837"/>
      <c r="M64" s="1837"/>
      <c r="N64" s="1837"/>
      <c r="O64" s="1837"/>
      <c r="P64" s="1837"/>
      <c r="Q64" s="1837"/>
      <c r="R64" s="1837"/>
      <c r="S64" s="1837"/>
      <c r="T64" s="1837"/>
      <c r="U64" s="1837"/>
      <c r="V64" s="1837"/>
      <c r="W64" s="1837"/>
      <c r="X64" s="1837"/>
      <c r="Y64" s="1837">
        <f t="shared" ref="Y64:AH64" si="36">$B$64/10</f>
        <v>0</v>
      </c>
      <c r="Z64" s="1837">
        <f t="shared" si="36"/>
        <v>0</v>
      </c>
      <c r="AA64" s="1837">
        <f t="shared" si="36"/>
        <v>0</v>
      </c>
      <c r="AB64" s="1837">
        <f t="shared" si="36"/>
        <v>0</v>
      </c>
      <c r="AC64" s="1837">
        <f t="shared" si="36"/>
        <v>0</v>
      </c>
      <c r="AD64" s="1837">
        <f t="shared" si="36"/>
        <v>0</v>
      </c>
      <c r="AE64" s="1837">
        <f t="shared" si="36"/>
        <v>0</v>
      </c>
      <c r="AF64" s="1837">
        <f t="shared" si="36"/>
        <v>0</v>
      </c>
      <c r="AG64" s="1837">
        <f t="shared" si="36"/>
        <v>0</v>
      </c>
      <c r="AH64" s="1837">
        <f t="shared" si="36"/>
        <v>0</v>
      </c>
      <c r="AI64" s="1837"/>
      <c r="AJ64" s="1837"/>
      <c r="AK64" s="1837"/>
      <c r="AL64" s="1837">
        <f t="shared" si="30"/>
        <v>0</v>
      </c>
      <c r="BI64" s="1841"/>
      <c r="BJ64" s="1842" t="s">
        <v>1492</v>
      </c>
      <c r="BK64" s="1842" t="s">
        <v>1493</v>
      </c>
      <c r="BL64" s="1842"/>
      <c r="BM64" s="1901"/>
      <c r="BN64" s="1851"/>
      <c r="BO64" s="1851"/>
      <c r="BP64" s="1873">
        <f>BM64</f>
        <v>0</v>
      </c>
      <c r="BQ64" s="1892"/>
      <c r="BU64" s="1841"/>
      <c r="BV64" s="1842" t="s">
        <v>1492</v>
      </c>
      <c r="BW64" s="1842" t="s">
        <v>1493</v>
      </c>
      <c r="BX64" s="1842"/>
      <c r="BY64" s="1901"/>
      <c r="BZ64" s="1851"/>
      <c r="CA64" s="1851"/>
      <c r="CB64" s="1873">
        <f>BY58-BY59-BY60+BY61</f>
        <v>0</v>
      </c>
      <c r="CC64" s="1892"/>
    </row>
    <row r="65" spans="1:81">
      <c r="A65" s="1838">
        <v>2021</v>
      </c>
      <c r="B65" s="1870">
        <v>-595.29703831619997</v>
      </c>
      <c r="C65" s="1837"/>
      <c r="D65" s="1837"/>
      <c r="E65" s="1837"/>
      <c r="F65" s="1837"/>
      <c r="G65" s="1837"/>
      <c r="H65" s="1837"/>
      <c r="I65" s="1837"/>
      <c r="J65" s="1837"/>
      <c r="K65" s="1837"/>
      <c r="L65" s="1837"/>
      <c r="M65" s="1837"/>
      <c r="N65" s="1837"/>
      <c r="O65" s="1837"/>
      <c r="P65" s="1837"/>
      <c r="Q65" s="1837"/>
      <c r="R65" s="1837"/>
      <c r="S65" s="1837"/>
      <c r="T65" s="1837"/>
      <c r="U65" s="1837"/>
      <c r="V65" s="1837"/>
      <c r="W65" s="1837"/>
      <c r="X65" s="1837"/>
      <c r="Y65" s="1837"/>
      <c r="Z65" s="1837">
        <f t="shared" ref="Z65:AI65" si="37">$B$65/10</f>
        <v>-59.529703831619997</v>
      </c>
      <c r="AA65" s="1837">
        <f t="shared" si="37"/>
        <v>-59.529703831619997</v>
      </c>
      <c r="AB65" s="1837">
        <f t="shared" si="37"/>
        <v>-59.529703831619997</v>
      </c>
      <c r="AC65" s="1837">
        <f t="shared" si="37"/>
        <v>-59.529703831619997</v>
      </c>
      <c r="AD65" s="1837">
        <f t="shared" si="37"/>
        <v>-59.529703831619997</v>
      </c>
      <c r="AE65" s="1837">
        <f t="shared" si="37"/>
        <v>-59.529703831619997</v>
      </c>
      <c r="AF65" s="1837">
        <f t="shared" si="37"/>
        <v>-59.529703831619997</v>
      </c>
      <c r="AG65" s="1837">
        <f t="shared" si="37"/>
        <v>-59.529703831619997</v>
      </c>
      <c r="AH65" s="1837">
        <f t="shared" si="37"/>
        <v>-59.529703831619997</v>
      </c>
      <c r="AI65" s="1837">
        <f t="shared" si="37"/>
        <v>-59.529703831619997</v>
      </c>
      <c r="AJ65" s="1837"/>
      <c r="AK65" s="1837"/>
      <c r="AL65" s="1837">
        <f t="shared" si="30"/>
        <v>-476.23763065295998</v>
      </c>
      <c r="BI65" s="1841"/>
      <c r="BJ65" s="1842"/>
      <c r="BK65" s="1842"/>
      <c r="BL65" s="1842"/>
      <c r="BM65" s="1851"/>
      <c r="BN65" s="1851"/>
      <c r="BO65" s="1851"/>
      <c r="BU65" s="1841"/>
      <c r="BV65" s="1842"/>
      <c r="BW65" s="1842"/>
      <c r="BX65" s="1842"/>
      <c r="BY65" s="1851"/>
      <c r="BZ65" s="1851"/>
      <c r="CA65" s="1851"/>
    </row>
    <row r="66" spans="1:81">
      <c r="A66" s="1838">
        <v>2022</v>
      </c>
      <c r="B66" s="1870">
        <v>0</v>
      </c>
      <c r="C66" s="1837"/>
      <c r="D66" s="1837"/>
      <c r="E66" s="1837"/>
      <c r="F66" s="1837"/>
      <c r="G66" s="1837"/>
      <c r="H66" s="1837"/>
      <c r="I66" s="1837"/>
      <c r="J66" s="1837"/>
      <c r="K66" s="1837"/>
      <c r="L66" s="1837"/>
      <c r="M66" s="1837"/>
      <c r="N66" s="1837"/>
      <c r="O66" s="1837"/>
      <c r="P66" s="1837"/>
      <c r="Q66" s="1837"/>
      <c r="R66" s="1837"/>
      <c r="S66" s="1837"/>
      <c r="T66" s="1837"/>
      <c r="U66" s="1837"/>
      <c r="V66" s="1837"/>
      <c r="W66" s="1837"/>
      <c r="X66" s="1837"/>
      <c r="Y66" s="1837"/>
      <c r="Z66" s="1837"/>
      <c r="AA66" s="1837">
        <f t="shared" ref="AA66:AJ66" si="38">$B$66/10</f>
        <v>0</v>
      </c>
      <c r="AB66" s="1837">
        <f t="shared" si="38"/>
        <v>0</v>
      </c>
      <c r="AC66" s="1837">
        <f t="shared" si="38"/>
        <v>0</v>
      </c>
      <c r="AD66" s="1837">
        <f t="shared" si="38"/>
        <v>0</v>
      </c>
      <c r="AE66" s="1837">
        <f t="shared" si="38"/>
        <v>0</v>
      </c>
      <c r="AF66" s="1837">
        <f t="shared" si="38"/>
        <v>0</v>
      </c>
      <c r="AG66" s="1837">
        <f t="shared" si="38"/>
        <v>0</v>
      </c>
      <c r="AH66" s="1837">
        <f t="shared" si="38"/>
        <v>0</v>
      </c>
      <c r="AI66" s="1837">
        <f t="shared" si="38"/>
        <v>0</v>
      </c>
      <c r="AJ66" s="1837">
        <f t="shared" si="38"/>
        <v>0</v>
      </c>
      <c r="AK66" s="1837"/>
      <c r="AL66" s="1837">
        <f t="shared" si="30"/>
        <v>0</v>
      </c>
      <c r="BI66" s="1841" t="s">
        <v>1503</v>
      </c>
      <c r="BJ66" s="1842" t="s">
        <v>922</v>
      </c>
      <c r="BK66" s="1842" t="s">
        <v>1466</v>
      </c>
      <c r="BL66" s="1842"/>
      <c r="BM66" s="1852"/>
      <c r="BN66" s="1851"/>
      <c r="BO66" s="1851"/>
      <c r="BU66" s="1841" t="s">
        <v>1508</v>
      </c>
      <c r="BV66" s="1842" t="s">
        <v>922</v>
      </c>
      <c r="BW66" s="1842" t="s">
        <v>1466</v>
      </c>
      <c r="BX66" s="1842"/>
      <c r="BZ66" s="1851"/>
      <c r="CA66" s="1851"/>
    </row>
    <row r="67" spans="1:81">
      <c r="A67" s="1838">
        <v>2023</v>
      </c>
      <c r="B67" s="1870">
        <v>0</v>
      </c>
      <c r="C67" s="1837"/>
      <c r="D67" s="1837"/>
      <c r="E67" s="1837"/>
      <c r="F67" s="1837"/>
      <c r="G67" s="1837"/>
      <c r="H67" s="1837"/>
      <c r="I67" s="1837"/>
      <c r="J67" s="1837"/>
      <c r="K67" s="1837"/>
      <c r="L67" s="1837"/>
      <c r="M67" s="1837"/>
      <c r="N67" s="1837"/>
      <c r="O67" s="1837"/>
      <c r="P67" s="1837"/>
      <c r="Q67" s="1837"/>
      <c r="R67" s="1837"/>
      <c r="S67" s="1837"/>
      <c r="T67" s="1837"/>
      <c r="U67" s="1837"/>
      <c r="V67" s="1837"/>
      <c r="W67" s="1837"/>
      <c r="X67" s="1837"/>
      <c r="Y67" s="1837"/>
      <c r="Z67" s="1837"/>
      <c r="AA67" s="1837"/>
      <c r="AB67" s="1837">
        <f t="shared" ref="AB67:AK67" si="39">$B$67/10</f>
        <v>0</v>
      </c>
      <c r="AC67" s="1837">
        <f t="shared" si="39"/>
        <v>0</v>
      </c>
      <c r="AD67" s="1837">
        <f t="shared" si="39"/>
        <v>0</v>
      </c>
      <c r="AE67" s="1837">
        <f t="shared" si="39"/>
        <v>0</v>
      </c>
      <c r="AF67" s="1837">
        <f t="shared" si="39"/>
        <v>0</v>
      </c>
      <c r="AG67" s="1837">
        <f t="shared" si="39"/>
        <v>0</v>
      </c>
      <c r="AH67" s="1837">
        <f t="shared" si="39"/>
        <v>0</v>
      </c>
      <c r="AI67" s="1837">
        <f t="shared" si="39"/>
        <v>0</v>
      </c>
      <c r="AJ67" s="1837">
        <f t="shared" si="39"/>
        <v>0</v>
      </c>
      <c r="AK67" s="1837">
        <f t="shared" si="39"/>
        <v>0</v>
      </c>
      <c r="AL67" s="1837">
        <f t="shared" si="30"/>
        <v>0</v>
      </c>
      <c r="BI67" s="1841"/>
      <c r="BJ67" s="1842" t="s">
        <v>923</v>
      </c>
      <c r="BK67" s="1842" t="s">
        <v>1471</v>
      </c>
      <c r="BL67" s="1842"/>
      <c r="BM67" s="1851"/>
      <c r="BN67" s="1851"/>
      <c r="BO67" s="1851"/>
      <c r="BU67" s="1841"/>
      <c r="BV67" s="1842" t="s">
        <v>923</v>
      </c>
      <c r="BW67" s="1842" t="s">
        <v>1471</v>
      </c>
      <c r="BX67" s="1842"/>
      <c r="BY67" s="1851"/>
      <c r="BZ67" s="1851"/>
      <c r="CA67" s="1851"/>
    </row>
    <row r="68" spans="1:81" ht="13.5" thickBot="1">
      <c r="A68" s="996" t="s">
        <v>706</v>
      </c>
      <c r="B68" s="1906">
        <f>SUM(B42:B67)</f>
        <v>243694.508642756</v>
      </c>
      <c r="C68" s="1906">
        <f t="shared" ref="C68:K68" si="40">SUM(C42:C63)</f>
        <v>0</v>
      </c>
      <c r="D68" s="1906">
        <f t="shared" si="40"/>
        <v>9459</v>
      </c>
      <c r="E68" s="1906">
        <f t="shared" si="40"/>
        <v>10169</v>
      </c>
      <c r="F68" s="1906">
        <f t="shared" si="40"/>
        <v>10561</v>
      </c>
      <c r="G68" s="1906">
        <f t="shared" si="40"/>
        <v>13093</v>
      </c>
      <c r="H68" s="1906">
        <f t="shared" si="40"/>
        <v>12879</v>
      </c>
      <c r="I68" s="1906">
        <f t="shared" si="40"/>
        <v>12885</v>
      </c>
      <c r="J68" s="1906">
        <f t="shared" si="40"/>
        <v>12948</v>
      </c>
      <c r="K68" s="1906">
        <f t="shared" si="40"/>
        <v>12958</v>
      </c>
      <c r="L68" s="1906">
        <f t="shared" ref="L68:AL68" si="41">SUM(L42:L67)</f>
        <v>12961</v>
      </c>
      <c r="M68" s="1906">
        <f t="shared" si="41"/>
        <v>13306</v>
      </c>
      <c r="N68" s="1906">
        <f t="shared" si="41"/>
        <v>3997</v>
      </c>
      <c r="O68" s="1906">
        <f t="shared" si="41"/>
        <v>3330</v>
      </c>
      <c r="P68" s="1906">
        <f t="shared" si="41"/>
        <v>2938</v>
      </c>
      <c r="Q68" s="1906">
        <f t="shared" si="41"/>
        <v>406</v>
      </c>
      <c r="R68" s="1906">
        <f t="shared" si="41"/>
        <v>620</v>
      </c>
      <c r="S68" s="1906">
        <f t="shared" si="41"/>
        <v>6241</v>
      </c>
      <c r="T68" s="1906">
        <f t="shared" si="41"/>
        <v>9884.5</v>
      </c>
      <c r="U68" s="1906">
        <f t="shared" si="41"/>
        <v>13032.78083146722</v>
      </c>
      <c r="V68" s="1906">
        <f t="shared" si="41"/>
        <v>13034.78083146722</v>
      </c>
      <c r="W68" s="1906">
        <f t="shared" si="41"/>
        <v>12683.78083146722</v>
      </c>
      <c r="X68" s="1906">
        <f t="shared" si="41"/>
        <v>10970.880831467221</v>
      </c>
      <c r="Y68" s="1906">
        <f t="shared" si="41"/>
        <v>10931.880831467221</v>
      </c>
      <c r="Z68" s="1906">
        <f t="shared" si="41"/>
        <v>10872.3511276356</v>
      </c>
      <c r="AA68" s="1906">
        <f t="shared" si="41"/>
        <v>10872.3511276356</v>
      </c>
      <c r="AB68" s="1906">
        <f t="shared" si="41"/>
        <v>10874.3511276356</v>
      </c>
      <c r="AC68" s="1906">
        <f t="shared" si="41"/>
        <v>5245.3511276356003</v>
      </c>
      <c r="AD68" s="1906">
        <f t="shared" si="41"/>
        <v>1538.8511276355996</v>
      </c>
      <c r="AE68" s="1906">
        <f t="shared" si="41"/>
        <v>-1622.4297038316201</v>
      </c>
      <c r="AF68" s="1906">
        <f t="shared" si="41"/>
        <v>-1622.4297038316201</v>
      </c>
      <c r="AG68" s="1906">
        <f t="shared" si="41"/>
        <v>-1622.4297038316201</v>
      </c>
      <c r="AH68" s="1906">
        <f t="shared" si="41"/>
        <v>-59.529703831619997</v>
      </c>
      <c r="AI68" s="1906">
        <f t="shared" si="41"/>
        <v>-59.529703831619997</v>
      </c>
      <c r="AJ68" s="1906">
        <f t="shared" si="41"/>
        <v>0</v>
      </c>
      <c r="AK68" s="1906">
        <f t="shared" si="41"/>
        <v>0</v>
      </c>
      <c r="AL68" s="1906">
        <f t="shared" si="41"/>
        <v>243825.57068401924</v>
      </c>
      <c r="BI68" s="1841"/>
      <c r="BJ68" s="1842" t="s">
        <v>924</v>
      </c>
      <c r="BK68" s="1842" t="s">
        <v>1474</v>
      </c>
      <c r="BL68" s="1842"/>
      <c r="BM68" s="1851"/>
      <c r="BN68" s="1851"/>
      <c r="BO68" s="1851"/>
      <c r="BU68" s="1841"/>
      <c r="BV68" s="1842" t="s">
        <v>924</v>
      </c>
      <c r="BW68" s="1842" t="s">
        <v>1474</v>
      </c>
      <c r="BX68" s="1842"/>
      <c r="BY68" s="1907"/>
      <c r="BZ68" s="1851"/>
      <c r="CA68" s="1851"/>
    </row>
    <row r="69" spans="1:81">
      <c r="A69" s="996"/>
      <c r="B69" s="1908"/>
      <c r="C69" s="1908"/>
      <c r="D69" s="1908"/>
      <c r="E69" s="1908"/>
      <c r="F69" s="1908"/>
      <c r="G69" s="1908"/>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c r="AL69" s="1908"/>
      <c r="BI69" s="1841"/>
      <c r="BJ69" s="1842" t="s">
        <v>1475</v>
      </c>
      <c r="BK69" s="1842" t="s">
        <v>1476</v>
      </c>
      <c r="BL69" s="1842"/>
      <c r="BM69" s="1851"/>
      <c r="BN69" s="1851"/>
      <c r="BO69" s="1851"/>
      <c r="BU69" s="1841"/>
      <c r="BV69" s="1842" t="s">
        <v>1475</v>
      </c>
      <c r="BW69" s="1842" t="s">
        <v>1476</v>
      </c>
      <c r="BX69" s="1842"/>
      <c r="BY69" s="1851"/>
      <c r="BZ69" s="1851"/>
      <c r="CA69" s="1851"/>
    </row>
    <row r="70" spans="1:81">
      <c r="A70" s="996"/>
      <c r="B70" s="1837"/>
      <c r="C70" s="1837"/>
      <c r="D70" s="1837"/>
      <c r="E70" s="1837"/>
      <c r="F70" s="1837"/>
      <c r="G70" s="1837"/>
      <c r="H70" s="1837"/>
      <c r="I70" s="1837"/>
      <c r="J70" s="1837"/>
      <c r="K70" s="1837"/>
      <c r="L70" s="1897"/>
      <c r="M70" s="1897"/>
      <c r="N70" s="1897"/>
      <c r="O70" s="1897"/>
      <c r="P70" s="1897"/>
      <c r="Q70" s="1897">
        <v>44743</v>
      </c>
      <c r="R70" s="1897">
        <v>44774</v>
      </c>
      <c r="S70" s="1897">
        <v>44805</v>
      </c>
      <c r="T70" s="1897">
        <v>44835</v>
      </c>
      <c r="U70" s="1897">
        <v>44866</v>
      </c>
      <c r="V70" s="1897">
        <v>44896</v>
      </c>
      <c r="W70" s="1897">
        <v>44927</v>
      </c>
      <c r="X70" s="1897">
        <v>44958</v>
      </c>
      <c r="Y70" s="1897">
        <v>44986</v>
      </c>
      <c r="Z70" s="1897">
        <v>45017</v>
      </c>
      <c r="AA70" s="1897">
        <v>45047</v>
      </c>
      <c r="AB70" s="1897">
        <v>45078</v>
      </c>
      <c r="AC70" s="1898"/>
      <c r="AD70" s="1898"/>
      <c r="AE70" s="1898"/>
      <c r="AF70" s="1898"/>
      <c r="AG70" s="1898"/>
      <c r="AH70" s="1898"/>
      <c r="AI70" s="1898"/>
      <c r="AJ70" s="1898"/>
      <c r="AK70" s="1898"/>
      <c r="AL70" s="1898" t="s">
        <v>24</v>
      </c>
      <c r="BI70" s="1841"/>
      <c r="BJ70" s="1842" t="s">
        <v>1479</v>
      </c>
      <c r="BK70" s="1842" t="s">
        <v>1480</v>
      </c>
      <c r="BL70" s="1842"/>
      <c r="BM70" s="1896"/>
      <c r="BN70" s="1851"/>
      <c r="BO70" s="1851"/>
      <c r="BP70" s="1861"/>
      <c r="BU70" s="1841"/>
      <c r="BV70" s="1842" t="s">
        <v>1479</v>
      </c>
      <c r="BW70" s="1842" t="s">
        <v>1480</v>
      </c>
      <c r="BX70" s="1842"/>
      <c r="BY70" s="1896"/>
      <c r="BZ70" s="1851"/>
      <c r="CA70" s="1851"/>
      <c r="CB70" s="1861"/>
    </row>
    <row r="71" spans="1:81">
      <c r="A71" s="1184" t="s">
        <v>1509</v>
      </c>
      <c r="B71" s="1837"/>
      <c r="C71" s="1837"/>
      <c r="D71" s="1837"/>
      <c r="E71" s="1837"/>
      <c r="F71" s="1837"/>
      <c r="G71" s="1837"/>
      <c r="H71" s="1837"/>
      <c r="I71" s="1837"/>
      <c r="J71" s="1837"/>
      <c r="K71" s="1837"/>
      <c r="L71" s="1837"/>
      <c r="M71" s="1837"/>
      <c r="N71" s="1837"/>
      <c r="O71" s="1837"/>
      <c r="P71" s="1837"/>
      <c r="Q71" s="1837">
        <f t="shared" ref="Q71:V71" si="42">$AA$68/12</f>
        <v>906.02926063630002</v>
      </c>
      <c r="R71" s="1837">
        <f t="shared" si="42"/>
        <v>906.02926063630002</v>
      </c>
      <c r="S71" s="1837">
        <f t="shared" si="42"/>
        <v>906.02926063630002</v>
      </c>
      <c r="T71" s="1837">
        <f t="shared" si="42"/>
        <v>906.02926063630002</v>
      </c>
      <c r="U71" s="1837">
        <f t="shared" si="42"/>
        <v>906.02926063630002</v>
      </c>
      <c r="V71" s="1837">
        <f t="shared" si="42"/>
        <v>906.02926063630002</v>
      </c>
      <c r="W71" s="1837">
        <f t="shared" ref="W71:AB71" si="43">$AB$68/12</f>
        <v>906.19592730296665</v>
      </c>
      <c r="X71" s="1837">
        <f t="shared" si="43"/>
        <v>906.19592730296665</v>
      </c>
      <c r="Y71" s="1837">
        <f t="shared" si="43"/>
        <v>906.19592730296665</v>
      </c>
      <c r="Z71" s="1837">
        <f t="shared" si="43"/>
        <v>906.19592730296665</v>
      </c>
      <c r="AA71" s="1837">
        <f t="shared" si="43"/>
        <v>906.19592730296665</v>
      </c>
      <c r="AB71" s="1837">
        <f t="shared" si="43"/>
        <v>906.19592730296665</v>
      </c>
      <c r="AC71" s="1837"/>
      <c r="AD71" s="1837"/>
      <c r="AE71" s="1837"/>
      <c r="AF71" s="1837"/>
      <c r="AG71" s="1837"/>
      <c r="AH71" s="1837"/>
      <c r="AI71" s="1837"/>
      <c r="AJ71" s="1837"/>
      <c r="AK71" s="1837"/>
      <c r="AL71" s="1899">
        <f>SUM(Q71:AB71)</f>
        <v>10873.3511276356</v>
      </c>
      <c r="BI71" s="1841"/>
      <c r="BJ71" s="1842" t="s">
        <v>1481</v>
      </c>
      <c r="BK71" s="1842" t="s">
        <v>1482</v>
      </c>
      <c r="BL71" s="1842"/>
      <c r="BM71" s="1863"/>
      <c r="BN71" s="1851"/>
      <c r="BO71" s="1851"/>
      <c r="BP71" s="1861"/>
      <c r="BU71" s="1841"/>
      <c r="BV71" s="1842" t="s">
        <v>1481</v>
      </c>
      <c r="BW71" s="1842" t="s">
        <v>1482</v>
      </c>
      <c r="BX71" s="1842"/>
      <c r="BY71" s="1863"/>
      <c r="BZ71" s="1851"/>
      <c r="CA71" s="1851"/>
      <c r="CB71" s="1861"/>
    </row>
    <row r="72" spans="1:81">
      <c r="A72" s="996"/>
      <c r="B72" s="996"/>
      <c r="C72" s="996"/>
      <c r="D72" s="996"/>
      <c r="E72" s="996"/>
      <c r="F72" s="996"/>
      <c r="G72" s="996"/>
      <c r="H72" s="996"/>
      <c r="I72" s="996"/>
      <c r="J72" s="996"/>
      <c r="K72" s="996"/>
      <c r="L72" s="996"/>
      <c r="M72" s="996"/>
      <c r="N72" s="996"/>
      <c r="Q72" s="1837"/>
      <c r="R72" s="1837"/>
      <c r="S72" s="1837"/>
      <c r="T72" s="1900"/>
      <c r="U72" s="1837"/>
      <c r="V72" s="996"/>
      <c r="W72" s="996"/>
      <c r="X72" s="996"/>
      <c r="Y72" s="996"/>
      <c r="Z72" s="996"/>
      <c r="AA72" s="996"/>
      <c r="AB72" s="996"/>
      <c r="AC72" s="996"/>
      <c r="AD72" s="996"/>
      <c r="AE72" s="996"/>
      <c r="AF72" s="996"/>
      <c r="AG72" s="996"/>
      <c r="AH72" s="996"/>
      <c r="AI72" s="996"/>
      <c r="AJ72" s="996"/>
      <c r="AK72" s="996"/>
      <c r="AL72" s="996"/>
      <c r="BI72" s="1841"/>
      <c r="BJ72" s="1842" t="s">
        <v>1484</v>
      </c>
      <c r="BK72" s="1842" t="s">
        <v>1485</v>
      </c>
      <c r="BL72" s="1842"/>
      <c r="BM72" s="1868"/>
      <c r="BN72" s="1851"/>
      <c r="BO72" s="1851"/>
      <c r="BP72" s="1861"/>
      <c r="BU72" s="1841"/>
      <c r="BV72" s="1842" t="s">
        <v>1484</v>
      </c>
      <c r="BW72" s="1842" t="s">
        <v>1485</v>
      </c>
      <c r="BX72" s="1842"/>
      <c r="BY72" s="1868"/>
      <c r="BZ72" s="1851"/>
      <c r="CA72" s="1851"/>
      <c r="CB72" s="1861"/>
    </row>
    <row r="73" spans="1:81">
      <c r="BI73" s="1841"/>
      <c r="BJ73" s="1842" t="s">
        <v>1486</v>
      </c>
      <c r="BK73" s="1842" t="s">
        <v>1487</v>
      </c>
      <c r="BL73" s="1842"/>
      <c r="BM73" s="1868"/>
      <c r="BN73" s="1851"/>
      <c r="BO73" s="1851"/>
      <c r="BP73" s="1861"/>
      <c r="BU73" s="1841"/>
      <c r="BV73" s="1842" t="s">
        <v>1486</v>
      </c>
      <c r="BW73" s="1842" t="s">
        <v>1487</v>
      </c>
      <c r="BX73" s="1842"/>
      <c r="BY73" s="1868"/>
      <c r="BZ73" s="1851"/>
      <c r="CA73" s="1851"/>
      <c r="CB73" s="1861"/>
    </row>
    <row r="74" spans="1:81">
      <c r="BI74" s="1841"/>
      <c r="BJ74" s="1842" t="s">
        <v>1488</v>
      </c>
      <c r="BK74" s="1842" t="s">
        <v>1489</v>
      </c>
      <c r="BL74" s="1842"/>
      <c r="BM74" s="1869"/>
      <c r="BN74" s="1851"/>
      <c r="BO74" s="1851"/>
      <c r="BP74" s="1861"/>
      <c r="BU74" s="1841"/>
      <c r="BV74" s="1842" t="s">
        <v>1488</v>
      </c>
      <c r="BW74" s="1842" t="s">
        <v>1489</v>
      </c>
      <c r="BX74" s="1842"/>
      <c r="BY74" s="1869"/>
      <c r="BZ74" s="1851"/>
      <c r="CA74" s="1851"/>
      <c r="CB74" s="1861"/>
    </row>
    <row r="75" spans="1:81">
      <c r="BI75" s="1841"/>
      <c r="BJ75" s="1842" t="s">
        <v>1490</v>
      </c>
      <c r="BK75" s="1842" t="s">
        <v>1491</v>
      </c>
      <c r="BL75" s="1842"/>
      <c r="BM75" s="1854"/>
      <c r="BN75" s="1851"/>
      <c r="BO75" s="1851"/>
      <c r="BP75" s="1861"/>
      <c r="BU75" s="1841"/>
      <c r="BV75" s="1842" t="s">
        <v>1490</v>
      </c>
      <c r="BW75" s="1842" t="s">
        <v>1491</v>
      </c>
      <c r="BX75" s="1842"/>
      <c r="BY75" s="1871"/>
      <c r="BZ75" s="1851"/>
      <c r="CA75" s="1851"/>
      <c r="CB75" s="1861"/>
    </row>
    <row r="76" spans="1:81">
      <c r="BI76" s="1841"/>
      <c r="BJ76" s="1842" t="s">
        <v>1492</v>
      </c>
      <c r="BK76" s="1842" t="s">
        <v>1493</v>
      </c>
      <c r="BL76" s="1842"/>
      <c r="BM76" s="1901"/>
      <c r="BN76" s="1851"/>
      <c r="BO76" s="1851"/>
      <c r="BP76" s="1873">
        <f>BM76</f>
        <v>0</v>
      </c>
      <c r="BQ76" s="1892"/>
      <c r="BU76" s="1841"/>
      <c r="BV76" s="1842" t="s">
        <v>1492</v>
      </c>
      <c r="BW76" s="1842" t="s">
        <v>1493</v>
      </c>
      <c r="BX76" s="1842"/>
      <c r="BY76" s="1901"/>
      <c r="BZ76" s="1851"/>
      <c r="CA76" s="1851"/>
      <c r="CB76" s="1873">
        <f>BY70-BY71-BY72+BY73</f>
        <v>0</v>
      </c>
      <c r="CC76" s="1892"/>
    </row>
    <row r="77" spans="1:81">
      <c r="BI77" s="1841"/>
      <c r="BJ77" s="1842"/>
      <c r="BK77" s="1842"/>
      <c r="BL77" s="1842"/>
      <c r="BM77" s="1851"/>
      <c r="BN77" s="1851"/>
      <c r="BO77" s="1851"/>
      <c r="BU77" s="1841"/>
      <c r="BV77" s="1842"/>
      <c r="BW77" s="1842"/>
      <c r="BX77" s="1842"/>
      <c r="BY77" s="1851"/>
      <c r="BZ77" s="1851"/>
      <c r="CA77" s="1851"/>
    </row>
    <row r="78" spans="1:81">
      <c r="BI78" s="1841" t="s">
        <v>1505</v>
      </c>
      <c r="BJ78" s="1842" t="s">
        <v>922</v>
      </c>
      <c r="BK78" s="1842" t="s">
        <v>1466</v>
      </c>
      <c r="BL78" s="1842"/>
      <c r="BM78" s="1852"/>
      <c r="BN78" s="1851"/>
      <c r="BO78" s="1851"/>
      <c r="BU78" s="1841" t="s">
        <v>1510</v>
      </c>
      <c r="BV78" s="1842" t="s">
        <v>922</v>
      </c>
      <c r="BW78" s="1842" t="s">
        <v>1466</v>
      </c>
      <c r="BX78" s="1842"/>
      <c r="BY78" s="1852"/>
      <c r="BZ78" s="1851"/>
      <c r="CA78" s="1851"/>
    </row>
    <row r="79" spans="1:81">
      <c r="BI79" s="1841"/>
      <c r="BJ79" s="1842" t="s">
        <v>923</v>
      </c>
      <c r="BK79" s="1842" t="s">
        <v>1471</v>
      </c>
      <c r="BL79" s="1842"/>
      <c r="BM79" s="1851"/>
      <c r="BN79" s="1851"/>
      <c r="BO79" s="1851"/>
      <c r="BU79" s="1841"/>
      <c r="BV79" s="1842" t="s">
        <v>923</v>
      </c>
      <c r="BW79" s="1842" t="s">
        <v>1471</v>
      </c>
      <c r="BX79" s="1842"/>
      <c r="BY79" s="1851"/>
      <c r="BZ79" s="1851"/>
      <c r="CA79" s="1851"/>
    </row>
    <row r="80" spans="1:81">
      <c r="BI80" s="1841"/>
      <c r="BJ80" s="1842" t="s">
        <v>924</v>
      </c>
      <c r="BK80" s="1842" t="s">
        <v>1474</v>
      </c>
      <c r="BL80" s="1842"/>
      <c r="BM80" s="1851"/>
      <c r="BN80" s="1851"/>
      <c r="BO80" s="1851"/>
      <c r="BU80" s="1841"/>
      <c r="BV80" s="1842" t="s">
        <v>924</v>
      </c>
      <c r="BW80" s="1842" t="s">
        <v>1474</v>
      </c>
      <c r="BX80" s="1842"/>
      <c r="BY80" s="1851"/>
      <c r="BZ80" s="1851"/>
      <c r="CA80" s="1851"/>
    </row>
    <row r="81" spans="61:82">
      <c r="BI81" s="1841"/>
      <c r="BJ81" s="1842" t="s">
        <v>1475</v>
      </c>
      <c r="BK81" s="1842" t="s">
        <v>1476</v>
      </c>
      <c r="BL81" s="1842"/>
      <c r="BM81" s="1851"/>
      <c r="BN81" s="1851"/>
      <c r="BO81" s="1851"/>
      <c r="BU81" s="1841"/>
      <c r="BV81" s="1842" t="s">
        <v>1475</v>
      </c>
      <c r="BW81" s="1842" t="s">
        <v>1476</v>
      </c>
      <c r="BX81" s="1842"/>
      <c r="BY81" s="1851"/>
      <c r="BZ81" s="1851"/>
      <c r="CA81" s="1851"/>
    </row>
    <row r="82" spans="61:82">
      <c r="BI82" s="1841"/>
      <c r="BJ82" s="1842" t="s">
        <v>1479</v>
      </c>
      <c r="BK82" s="1842" t="s">
        <v>1480</v>
      </c>
      <c r="BL82" s="1842"/>
      <c r="BM82" s="1896"/>
      <c r="BN82" s="1851"/>
      <c r="BO82" s="1851"/>
      <c r="BP82" s="1861"/>
      <c r="BU82" s="1841"/>
      <c r="BV82" s="1842" t="s">
        <v>1479</v>
      </c>
      <c r="BW82" s="1842" t="s">
        <v>1480</v>
      </c>
      <c r="BX82" s="1842"/>
      <c r="BY82" s="1896">
        <v>0</v>
      </c>
      <c r="BZ82" s="1851"/>
      <c r="CA82" s="1851"/>
      <c r="CB82" s="1861"/>
    </row>
    <row r="83" spans="61:82">
      <c r="BI83" s="1841"/>
      <c r="BJ83" s="1842" t="s">
        <v>1481</v>
      </c>
      <c r="BK83" s="1842" t="s">
        <v>1482</v>
      </c>
      <c r="BL83" s="1842"/>
      <c r="BM83" s="1863"/>
      <c r="BN83" s="1851"/>
      <c r="BO83" s="1851"/>
      <c r="BP83" s="1861"/>
      <c r="BU83" s="1841"/>
      <c r="BV83" s="1842" t="s">
        <v>1481</v>
      </c>
      <c r="BW83" s="1842" t="s">
        <v>1482</v>
      </c>
      <c r="BX83" s="1842"/>
      <c r="BY83" s="1863">
        <v>0</v>
      </c>
      <c r="BZ83" s="1851"/>
      <c r="CA83" s="1851"/>
      <c r="CB83" s="1861"/>
    </row>
    <row r="84" spans="61:82">
      <c r="BI84" s="1841"/>
      <c r="BJ84" s="1842" t="s">
        <v>1484</v>
      </c>
      <c r="BK84" s="1842" t="s">
        <v>1485</v>
      </c>
      <c r="BL84" s="1842"/>
      <c r="BM84" s="1868"/>
      <c r="BN84" s="1851"/>
      <c r="BO84" s="1851"/>
      <c r="BP84" s="1861"/>
      <c r="BU84" s="1841"/>
      <c r="BV84" s="1842" t="s">
        <v>1484</v>
      </c>
      <c r="BW84" s="1842" t="s">
        <v>1485</v>
      </c>
      <c r="BX84" s="1842"/>
      <c r="BY84" s="1868">
        <v>0</v>
      </c>
      <c r="BZ84" s="1851"/>
      <c r="CA84" s="1851"/>
      <c r="CB84" s="1861"/>
    </row>
    <row r="85" spans="61:82">
      <c r="BI85" s="1841"/>
      <c r="BJ85" s="1842" t="s">
        <v>1486</v>
      </c>
      <c r="BK85" s="1842" t="s">
        <v>1487</v>
      </c>
      <c r="BL85" s="1842"/>
      <c r="BM85" s="1868"/>
      <c r="BN85" s="1851"/>
      <c r="BO85" s="1851"/>
      <c r="BP85" s="1861"/>
      <c r="BU85" s="1841"/>
      <c r="BV85" s="1842" t="s">
        <v>1486</v>
      </c>
      <c r="BW85" s="1842" t="s">
        <v>1487</v>
      </c>
      <c r="BX85" s="1842"/>
      <c r="BY85" s="1868">
        <v>0</v>
      </c>
      <c r="BZ85" s="1851"/>
      <c r="CA85" s="1851"/>
      <c r="CB85" s="1861"/>
    </row>
    <row r="86" spans="61:82">
      <c r="BI86" s="1841"/>
      <c r="BJ86" s="1842" t="s">
        <v>1488</v>
      </c>
      <c r="BK86" s="1842" t="s">
        <v>1489</v>
      </c>
      <c r="BL86" s="1842"/>
      <c r="BM86" s="1869"/>
      <c r="BN86" s="1851"/>
      <c r="BO86" s="1851"/>
      <c r="BP86" s="1861"/>
      <c r="BU86" s="1841"/>
      <c r="BV86" s="1842" t="s">
        <v>1488</v>
      </c>
      <c r="BW86" s="1842" t="s">
        <v>1489</v>
      </c>
      <c r="BX86" s="1842"/>
      <c r="BY86" s="1869"/>
      <c r="BZ86" s="1851"/>
      <c r="CA86" s="1851"/>
      <c r="CB86" s="1861"/>
    </row>
    <row r="87" spans="61:82">
      <c r="BI87" s="1841"/>
      <c r="BJ87" s="1842" t="s">
        <v>1490</v>
      </c>
      <c r="BK87" s="1842" t="s">
        <v>1491</v>
      </c>
      <c r="BL87" s="1842"/>
      <c r="BM87" s="1871"/>
      <c r="BN87" s="1851"/>
      <c r="BO87" s="1851"/>
      <c r="BP87" s="1861"/>
      <c r="BU87" s="1841"/>
      <c r="BV87" s="1842" t="s">
        <v>1490</v>
      </c>
      <c r="BW87" s="1842" t="s">
        <v>1491</v>
      </c>
      <c r="BX87" s="1842"/>
      <c r="BY87" s="1871"/>
      <c r="BZ87" s="1851"/>
      <c r="CA87" s="1851"/>
      <c r="CB87" s="1861"/>
    </row>
    <row r="88" spans="61:82">
      <c r="BI88" s="1841"/>
      <c r="BJ88" s="1842" t="s">
        <v>1492</v>
      </c>
      <c r="BK88" s="1842" t="s">
        <v>1493</v>
      </c>
      <c r="BL88" s="1842"/>
      <c r="BM88" s="1901"/>
      <c r="BN88" s="1851"/>
      <c r="BO88" s="1851"/>
      <c r="BP88" s="1873">
        <f>BM82-BM83-BM84+BM85</f>
        <v>0</v>
      </c>
      <c r="BQ88" s="1892"/>
      <c r="BU88" s="1841"/>
      <c r="BV88" s="1842" t="s">
        <v>1492</v>
      </c>
      <c r="BW88" s="1842" t="s">
        <v>1493</v>
      </c>
      <c r="BX88" s="1842"/>
      <c r="BY88" s="1901">
        <f>BY82-BY83-BY84+BY85</f>
        <v>0</v>
      </c>
      <c r="BZ88" s="1851"/>
      <c r="CA88" s="1851"/>
      <c r="CB88" s="1873">
        <f>BY82-BY83-BY84+BY85</f>
        <v>0</v>
      </c>
    </row>
    <row r="89" spans="61:82">
      <c r="BI89" s="1841"/>
      <c r="BJ89" s="1842"/>
      <c r="BK89" s="1842"/>
      <c r="BL89" s="1842"/>
      <c r="BM89" s="1851"/>
      <c r="BN89" s="1851"/>
      <c r="BO89" s="1851"/>
      <c r="BU89" s="1841"/>
      <c r="BV89" s="1842"/>
      <c r="BW89" s="1842"/>
      <c r="BX89" s="1842"/>
      <c r="BY89" s="1851"/>
      <c r="BZ89" s="1851"/>
      <c r="CA89" s="1851"/>
    </row>
    <row r="90" spans="61:82">
      <c r="BI90" s="1841" t="s">
        <v>1507</v>
      </c>
      <c r="BJ90" s="1842" t="s">
        <v>922</v>
      </c>
      <c r="BK90" s="1842" t="s">
        <v>1466</v>
      </c>
      <c r="BL90" s="1842"/>
      <c r="BM90" s="1852"/>
      <c r="BN90" s="1851"/>
      <c r="BO90" s="1851"/>
    </row>
    <row r="91" spans="61:82">
      <c r="BI91" s="1841"/>
      <c r="BJ91" s="1842" t="s">
        <v>923</v>
      </c>
      <c r="BK91" s="1842" t="s">
        <v>1471</v>
      </c>
      <c r="BL91" s="1842"/>
      <c r="BM91" s="1851"/>
      <c r="BN91" s="1851"/>
      <c r="BO91" s="1851"/>
      <c r="BU91" s="1841"/>
      <c r="BV91" s="1842"/>
      <c r="BW91" s="1842"/>
      <c r="BX91" s="1842"/>
      <c r="BY91" s="1851"/>
      <c r="BZ91" s="1851"/>
      <c r="CA91" s="1851"/>
      <c r="CB91" s="1873">
        <f>SUM(CB6:CB90)</f>
        <v>1799247.31</v>
      </c>
      <c r="CC91" s="1839" t="s">
        <v>24</v>
      </c>
      <c r="CD91" s="1839" t="s">
        <v>1511</v>
      </c>
    </row>
    <row r="92" spans="61:82">
      <c r="BI92" s="1841"/>
      <c r="BJ92" s="1842" t="s">
        <v>924</v>
      </c>
      <c r="BK92" s="1842" t="s">
        <v>1474</v>
      </c>
      <c r="BL92" s="1842"/>
      <c r="BM92" s="1851"/>
      <c r="BN92" s="1851"/>
      <c r="BO92" s="1851"/>
      <c r="CB92" s="1861">
        <v>51389.620000000112</v>
      </c>
    </row>
    <row r="93" spans="61:82">
      <c r="BI93" s="1841"/>
      <c r="BJ93" s="1842" t="s">
        <v>1475</v>
      </c>
      <c r="BK93" s="1842" t="s">
        <v>1476</v>
      </c>
      <c r="BL93" s="1842"/>
      <c r="BM93" s="1851"/>
      <c r="BN93" s="1851"/>
      <c r="BO93" s="1851"/>
      <c r="CB93" s="1861"/>
    </row>
    <row r="94" spans="61:82">
      <c r="BI94" s="1841"/>
      <c r="BJ94" s="1842" t="s">
        <v>1479</v>
      </c>
      <c r="BK94" s="1842" t="s">
        <v>1480</v>
      </c>
      <c r="BL94" s="1842"/>
      <c r="BM94" s="1896"/>
      <c r="BN94" s="1851"/>
      <c r="BO94" s="1851"/>
      <c r="BP94" s="1861"/>
    </row>
    <row r="95" spans="61:82">
      <c r="BI95" s="1841"/>
      <c r="BJ95" s="1842" t="s">
        <v>1481</v>
      </c>
      <c r="BK95" s="1842" t="s">
        <v>1482</v>
      </c>
      <c r="BL95" s="1842"/>
      <c r="BM95" s="1863"/>
      <c r="BN95" s="1851"/>
      <c r="BO95" s="1851"/>
      <c r="BP95" s="1861"/>
    </row>
    <row r="96" spans="61:82">
      <c r="BI96" s="1841"/>
      <c r="BJ96" s="1842" t="s">
        <v>1484</v>
      </c>
      <c r="BK96" s="1842" t="s">
        <v>1485</v>
      </c>
      <c r="BL96" s="1842"/>
      <c r="BM96" s="1868"/>
      <c r="BN96" s="1851"/>
      <c r="BO96" s="1851"/>
      <c r="BP96" s="1861"/>
    </row>
    <row r="97" spans="61:69">
      <c r="BI97" s="1841"/>
      <c r="BJ97" s="1842" t="s">
        <v>1486</v>
      </c>
      <c r="BK97" s="1842" t="s">
        <v>1487</v>
      </c>
      <c r="BL97" s="1842"/>
      <c r="BM97" s="1868"/>
      <c r="BN97" s="1851"/>
      <c r="BO97" s="1851"/>
      <c r="BP97" s="1861"/>
    </row>
    <row r="98" spans="61:69">
      <c r="BI98" s="1841"/>
      <c r="BJ98" s="1842" t="s">
        <v>1488</v>
      </c>
      <c r="BK98" s="1842" t="s">
        <v>1489</v>
      </c>
      <c r="BL98" s="1842"/>
      <c r="BM98" s="1869"/>
      <c r="BN98" s="1851"/>
      <c r="BO98" s="1851"/>
      <c r="BP98" s="1861"/>
    </row>
    <row r="99" spans="61:69">
      <c r="BI99" s="1841"/>
      <c r="BJ99" s="1842" t="s">
        <v>1490</v>
      </c>
      <c r="BK99" s="1842" t="s">
        <v>1491</v>
      </c>
      <c r="BL99" s="1842"/>
      <c r="BM99" s="1871"/>
      <c r="BN99" s="1851"/>
      <c r="BO99" s="1851"/>
      <c r="BP99" s="1861"/>
    </row>
    <row r="100" spans="61:69">
      <c r="BI100" s="1841"/>
      <c r="BJ100" s="1842" t="s">
        <v>1492</v>
      </c>
      <c r="BK100" s="1842" t="s">
        <v>1493</v>
      </c>
      <c r="BL100" s="1842"/>
      <c r="BM100" s="1901"/>
      <c r="BN100" s="1851"/>
      <c r="BO100" s="1851"/>
      <c r="BP100" s="1873">
        <f>BM94-BM95-BM96+BM97</f>
        <v>0</v>
      </c>
      <c r="BQ100" s="1892"/>
    </row>
    <row r="101" spans="61:69">
      <c r="BI101" s="1841"/>
      <c r="BJ101" s="1842"/>
      <c r="BK101" s="1842"/>
      <c r="BL101" s="1842"/>
      <c r="BM101" s="1851"/>
      <c r="BN101" s="1851"/>
      <c r="BO101" s="1851"/>
    </row>
    <row r="102" spans="61:69">
      <c r="BI102" s="1841" t="s">
        <v>1508</v>
      </c>
      <c r="BJ102" s="1842" t="s">
        <v>922</v>
      </c>
      <c r="BK102" s="1842" t="s">
        <v>1466</v>
      </c>
      <c r="BL102" s="1842"/>
      <c r="BN102" s="1851"/>
      <c r="BO102" s="1851"/>
    </row>
    <row r="103" spans="61:69">
      <c r="BI103" s="1841"/>
      <c r="BJ103" s="1842" t="s">
        <v>923</v>
      </c>
      <c r="BK103" s="1842" t="s">
        <v>1471</v>
      </c>
      <c r="BL103" s="1842"/>
      <c r="BM103" s="1851"/>
      <c r="BN103" s="1851"/>
      <c r="BO103" s="1851"/>
    </row>
    <row r="104" spans="61:69">
      <c r="BI104" s="1841"/>
      <c r="BJ104" s="1842" t="s">
        <v>924</v>
      </c>
      <c r="BK104" s="1842" t="s">
        <v>1474</v>
      </c>
      <c r="BL104" s="1842"/>
      <c r="BM104" s="1907"/>
      <c r="BN104" s="1851"/>
      <c r="BO104" s="1851"/>
    </row>
    <row r="105" spans="61:69">
      <c r="BI105" s="1841"/>
      <c r="BJ105" s="1842" t="s">
        <v>1475</v>
      </c>
      <c r="BK105" s="1842" t="s">
        <v>1476</v>
      </c>
      <c r="BL105" s="1842"/>
      <c r="BM105" s="1851"/>
      <c r="BN105" s="1851"/>
      <c r="BO105" s="1851"/>
    </row>
    <row r="106" spans="61:69">
      <c r="BI106" s="1841"/>
      <c r="BJ106" s="1842" t="s">
        <v>1479</v>
      </c>
      <c r="BK106" s="1842" t="s">
        <v>1480</v>
      </c>
      <c r="BL106" s="1842"/>
      <c r="BM106" s="1896"/>
      <c r="BN106" s="1851"/>
      <c r="BO106" s="1851"/>
      <c r="BP106" s="1861"/>
    </row>
    <row r="107" spans="61:69">
      <c r="BI107" s="1841"/>
      <c r="BJ107" s="1842" t="s">
        <v>1481</v>
      </c>
      <c r="BK107" s="1842" t="s">
        <v>1482</v>
      </c>
      <c r="BL107" s="1842"/>
      <c r="BM107" s="1863"/>
      <c r="BN107" s="1851"/>
      <c r="BO107" s="1851"/>
      <c r="BP107" s="1861"/>
    </row>
    <row r="108" spans="61:69">
      <c r="BI108" s="1841"/>
      <c r="BJ108" s="1842" t="s">
        <v>1484</v>
      </c>
      <c r="BK108" s="1842" t="s">
        <v>1485</v>
      </c>
      <c r="BL108" s="1842"/>
      <c r="BM108" s="1868"/>
      <c r="BN108" s="1851"/>
      <c r="BO108" s="1851"/>
      <c r="BP108" s="1861"/>
    </row>
    <row r="109" spans="61:69">
      <c r="BI109" s="1841"/>
      <c r="BJ109" s="1842" t="s">
        <v>1486</v>
      </c>
      <c r="BK109" s="1842" t="s">
        <v>1487</v>
      </c>
      <c r="BL109" s="1842"/>
      <c r="BM109" s="1868"/>
      <c r="BN109" s="1851"/>
      <c r="BO109" s="1851"/>
      <c r="BP109" s="1861"/>
    </row>
    <row r="110" spans="61:69">
      <c r="BI110" s="1841"/>
      <c r="BJ110" s="1842" t="s">
        <v>1488</v>
      </c>
      <c r="BK110" s="1842" t="s">
        <v>1489</v>
      </c>
      <c r="BL110" s="1842"/>
      <c r="BM110" s="1869"/>
      <c r="BN110" s="1851"/>
      <c r="BO110" s="1851"/>
      <c r="BP110" s="1861"/>
    </row>
    <row r="111" spans="61:69">
      <c r="BI111" s="1841"/>
      <c r="BJ111" s="1842" t="s">
        <v>1490</v>
      </c>
      <c r="BK111" s="1842" t="s">
        <v>1491</v>
      </c>
      <c r="BL111" s="1842"/>
      <c r="BM111" s="1871"/>
      <c r="BN111" s="1851"/>
      <c r="BO111" s="1851"/>
      <c r="BP111" s="1861"/>
    </row>
    <row r="112" spans="61:69">
      <c r="BI112" s="1841"/>
      <c r="BJ112" s="1842" t="s">
        <v>1492</v>
      </c>
      <c r="BK112" s="1842" t="s">
        <v>1493</v>
      </c>
      <c r="BL112" s="1842"/>
      <c r="BM112" s="1901"/>
      <c r="BN112" s="1851"/>
      <c r="BO112" s="1851"/>
      <c r="BP112" s="1873">
        <f>BM106-BM107-BM108+BM109</f>
        <v>0</v>
      </c>
      <c r="BQ112" s="1892"/>
    </row>
    <row r="113" spans="61:70">
      <c r="BI113" s="1841"/>
      <c r="BJ113" s="1842"/>
      <c r="BK113" s="1842"/>
      <c r="BL113" s="1842"/>
      <c r="BM113" s="1851"/>
      <c r="BN113" s="1851"/>
      <c r="BO113" s="1851"/>
    </row>
    <row r="114" spans="61:70">
      <c r="BI114" s="1841" t="s">
        <v>1510</v>
      </c>
      <c r="BJ114" s="1842" t="s">
        <v>922</v>
      </c>
      <c r="BK114" s="1842" t="s">
        <v>1466</v>
      </c>
      <c r="BL114" s="1842"/>
      <c r="BM114" s="1852"/>
      <c r="BN114" s="1851"/>
      <c r="BO114" s="1851"/>
    </row>
    <row r="115" spans="61:70">
      <c r="BI115" s="1841"/>
      <c r="BJ115" s="1842" t="s">
        <v>923</v>
      </c>
      <c r="BK115" s="1842" t="s">
        <v>1471</v>
      </c>
      <c r="BL115" s="1842"/>
      <c r="BM115" s="1851"/>
      <c r="BN115" s="1851"/>
      <c r="BO115" s="1851"/>
    </row>
    <row r="116" spans="61:70">
      <c r="BI116" s="1841"/>
      <c r="BJ116" s="1842" t="s">
        <v>924</v>
      </c>
      <c r="BK116" s="1842" t="s">
        <v>1474</v>
      </c>
      <c r="BL116" s="1842"/>
      <c r="BM116" s="1851"/>
      <c r="BN116" s="1851"/>
      <c r="BO116" s="1851"/>
    </row>
    <row r="117" spans="61:70">
      <c r="BI117" s="1841"/>
      <c r="BJ117" s="1842" t="s">
        <v>1475</v>
      </c>
      <c r="BK117" s="1842" t="s">
        <v>1476</v>
      </c>
      <c r="BL117" s="1842"/>
      <c r="BM117" s="1851"/>
      <c r="BN117" s="1851"/>
      <c r="BO117" s="1851"/>
    </row>
    <row r="118" spans="61:70">
      <c r="BI118" s="1841"/>
      <c r="BJ118" s="1842" t="s">
        <v>1479</v>
      </c>
      <c r="BK118" s="1842" t="s">
        <v>1480</v>
      </c>
      <c r="BL118" s="1842"/>
      <c r="BM118" s="1896">
        <v>0</v>
      </c>
      <c r="BN118" s="1851"/>
      <c r="BO118" s="1851"/>
      <c r="BP118" s="1861"/>
    </row>
    <row r="119" spans="61:70">
      <c r="BI119" s="1841"/>
      <c r="BJ119" s="1842" t="s">
        <v>1481</v>
      </c>
      <c r="BK119" s="1842" t="s">
        <v>1482</v>
      </c>
      <c r="BL119" s="1842"/>
      <c r="BM119" s="1863">
        <v>0</v>
      </c>
      <c r="BN119" s="1851"/>
      <c r="BO119" s="1851"/>
      <c r="BP119" s="1861"/>
    </row>
    <row r="120" spans="61:70">
      <c r="BI120" s="1841"/>
      <c r="BJ120" s="1842" t="s">
        <v>1484</v>
      </c>
      <c r="BK120" s="1842" t="s">
        <v>1485</v>
      </c>
      <c r="BL120" s="1842"/>
      <c r="BM120" s="1868">
        <v>0</v>
      </c>
      <c r="BN120" s="1851"/>
      <c r="BO120" s="1851"/>
      <c r="BP120" s="1861"/>
    </row>
    <row r="121" spans="61:70">
      <c r="BI121" s="1841"/>
      <c r="BJ121" s="1842" t="s">
        <v>1486</v>
      </c>
      <c r="BK121" s="1842" t="s">
        <v>1487</v>
      </c>
      <c r="BL121" s="1842"/>
      <c r="BM121" s="1868">
        <v>0</v>
      </c>
      <c r="BN121" s="1851"/>
      <c r="BO121" s="1851"/>
      <c r="BP121" s="1861"/>
    </row>
    <row r="122" spans="61:70">
      <c r="BI122" s="1841"/>
      <c r="BJ122" s="1842" t="s">
        <v>1488</v>
      </c>
      <c r="BK122" s="1842" t="s">
        <v>1489</v>
      </c>
      <c r="BL122" s="1842"/>
      <c r="BM122" s="1869"/>
      <c r="BN122" s="1851"/>
      <c r="BO122" s="1851"/>
      <c r="BP122" s="1861"/>
    </row>
    <row r="123" spans="61:70">
      <c r="BI123" s="1841"/>
      <c r="BJ123" s="1842" t="s">
        <v>1490</v>
      </c>
      <c r="BK123" s="1842" t="s">
        <v>1491</v>
      </c>
      <c r="BL123" s="1842"/>
      <c r="BM123" s="1871"/>
      <c r="BN123" s="1851"/>
      <c r="BO123" s="1851"/>
      <c r="BP123" s="1861"/>
    </row>
    <row r="124" spans="61:70">
      <c r="BI124" s="1841"/>
      <c r="BJ124" s="1842" t="s">
        <v>1492</v>
      </c>
      <c r="BK124" s="1842" t="s">
        <v>1493</v>
      </c>
      <c r="BL124" s="1842"/>
      <c r="BM124" s="1901">
        <f>BM118-BM119-BM120+BM121</f>
        <v>0</v>
      </c>
      <c r="BN124" s="1851"/>
      <c r="BO124" s="1851"/>
      <c r="BP124" s="1873">
        <f>BM118-BM119-BM120+BM121</f>
        <v>0</v>
      </c>
    </row>
    <row r="125" spans="61:70">
      <c r="BI125" s="1841"/>
      <c r="BJ125" s="1842"/>
      <c r="BK125" s="1842"/>
      <c r="BL125" s="1842"/>
      <c r="BM125" s="1851"/>
      <c r="BN125" s="1851"/>
      <c r="BO125" s="1851"/>
    </row>
    <row r="127" spans="61:70">
      <c r="BI127" s="1841"/>
      <c r="BJ127" s="1842"/>
      <c r="BK127" s="1842"/>
      <c r="BL127" s="1842"/>
      <c r="BM127" s="1851"/>
      <c r="BN127" s="1851"/>
      <c r="BO127" s="1851"/>
      <c r="BP127" s="1873">
        <f>SUM(BP1:BP126)</f>
        <v>0</v>
      </c>
      <c r="BQ127" s="1839" t="s">
        <v>24</v>
      </c>
      <c r="BR127" s="1839" t="s">
        <v>1511</v>
      </c>
    </row>
    <row r="128" spans="61:70">
      <c r="BK128" s="1909" t="s">
        <v>1512</v>
      </c>
      <c r="BP128" s="1861"/>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B1" sqref="B1"/>
    </sheetView>
  </sheetViews>
  <sheetFormatPr defaultRowHeight="12.5"/>
  <cols>
    <col min="1" max="1" width="1.453125" style="1910" customWidth="1"/>
    <col min="2" max="2" width="14.1796875" style="1910" customWidth="1"/>
    <col min="3" max="3" width="12" style="1910" customWidth="1"/>
    <col min="4" max="4" width="16.1796875" style="1910" customWidth="1"/>
    <col min="5" max="5" width="10.7265625" style="1910" bestFit="1" customWidth="1"/>
    <col min="6" max="6" width="10.1796875" style="1910" customWidth="1"/>
    <col min="7" max="7" width="11.453125" style="1910" bestFit="1" customWidth="1"/>
    <col min="8" max="8" width="11.1796875" style="1910" bestFit="1" customWidth="1"/>
    <col min="9" max="9" width="10.7265625" style="1910" bestFit="1" customWidth="1"/>
    <col min="10" max="10" width="26" style="1910" bestFit="1" customWidth="1"/>
    <col min="11" max="11" width="9.26953125" style="1910" bestFit="1" customWidth="1"/>
    <col min="12" max="12" width="10.1796875" style="1910" customWidth="1"/>
    <col min="13" max="14" width="10.7265625" style="1910" bestFit="1" customWidth="1"/>
    <col min="15" max="16" width="11.453125" style="1910" bestFit="1" customWidth="1"/>
    <col min="17" max="18" width="8" style="1910"/>
    <col min="19" max="19" width="5.81640625" style="1910" bestFit="1" customWidth="1"/>
  </cols>
  <sheetData>
    <row r="1" spans="2:16" ht="13.5" thickBot="1">
      <c r="B1" s="3667" t="s">
        <v>3394</v>
      </c>
    </row>
    <row r="2" spans="2:16" ht="15.5">
      <c r="B2" s="1974" t="s">
        <v>1550</v>
      </c>
      <c r="C2" s="1949"/>
      <c r="D2" s="1949"/>
      <c r="E2" s="1949"/>
      <c r="F2" s="1949"/>
      <c r="G2" s="1949"/>
      <c r="H2" s="1949"/>
      <c r="I2" s="1949"/>
      <c r="J2" s="1949"/>
      <c r="K2" s="1949"/>
      <c r="L2" s="1949"/>
      <c r="M2" s="1949"/>
      <c r="N2" s="1949"/>
      <c r="O2" s="1949"/>
      <c r="P2" s="1948"/>
    </row>
    <row r="3" spans="2:16" ht="15.5">
      <c r="B3" s="1973" t="s">
        <v>1549</v>
      </c>
      <c r="P3" s="1946"/>
    </row>
    <row r="4" spans="2:16" ht="15.5">
      <c r="B4" s="1973" t="s">
        <v>1060</v>
      </c>
      <c r="P4" s="1946"/>
    </row>
    <row r="5" spans="2:16" ht="13">
      <c r="B5" s="1925"/>
      <c r="C5" s="1972"/>
      <c r="D5" s="1922" t="s">
        <v>24</v>
      </c>
      <c r="E5" s="1971" t="s">
        <v>852</v>
      </c>
      <c r="F5" s="1971" t="s">
        <v>851</v>
      </c>
      <c r="G5" s="1971" t="s">
        <v>850</v>
      </c>
      <c r="H5" s="1971" t="s">
        <v>848</v>
      </c>
      <c r="I5" s="1971" t="s">
        <v>846</v>
      </c>
      <c r="J5" s="1971" t="s">
        <v>844</v>
      </c>
      <c r="K5" s="1971" t="s">
        <v>863</v>
      </c>
      <c r="L5" s="1971" t="s">
        <v>861</v>
      </c>
      <c r="M5" s="1971" t="s">
        <v>857</v>
      </c>
      <c r="N5" s="1971" t="s">
        <v>855</v>
      </c>
      <c r="O5" s="1971" t="s">
        <v>854</v>
      </c>
      <c r="P5" s="1970" t="s">
        <v>853</v>
      </c>
    </row>
    <row r="6" spans="2:16">
      <c r="B6" s="1925" t="s">
        <v>1548</v>
      </c>
      <c r="P6" s="1946"/>
    </row>
    <row r="7" spans="2:16">
      <c r="B7" s="1925"/>
      <c r="P7" s="1946"/>
    </row>
    <row r="8" spans="2:16">
      <c r="B8" s="1925" t="s">
        <v>1532</v>
      </c>
      <c r="D8" s="1934">
        <f>SUM(E8:P8)</f>
        <v>44136</v>
      </c>
      <c r="E8" s="1969">
        <v>909515</v>
      </c>
      <c r="F8" s="1969">
        <v>34211</v>
      </c>
      <c r="G8" s="1969">
        <v>-1541263</v>
      </c>
      <c r="H8" s="1969">
        <v>-272311</v>
      </c>
      <c r="I8" s="1969">
        <v>2606108</v>
      </c>
      <c r="J8" s="1969">
        <v>898664</v>
      </c>
      <c r="K8" s="1969">
        <v>110462</v>
      </c>
      <c r="L8" s="1969">
        <v>224059</v>
      </c>
      <c r="M8" s="1969">
        <v>1283060</v>
      </c>
      <c r="N8" s="1969">
        <v>3270599</v>
      </c>
      <c r="O8" s="1969">
        <v>-4357812</v>
      </c>
      <c r="P8" s="1968">
        <v>-3121156</v>
      </c>
    </row>
    <row r="9" spans="2:16">
      <c r="B9" s="1925" t="s">
        <v>1531</v>
      </c>
      <c r="D9" s="1934">
        <f>SUM(E9:P9)</f>
        <v>119237</v>
      </c>
      <c r="E9" s="1969">
        <v>346219</v>
      </c>
      <c r="F9" s="1969">
        <v>12718</v>
      </c>
      <c r="G9" s="1969">
        <v>-587974</v>
      </c>
      <c r="H9" s="1969">
        <v>-108553</v>
      </c>
      <c r="I9" s="1969">
        <v>998930</v>
      </c>
      <c r="J9" s="1969">
        <v>358922</v>
      </c>
      <c r="K9" s="1969">
        <v>41771</v>
      </c>
      <c r="L9" s="1969">
        <v>85547</v>
      </c>
      <c r="M9" s="1969">
        <v>485364</v>
      </c>
      <c r="N9" s="1969">
        <v>1207065</v>
      </c>
      <c r="O9" s="1969">
        <v>-1572298</v>
      </c>
      <c r="P9" s="1968">
        <v>-1148474</v>
      </c>
    </row>
    <row r="10" spans="2:16">
      <c r="B10" s="1925"/>
      <c r="P10" s="1946"/>
    </row>
    <row r="11" spans="2:16">
      <c r="B11" s="1925" t="s">
        <v>1547</v>
      </c>
      <c r="P11" s="1946"/>
    </row>
    <row r="12" spans="2:16">
      <c r="B12" s="1925" t="s">
        <v>1532</v>
      </c>
      <c r="D12" s="1958">
        <f>SUM(E12:P12)</f>
        <v>-24847.124076129869</v>
      </c>
      <c r="E12" s="1958">
        <f t="shared" ref="E12:P12" si="0">E8*E35</f>
        <v>940938.74324999982</v>
      </c>
      <c r="F12" s="1958">
        <f t="shared" si="0"/>
        <v>35392.990049999993</v>
      </c>
      <c r="G12" s="1958">
        <f t="shared" si="0"/>
        <v>-1594513.6366499998</v>
      </c>
      <c r="H12" s="1958">
        <f t="shared" si="0"/>
        <v>-281719.34504999995</v>
      </c>
      <c r="I12" s="1958">
        <f t="shared" si="0"/>
        <v>2696149.0313999997</v>
      </c>
      <c r="J12" s="1958">
        <f t="shared" si="0"/>
        <v>929712.84119999991</v>
      </c>
      <c r="K12" s="1958">
        <f t="shared" si="0"/>
        <v>106419.09080000001</v>
      </c>
      <c r="L12" s="1958">
        <f t="shared" si="0"/>
        <v>215858.4406</v>
      </c>
      <c r="M12" s="1958">
        <f t="shared" si="0"/>
        <v>1236100.004</v>
      </c>
      <c r="N12" s="1958">
        <f t="shared" si="0"/>
        <v>3150895.0766000003</v>
      </c>
      <c r="O12" s="1958">
        <f t="shared" si="0"/>
        <v>-4318722.4263599999</v>
      </c>
      <c r="P12" s="1957">
        <f t="shared" si="0"/>
        <v>-3141357.9339161292</v>
      </c>
    </row>
    <row r="13" spans="2:16" ht="13" thickBot="1">
      <c r="B13" s="1925" t="s">
        <v>1531</v>
      </c>
      <c r="D13" s="1958">
        <f>SUM(E13:P13)</f>
        <v>52878.472164193983</v>
      </c>
      <c r="E13" s="1958">
        <f t="shared" ref="E13:P13" si="1">E9*E36</f>
        <v>262530.94332000002</v>
      </c>
      <c r="F13" s="1958">
        <f t="shared" si="1"/>
        <v>9643.8050400000011</v>
      </c>
      <c r="G13" s="1958">
        <f t="shared" si="1"/>
        <v>-445848.92472000001</v>
      </c>
      <c r="H13" s="1958">
        <f t="shared" si="1"/>
        <v>-82313.568840000007</v>
      </c>
      <c r="I13" s="1958">
        <f t="shared" si="1"/>
        <v>757468.64040000003</v>
      </c>
      <c r="J13" s="1958">
        <f t="shared" si="1"/>
        <v>272163.37416000001</v>
      </c>
      <c r="K13" s="1958">
        <f t="shared" si="1"/>
        <v>29897.593249999998</v>
      </c>
      <c r="L13" s="1958">
        <f t="shared" si="1"/>
        <v>61230.265249999997</v>
      </c>
      <c r="M13" s="1958">
        <f t="shared" si="1"/>
        <v>347399.283</v>
      </c>
      <c r="N13" s="1958">
        <f t="shared" si="1"/>
        <v>863956.77375000005</v>
      </c>
      <c r="O13" s="1958">
        <f t="shared" si="1"/>
        <v>-1165151.4328999999</v>
      </c>
      <c r="P13" s="1957">
        <f t="shared" si="1"/>
        <v>-858098.27954580646</v>
      </c>
    </row>
    <row r="14" spans="2:16" ht="14" thickTop="1" thickBot="1">
      <c r="B14" s="1925" t="s">
        <v>1546</v>
      </c>
      <c r="D14" s="1954">
        <f t="shared" ref="D14:P14" si="2">SUM(D12:D13)</f>
        <v>28031.348088064115</v>
      </c>
      <c r="E14" s="1966">
        <f t="shared" si="2"/>
        <v>1203469.6865699999</v>
      </c>
      <c r="F14" s="1966">
        <f t="shared" si="2"/>
        <v>45036.795089999992</v>
      </c>
      <c r="G14" s="1966">
        <f t="shared" si="2"/>
        <v>-2040362.5613699998</v>
      </c>
      <c r="H14" s="1966">
        <f t="shared" si="2"/>
        <v>-364032.91388999997</v>
      </c>
      <c r="I14" s="1966">
        <f t="shared" si="2"/>
        <v>3453617.6717999997</v>
      </c>
      <c r="J14" s="1966">
        <f t="shared" si="2"/>
        <v>1201876.2153599998</v>
      </c>
      <c r="K14" s="1966">
        <f t="shared" si="2"/>
        <v>136316.68405000001</v>
      </c>
      <c r="L14" s="1966">
        <f t="shared" si="2"/>
        <v>277088.70585000003</v>
      </c>
      <c r="M14" s="1966">
        <f t="shared" si="2"/>
        <v>1583499.287</v>
      </c>
      <c r="N14" s="1966">
        <f t="shared" si="2"/>
        <v>4014851.8503500004</v>
      </c>
      <c r="O14" s="1966">
        <f t="shared" si="2"/>
        <v>-5483873.8592600003</v>
      </c>
      <c r="P14" s="1965">
        <f t="shared" si="2"/>
        <v>-3999456.2134619355</v>
      </c>
    </row>
    <row r="15" spans="2:16" ht="13.5" thickTop="1">
      <c r="B15" s="1925"/>
      <c r="D15" s="1960"/>
      <c r="E15" s="1958"/>
      <c r="F15" s="1958"/>
      <c r="G15" s="1958"/>
      <c r="H15" s="1958"/>
      <c r="I15" s="1958"/>
      <c r="J15" s="1958"/>
      <c r="K15" s="1958"/>
      <c r="L15" s="1958"/>
      <c r="M15" s="1958"/>
      <c r="N15" s="1958"/>
      <c r="O15" s="1958"/>
      <c r="P15" s="1957"/>
    </row>
    <row r="16" spans="2:16" ht="13">
      <c r="B16" s="1925" t="s">
        <v>1545</v>
      </c>
      <c r="D16" s="1960"/>
      <c r="E16" s="1958"/>
      <c r="F16" s="1958"/>
      <c r="G16" s="1958"/>
      <c r="H16" s="1958"/>
      <c r="I16" s="1958"/>
      <c r="J16" s="1958"/>
      <c r="K16" s="1958"/>
      <c r="L16" s="1958"/>
      <c r="M16" s="1958"/>
      <c r="N16" s="1958"/>
      <c r="O16" s="1958"/>
      <c r="P16" s="1957"/>
    </row>
    <row r="17" spans="2:16" ht="13">
      <c r="B17" s="1925" t="s">
        <v>1532</v>
      </c>
      <c r="D17" s="1958">
        <f>SUM(E17:P17)</f>
        <v>89220.883643870708</v>
      </c>
      <c r="E17" s="1960">
        <f t="shared" ref="E17:P17" si="3">E8*E38</f>
        <v>508346.1238</v>
      </c>
      <c r="F17" s="1960">
        <f t="shared" si="3"/>
        <v>19121.21212</v>
      </c>
      <c r="G17" s="1960">
        <f t="shared" si="3"/>
        <v>-861442.71595999994</v>
      </c>
      <c r="H17" s="1960">
        <f t="shared" si="3"/>
        <v>-152200.06412</v>
      </c>
      <c r="I17" s="1960">
        <f t="shared" si="3"/>
        <v>1456605.8833599999</v>
      </c>
      <c r="J17" s="1960">
        <f t="shared" si="3"/>
        <v>502281.28287999996</v>
      </c>
      <c r="K17" s="1960">
        <f t="shared" si="3"/>
        <v>56932.114799999996</v>
      </c>
      <c r="L17" s="1960">
        <f t="shared" si="3"/>
        <v>115480.00859999999</v>
      </c>
      <c r="M17" s="1960">
        <f t="shared" si="3"/>
        <v>661289.12399999995</v>
      </c>
      <c r="N17" s="1960">
        <f t="shared" si="3"/>
        <v>1685666.7245999998</v>
      </c>
      <c r="O17" s="1960">
        <f t="shared" si="3"/>
        <v>-2246016.3048</v>
      </c>
      <c r="P17" s="1967">
        <f t="shared" si="3"/>
        <v>-1656842.5056361291</v>
      </c>
    </row>
    <row r="18" spans="2:16" ht="13">
      <c r="B18" s="1925" t="s">
        <v>1531</v>
      </c>
      <c r="D18" s="1958">
        <f>SUM(E18:P18)</f>
        <v>43283.279434193566</v>
      </c>
      <c r="E18" s="1960">
        <f t="shared" ref="E18:P18" si="4">E9*E39</f>
        <v>100988.62011</v>
      </c>
      <c r="F18" s="1960">
        <f t="shared" si="4"/>
        <v>3709.71342</v>
      </c>
      <c r="G18" s="1960">
        <f t="shared" si="4"/>
        <v>-171506.13605999999</v>
      </c>
      <c r="H18" s="1960">
        <f t="shared" si="4"/>
        <v>-31663.824570000001</v>
      </c>
      <c r="I18" s="1960">
        <f t="shared" si="4"/>
        <v>291377.89169999998</v>
      </c>
      <c r="J18" s="1960">
        <f t="shared" si="4"/>
        <v>104693.95818</v>
      </c>
      <c r="K18" s="1960">
        <f t="shared" si="4"/>
        <v>11464.468659999999</v>
      </c>
      <c r="L18" s="1960">
        <f t="shared" si="4"/>
        <v>23479.229619999998</v>
      </c>
      <c r="M18" s="1960">
        <f t="shared" si="4"/>
        <v>133213.00344</v>
      </c>
      <c r="N18" s="1960">
        <f t="shared" si="4"/>
        <v>331291.05989999999</v>
      </c>
      <c r="O18" s="1960">
        <f t="shared" si="4"/>
        <v>-431532.90907999995</v>
      </c>
      <c r="P18" s="1967">
        <f t="shared" si="4"/>
        <v>-322231.79588580644</v>
      </c>
    </row>
    <row r="19" spans="2:16" ht="13">
      <c r="B19" s="1925" t="s">
        <v>1541</v>
      </c>
      <c r="D19" s="1959">
        <f t="shared" ref="D19:P19" si="5">SUM(D17:D18)</f>
        <v>132504.16307806427</v>
      </c>
      <c r="E19" s="1966">
        <f t="shared" si="5"/>
        <v>609334.74390999996</v>
      </c>
      <c r="F19" s="1966">
        <f t="shared" si="5"/>
        <v>22830.92554</v>
      </c>
      <c r="G19" s="1966">
        <f t="shared" si="5"/>
        <v>-1032948.8520199999</v>
      </c>
      <c r="H19" s="1966">
        <f t="shared" si="5"/>
        <v>-183863.88868999999</v>
      </c>
      <c r="I19" s="1966">
        <f t="shared" si="5"/>
        <v>1747983.7750599999</v>
      </c>
      <c r="J19" s="1966">
        <f t="shared" si="5"/>
        <v>606975.24105999991</v>
      </c>
      <c r="K19" s="1966">
        <f t="shared" si="5"/>
        <v>68396.583459999994</v>
      </c>
      <c r="L19" s="1966">
        <f t="shared" si="5"/>
        <v>138959.23822</v>
      </c>
      <c r="M19" s="1966">
        <f t="shared" si="5"/>
        <v>794502.12743999995</v>
      </c>
      <c r="N19" s="1966">
        <f t="shared" si="5"/>
        <v>2016957.7844999998</v>
      </c>
      <c r="O19" s="1966">
        <f t="shared" si="5"/>
        <v>-2677549.2138800002</v>
      </c>
      <c r="P19" s="1965">
        <f t="shared" si="5"/>
        <v>-1979074.3015219355</v>
      </c>
    </row>
    <row r="20" spans="2:16" ht="13.5" thickBot="1">
      <c r="B20" s="1925" t="s">
        <v>1544</v>
      </c>
      <c r="D20" s="1953">
        <f>-SUMPRODUCT(E19:P19,E20:P20)</f>
        <v>-5821.0403881824168</v>
      </c>
      <c r="E20" s="1964">
        <f>$L$60</f>
        <v>4.3930999999999998E-2</v>
      </c>
      <c r="F20" s="1963">
        <f t="shared" ref="F20:O20" si="6">E20</f>
        <v>4.3930999999999998E-2</v>
      </c>
      <c r="G20" s="1963">
        <f t="shared" si="6"/>
        <v>4.3930999999999998E-2</v>
      </c>
      <c r="H20" s="1963">
        <f t="shared" si="6"/>
        <v>4.3930999999999998E-2</v>
      </c>
      <c r="I20" s="1963">
        <f t="shared" si="6"/>
        <v>4.3930999999999998E-2</v>
      </c>
      <c r="J20" s="1963">
        <f t="shared" si="6"/>
        <v>4.3930999999999998E-2</v>
      </c>
      <c r="K20" s="1963">
        <f t="shared" si="6"/>
        <v>4.3930999999999998E-2</v>
      </c>
      <c r="L20" s="1963">
        <f t="shared" si="6"/>
        <v>4.3930999999999998E-2</v>
      </c>
      <c r="M20" s="1963">
        <f t="shared" si="6"/>
        <v>4.3930999999999998E-2</v>
      </c>
      <c r="N20" s="1963">
        <f t="shared" si="6"/>
        <v>4.3930999999999998E-2</v>
      </c>
      <c r="O20" s="1963">
        <f t="shared" si="6"/>
        <v>4.3930999999999998E-2</v>
      </c>
      <c r="P20" s="1962">
        <f>$L$60</f>
        <v>4.3930999999999998E-2</v>
      </c>
    </row>
    <row r="21" spans="2:16" ht="14" thickTop="1" thickBot="1">
      <c r="B21" s="1925" t="s">
        <v>1543</v>
      </c>
      <c r="D21" s="1961">
        <f>-(D19+D20)</f>
        <v>-126683.12268988186</v>
      </c>
      <c r="E21" s="1952"/>
      <c r="F21" s="1952"/>
      <c r="G21" s="1952"/>
      <c r="H21" s="1952"/>
      <c r="I21" s="1952"/>
      <c r="J21" s="1952"/>
      <c r="K21" s="1952"/>
      <c r="L21" s="1952"/>
      <c r="M21" s="1958"/>
      <c r="N21" s="1958"/>
      <c r="O21" s="1958"/>
      <c r="P21" s="1957"/>
    </row>
    <row r="22" spans="2:16" ht="13.5" thickTop="1">
      <c r="B22" s="1925" t="s">
        <v>1542</v>
      </c>
      <c r="D22" s="1960"/>
      <c r="E22" s="1958"/>
      <c r="F22" s="1958"/>
      <c r="G22" s="1958"/>
      <c r="H22" s="1958"/>
      <c r="I22" s="1958"/>
      <c r="J22" s="1958"/>
      <c r="K22" s="1958"/>
      <c r="L22" s="1958"/>
      <c r="M22" s="1958"/>
      <c r="N22" s="1958"/>
      <c r="O22" s="1958"/>
      <c r="P22" s="1957"/>
    </row>
    <row r="23" spans="2:16">
      <c r="B23" s="1925" t="s">
        <v>1532</v>
      </c>
      <c r="D23" s="1958">
        <f>SUM(E23:P23)</f>
        <v>-114068.00771999964</v>
      </c>
      <c r="E23" s="1958">
        <f t="shared" ref="E23:P23" si="7">E12-E17</f>
        <v>432592.61944999982</v>
      </c>
      <c r="F23" s="1958">
        <f t="shared" si="7"/>
        <v>16271.777929999993</v>
      </c>
      <c r="G23" s="1958">
        <f t="shared" si="7"/>
        <v>-733070.92068999982</v>
      </c>
      <c r="H23" s="1958">
        <f t="shared" si="7"/>
        <v>-129519.28092999995</v>
      </c>
      <c r="I23" s="1958">
        <f t="shared" si="7"/>
        <v>1239543.1480399999</v>
      </c>
      <c r="J23" s="1958">
        <f t="shared" si="7"/>
        <v>427431.55831999995</v>
      </c>
      <c r="K23" s="1958">
        <f t="shared" si="7"/>
        <v>49486.97600000001</v>
      </c>
      <c r="L23" s="1958">
        <f t="shared" si="7"/>
        <v>100378.43200000002</v>
      </c>
      <c r="M23" s="1958">
        <f t="shared" si="7"/>
        <v>574810.88</v>
      </c>
      <c r="N23" s="1958">
        <f t="shared" si="7"/>
        <v>1465228.3520000004</v>
      </c>
      <c r="O23" s="1958">
        <f t="shared" si="7"/>
        <v>-2072706.1215599999</v>
      </c>
      <c r="P23" s="1957">
        <f t="shared" si="7"/>
        <v>-1484515.4282800001</v>
      </c>
    </row>
    <row r="24" spans="2:16">
      <c r="B24" s="1925" t="s">
        <v>1531</v>
      </c>
      <c r="D24" s="1958">
        <f>SUM(E24:P24)</f>
        <v>9595.1927299998933</v>
      </c>
      <c r="E24" s="1958">
        <f t="shared" ref="E24:P24" si="8">E13-E18</f>
        <v>161542.32321</v>
      </c>
      <c r="F24" s="1958">
        <f t="shared" si="8"/>
        <v>5934.0916200000011</v>
      </c>
      <c r="G24" s="1958">
        <f t="shared" si="8"/>
        <v>-274342.78866000002</v>
      </c>
      <c r="H24" s="1958">
        <f t="shared" si="8"/>
        <v>-50649.74427000001</v>
      </c>
      <c r="I24" s="1958">
        <f t="shared" si="8"/>
        <v>466090.74870000005</v>
      </c>
      <c r="J24" s="1958">
        <f t="shared" si="8"/>
        <v>167469.41597999999</v>
      </c>
      <c r="K24" s="1958">
        <f t="shared" si="8"/>
        <v>18433.124589999999</v>
      </c>
      <c r="L24" s="1958">
        <f t="shared" si="8"/>
        <v>37751.035629999998</v>
      </c>
      <c r="M24" s="1958">
        <f t="shared" si="8"/>
        <v>214186.27956</v>
      </c>
      <c r="N24" s="1958">
        <f t="shared" si="8"/>
        <v>532665.71385000006</v>
      </c>
      <c r="O24" s="1958">
        <f t="shared" si="8"/>
        <v>-733618.52382</v>
      </c>
      <c r="P24" s="1957">
        <f t="shared" si="8"/>
        <v>-535866.48366000003</v>
      </c>
    </row>
    <row r="25" spans="2:16" ht="13">
      <c r="B25" s="1925" t="s">
        <v>1541</v>
      </c>
      <c r="D25" s="1959">
        <f t="shared" ref="D25:P25" si="9">SUM(D23:D24)</f>
        <v>-104472.81498999975</v>
      </c>
      <c r="E25" s="1956">
        <f t="shared" si="9"/>
        <v>594134.94265999983</v>
      </c>
      <c r="F25" s="1956">
        <f t="shared" si="9"/>
        <v>22205.869549999996</v>
      </c>
      <c r="G25" s="1956">
        <f t="shared" si="9"/>
        <v>-1007413.7093499999</v>
      </c>
      <c r="H25" s="1956">
        <f t="shared" si="9"/>
        <v>-180169.02519999997</v>
      </c>
      <c r="I25" s="1956">
        <f t="shared" si="9"/>
        <v>1705633.89674</v>
      </c>
      <c r="J25" s="1956">
        <f t="shared" si="9"/>
        <v>594900.97429999989</v>
      </c>
      <c r="K25" s="1956">
        <f t="shared" si="9"/>
        <v>67920.100590000016</v>
      </c>
      <c r="L25" s="1956">
        <f t="shared" si="9"/>
        <v>138129.46763000003</v>
      </c>
      <c r="M25" s="1956">
        <f t="shared" si="9"/>
        <v>788997.15956000006</v>
      </c>
      <c r="N25" s="1956">
        <f t="shared" si="9"/>
        <v>1997894.0658500004</v>
      </c>
      <c r="O25" s="1956">
        <f t="shared" si="9"/>
        <v>-2806324.6453799997</v>
      </c>
      <c r="P25" s="1955">
        <f t="shared" si="9"/>
        <v>-2020381.91194</v>
      </c>
    </row>
    <row r="26" spans="2:16">
      <c r="B26" s="1925"/>
      <c r="P26" s="1946"/>
    </row>
    <row r="27" spans="2:16">
      <c r="B27" s="1925" t="s">
        <v>1540</v>
      </c>
      <c r="P27" s="1946"/>
    </row>
    <row r="28" spans="2:16">
      <c r="B28" s="1925" t="s">
        <v>1532</v>
      </c>
      <c r="D28" s="1958">
        <f>SUM(E28:P28)</f>
        <v>-110048.53336000023</v>
      </c>
      <c r="E28" s="1958">
        <f t="shared" ref="E28:P28" si="10">E8*E41</f>
        <v>413683.8026</v>
      </c>
      <c r="F28" s="1958">
        <f t="shared" si="10"/>
        <v>15560.53124</v>
      </c>
      <c r="G28" s="1958">
        <f t="shared" si="10"/>
        <v>-701028.06292000005</v>
      </c>
      <c r="H28" s="1958">
        <f t="shared" si="10"/>
        <v>-123857.93524000001</v>
      </c>
      <c r="I28" s="1958">
        <f t="shared" si="10"/>
        <v>1185362.1627200001</v>
      </c>
      <c r="J28" s="1958">
        <f t="shared" si="10"/>
        <v>408748.33376000001</v>
      </c>
      <c r="K28" s="1958">
        <f t="shared" si="10"/>
        <v>47302.037640000002</v>
      </c>
      <c r="L28" s="1958">
        <f t="shared" si="10"/>
        <v>95946.544979999991</v>
      </c>
      <c r="M28" s="1958">
        <f t="shared" si="10"/>
        <v>549431.95319999999</v>
      </c>
      <c r="N28" s="1958">
        <f t="shared" si="10"/>
        <v>1400535.9037800001</v>
      </c>
      <c r="O28" s="1958">
        <f t="shared" si="10"/>
        <v>-1982107.2100800001</v>
      </c>
      <c r="P28" s="1957">
        <f t="shared" si="10"/>
        <v>-1419626.59504</v>
      </c>
    </row>
    <row r="29" spans="2:16" ht="13" thickBot="1">
      <c r="B29" s="1925" t="s">
        <v>1531</v>
      </c>
      <c r="D29" s="1958">
        <f>SUM(E29:P29)</f>
        <v>53202.357029999897</v>
      </c>
      <c r="E29" s="1958">
        <f t="shared" ref="E29:P29" si="11">E9*E42</f>
        <v>154479.45561</v>
      </c>
      <c r="F29" s="1958">
        <f t="shared" si="11"/>
        <v>5674.6444199999996</v>
      </c>
      <c r="G29" s="1958">
        <f t="shared" si="11"/>
        <v>-262348.11906</v>
      </c>
      <c r="H29" s="1958">
        <f t="shared" si="11"/>
        <v>-48435.263070000001</v>
      </c>
      <c r="I29" s="1958">
        <f t="shared" si="11"/>
        <v>445712.57669999998</v>
      </c>
      <c r="J29" s="1958">
        <f t="shared" si="11"/>
        <v>160147.40717999998</v>
      </c>
      <c r="K29" s="1958">
        <f t="shared" si="11"/>
        <v>18637.802489999998</v>
      </c>
      <c r="L29" s="1958">
        <f t="shared" si="11"/>
        <v>38170.215929999998</v>
      </c>
      <c r="M29" s="1958">
        <f t="shared" si="11"/>
        <v>216564.56315999999</v>
      </c>
      <c r="N29" s="1958">
        <f t="shared" si="11"/>
        <v>538580.33234999992</v>
      </c>
      <c r="O29" s="1958">
        <f t="shared" si="11"/>
        <v>-701543.64461999992</v>
      </c>
      <c r="P29" s="1957">
        <f t="shared" si="11"/>
        <v>-512437.61405999999</v>
      </c>
    </row>
    <row r="30" spans="2:16" ht="14" thickTop="1" thickBot="1">
      <c r="B30" s="1925" t="s">
        <v>1539</v>
      </c>
      <c r="D30" s="1954">
        <f t="shared" ref="D30:P30" si="12">SUM(D28:D29)</f>
        <v>-56846.176330000337</v>
      </c>
      <c r="E30" s="1956">
        <f t="shared" si="12"/>
        <v>568163.25821</v>
      </c>
      <c r="F30" s="1956">
        <f t="shared" si="12"/>
        <v>21235.175660000001</v>
      </c>
      <c r="G30" s="1956">
        <f t="shared" si="12"/>
        <v>-963376.18198000011</v>
      </c>
      <c r="H30" s="1956">
        <f t="shared" si="12"/>
        <v>-172293.19831000001</v>
      </c>
      <c r="I30" s="1956">
        <f t="shared" si="12"/>
        <v>1631074.73942</v>
      </c>
      <c r="J30" s="1956">
        <f t="shared" si="12"/>
        <v>568895.74093999993</v>
      </c>
      <c r="K30" s="1956">
        <f t="shared" si="12"/>
        <v>65939.840129999997</v>
      </c>
      <c r="L30" s="1956">
        <f t="shared" si="12"/>
        <v>134116.76090999998</v>
      </c>
      <c r="M30" s="1956">
        <f t="shared" si="12"/>
        <v>765996.51636000001</v>
      </c>
      <c r="N30" s="1956">
        <f t="shared" si="12"/>
        <v>1939116.2361300001</v>
      </c>
      <c r="O30" s="1956">
        <f t="shared" si="12"/>
        <v>-2683650.8547</v>
      </c>
      <c r="P30" s="1955">
        <f t="shared" si="12"/>
        <v>-1932064.2091000001</v>
      </c>
    </row>
    <row r="31" spans="2:16" ht="14" thickTop="1" thickBot="1">
      <c r="B31" s="1925"/>
      <c r="C31" s="1922" t="s">
        <v>1538</v>
      </c>
      <c r="D31" s="1954">
        <f>SUM(E31:P31)</f>
        <v>66.05397999999991</v>
      </c>
      <c r="E31" s="1952">
        <f t="shared" ref="E31:P31" si="13">E8*$L$49+E9*$L$59</f>
        <v>559.03526999999997</v>
      </c>
      <c r="F31" s="1952">
        <f t="shared" si="13"/>
        <v>20.912009999999999</v>
      </c>
      <c r="G31" s="1952">
        <f t="shared" si="13"/>
        <v>-947.82372999999995</v>
      </c>
      <c r="H31" s="1952">
        <f t="shared" si="13"/>
        <v>-169.23631</v>
      </c>
      <c r="I31" s="1952">
        <f t="shared" si="13"/>
        <v>1604.46416</v>
      </c>
      <c r="J31" s="1952">
        <f t="shared" si="13"/>
        <v>558.76243999999997</v>
      </c>
      <c r="K31" s="1952">
        <f t="shared" si="13"/>
        <v>67.790120000000002</v>
      </c>
      <c r="L31" s="1952">
        <f t="shared" si="13"/>
        <v>137.81558999999999</v>
      </c>
      <c r="M31" s="1952">
        <f t="shared" si="13"/>
        <v>787.47651999999994</v>
      </c>
      <c r="N31" s="1952">
        <f t="shared" si="13"/>
        <v>1995.8662300000001</v>
      </c>
      <c r="O31" s="1952">
        <f t="shared" si="13"/>
        <v>-2645.6448799999998</v>
      </c>
      <c r="P31" s="1951">
        <f t="shared" si="13"/>
        <v>-1903.3634399999999</v>
      </c>
    </row>
    <row r="32" spans="2:16" ht="14" thickTop="1" thickBot="1">
      <c r="B32" s="1925"/>
      <c r="D32" s="1953"/>
      <c r="E32" s="1952"/>
      <c r="F32" s="1952"/>
      <c r="G32" s="1952"/>
      <c r="H32" s="1952"/>
      <c r="I32" s="1952"/>
      <c r="J32" s="1952"/>
      <c r="K32" s="1952"/>
      <c r="L32" s="1952"/>
      <c r="M32" s="1952"/>
      <c r="N32" s="1952"/>
      <c r="O32" s="1952"/>
      <c r="P32" s="1951"/>
    </row>
    <row r="33" spans="2:16">
      <c r="B33" s="1950" t="s">
        <v>1537</v>
      </c>
      <c r="C33" s="1949"/>
      <c r="D33" s="1949"/>
      <c r="E33" s="1949"/>
      <c r="F33" s="1949"/>
      <c r="G33" s="1949"/>
      <c r="H33" s="1949"/>
      <c r="I33" s="1949"/>
      <c r="J33" s="1949"/>
      <c r="K33" s="1949"/>
      <c r="L33" s="1949"/>
      <c r="M33" s="1949"/>
      <c r="N33" s="1949"/>
      <c r="O33" s="1949"/>
      <c r="P33" s="1948"/>
    </row>
    <row r="34" spans="2:16">
      <c r="B34" s="1925" t="s">
        <v>1536</v>
      </c>
      <c r="P34" s="1946"/>
    </row>
    <row r="35" spans="2:16">
      <c r="B35" s="1925" t="s">
        <v>1535</v>
      </c>
      <c r="D35" s="1945">
        <f>AVERAGE(E35:P35)</f>
        <v>1.00486688172043</v>
      </c>
      <c r="E35" s="1921">
        <f>$L$46+$L$47</f>
        <v>1.0345499999999999</v>
      </c>
      <c r="F35" s="1945">
        <f t="shared" ref="F35:J36" si="14">E35</f>
        <v>1.0345499999999999</v>
      </c>
      <c r="G35" s="1945">
        <f t="shared" si="14"/>
        <v>1.0345499999999999</v>
      </c>
      <c r="H35" s="1945">
        <f t="shared" si="14"/>
        <v>1.0345499999999999</v>
      </c>
      <c r="I35" s="1945">
        <f t="shared" si="14"/>
        <v>1.0345499999999999</v>
      </c>
      <c r="J35" s="1945">
        <f t="shared" si="14"/>
        <v>1.0345499999999999</v>
      </c>
      <c r="K35" s="1921">
        <f>$O$46+$O$47</f>
        <v>0.96340000000000003</v>
      </c>
      <c r="L35" s="1945">
        <f t="shared" ref="L35:N36" si="15">K35</f>
        <v>0.96340000000000003</v>
      </c>
      <c r="M35" s="1945">
        <f t="shared" si="15"/>
        <v>0.96340000000000003</v>
      </c>
      <c r="N35" s="1945">
        <f t="shared" si="15"/>
        <v>0.96340000000000003</v>
      </c>
      <c r="O35" s="1921">
        <f>$N$46+$N$47</f>
        <v>0.99102999999999997</v>
      </c>
      <c r="P35" s="1941">
        <f>(O35/31*20)+(E35/31*11)</f>
        <v>1.0064725806451613</v>
      </c>
    </row>
    <row r="36" spans="2:16">
      <c r="B36" s="1925" t="s">
        <v>1534</v>
      </c>
      <c r="D36" s="1945">
        <f>AVERAGE(E36:P36)</f>
        <v>0.74174115591397849</v>
      </c>
      <c r="E36" s="1921">
        <f>$L$56+$L$57</f>
        <v>0.75828000000000007</v>
      </c>
      <c r="F36" s="1945">
        <f t="shared" si="14"/>
        <v>0.75828000000000007</v>
      </c>
      <c r="G36" s="1945">
        <f t="shared" si="14"/>
        <v>0.75828000000000007</v>
      </c>
      <c r="H36" s="1945">
        <f t="shared" si="14"/>
        <v>0.75828000000000007</v>
      </c>
      <c r="I36" s="1945">
        <f t="shared" si="14"/>
        <v>0.75828000000000007</v>
      </c>
      <c r="J36" s="1945">
        <f t="shared" si="14"/>
        <v>0.75828000000000007</v>
      </c>
      <c r="K36" s="1921">
        <f>$O$56+$O$57</f>
        <v>0.71575</v>
      </c>
      <c r="L36" s="1945">
        <f t="shared" si="15"/>
        <v>0.71575</v>
      </c>
      <c r="M36" s="1945">
        <f t="shared" si="15"/>
        <v>0.71575</v>
      </c>
      <c r="N36" s="1945">
        <f t="shared" si="15"/>
        <v>0.71575</v>
      </c>
      <c r="O36" s="1921">
        <f>$N$56+$N$57</f>
        <v>0.74104999999999999</v>
      </c>
      <c r="P36" s="1941">
        <f>(O36/31*20)+(E36/31*11)</f>
        <v>0.74716387096774195</v>
      </c>
    </row>
    <row r="37" spans="2:16">
      <c r="B37" s="1925" t="s">
        <v>1533</v>
      </c>
      <c r="D37" s="1945"/>
      <c r="E37" s="1947"/>
      <c r="M37" s="1947"/>
      <c r="O37" s="1947"/>
      <c r="P37" s="1946"/>
    </row>
    <row r="38" spans="2:16">
      <c r="B38" s="1925" t="s">
        <v>1532</v>
      </c>
      <c r="D38" s="1945">
        <f>AVERAGE(E38:P38)</f>
        <v>0.53844688172042998</v>
      </c>
      <c r="E38" s="1921">
        <f>$L$46</f>
        <v>0.55891999999999997</v>
      </c>
      <c r="F38" s="1945">
        <f t="shared" ref="F38:J39" si="16">E38</f>
        <v>0.55891999999999997</v>
      </c>
      <c r="G38" s="1945">
        <f t="shared" si="16"/>
        <v>0.55891999999999997</v>
      </c>
      <c r="H38" s="1945">
        <f t="shared" si="16"/>
        <v>0.55891999999999997</v>
      </c>
      <c r="I38" s="1945">
        <f t="shared" si="16"/>
        <v>0.55891999999999997</v>
      </c>
      <c r="J38" s="1945">
        <f t="shared" si="16"/>
        <v>0.55891999999999997</v>
      </c>
      <c r="K38" s="1921">
        <f>$O$46</f>
        <v>0.51539999999999997</v>
      </c>
      <c r="L38" s="1945">
        <f t="shared" ref="L38:N39" si="17">K38</f>
        <v>0.51539999999999997</v>
      </c>
      <c r="M38" s="1945">
        <f t="shared" si="17"/>
        <v>0.51539999999999997</v>
      </c>
      <c r="N38" s="1945">
        <f t="shared" si="17"/>
        <v>0.51539999999999997</v>
      </c>
      <c r="O38" s="1921">
        <f>$N$46</f>
        <v>0.51539999999999997</v>
      </c>
      <c r="P38" s="1941">
        <f>(O38/31*20)+(E38/31*11)</f>
        <v>0.53084258064516132</v>
      </c>
    </row>
    <row r="39" spans="2:16">
      <c r="B39" s="1925" t="s">
        <v>1531</v>
      </c>
      <c r="D39" s="1945">
        <f>AVERAGE(E39:P39)</f>
        <v>0.28358448924731178</v>
      </c>
      <c r="E39" s="1921">
        <f>$L$56</f>
        <v>0.29169</v>
      </c>
      <c r="F39" s="1945">
        <f t="shared" si="16"/>
        <v>0.29169</v>
      </c>
      <c r="G39" s="1945">
        <f t="shared" si="16"/>
        <v>0.29169</v>
      </c>
      <c r="H39" s="1945">
        <f t="shared" si="16"/>
        <v>0.29169</v>
      </c>
      <c r="I39" s="1945">
        <f t="shared" si="16"/>
        <v>0.29169</v>
      </c>
      <c r="J39" s="1945">
        <f t="shared" si="16"/>
        <v>0.29169</v>
      </c>
      <c r="K39" s="1921">
        <f>$O$56</f>
        <v>0.27445999999999998</v>
      </c>
      <c r="L39" s="1945">
        <f t="shared" si="17"/>
        <v>0.27445999999999998</v>
      </c>
      <c r="M39" s="1945">
        <f t="shared" si="17"/>
        <v>0.27445999999999998</v>
      </c>
      <c r="N39" s="1945">
        <f t="shared" si="17"/>
        <v>0.27445999999999998</v>
      </c>
      <c r="O39" s="1921">
        <f>$N$56</f>
        <v>0.27445999999999998</v>
      </c>
      <c r="P39" s="1941">
        <f>(O39/31*20)+(E39/31*11)</f>
        <v>0.28057387096774195</v>
      </c>
    </row>
    <row r="40" spans="2:16">
      <c r="B40" s="1925" t="s">
        <v>1530</v>
      </c>
      <c r="P40" s="1946"/>
    </row>
    <row r="41" spans="2:16">
      <c r="B41" s="1925" t="s">
        <v>1529</v>
      </c>
      <c r="D41" s="1945">
        <f>AVERAGE(E41:P41)</f>
        <v>0.44596666666666662</v>
      </c>
      <c r="E41" s="1936">
        <f>$L$48</f>
        <v>0.45484000000000002</v>
      </c>
      <c r="F41" s="1945">
        <f t="shared" ref="F41:J42" si="18">E41</f>
        <v>0.45484000000000002</v>
      </c>
      <c r="G41" s="1945">
        <f t="shared" si="18"/>
        <v>0.45484000000000002</v>
      </c>
      <c r="H41" s="1945">
        <f t="shared" si="18"/>
        <v>0.45484000000000002</v>
      </c>
      <c r="I41" s="1945">
        <f t="shared" si="18"/>
        <v>0.45484000000000002</v>
      </c>
      <c r="J41" s="1945">
        <f t="shared" si="18"/>
        <v>0.45484000000000002</v>
      </c>
      <c r="K41" s="1936">
        <f>$O$48</f>
        <v>0.42821999999999999</v>
      </c>
      <c r="L41" s="1945">
        <f t="shared" ref="L41:N42" si="19">K41</f>
        <v>0.42821999999999999</v>
      </c>
      <c r="M41" s="1945">
        <f t="shared" si="19"/>
        <v>0.42821999999999999</v>
      </c>
      <c r="N41" s="1945">
        <f t="shared" si="19"/>
        <v>0.42821999999999999</v>
      </c>
      <c r="O41" s="1936">
        <f>$N$48</f>
        <v>0.45484000000000002</v>
      </c>
      <c r="P41" s="1941">
        <f>(O41/31*20)+(E41/31*11)</f>
        <v>0.45484000000000002</v>
      </c>
    </row>
    <row r="42" spans="2:16">
      <c r="B42" s="1925" t="s">
        <v>1528</v>
      </c>
      <c r="D42" s="1945">
        <f>AVERAGE(E42:P42)</f>
        <v>0.44618999999999992</v>
      </c>
      <c r="E42" s="1936">
        <f>$L$58</f>
        <v>0.44618999999999998</v>
      </c>
      <c r="F42" s="1945">
        <f t="shared" si="18"/>
        <v>0.44618999999999998</v>
      </c>
      <c r="G42" s="1945">
        <f t="shared" si="18"/>
        <v>0.44618999999999998</v>
      </c>
      <c r="H42" s="1945">
        <f t="shared" si="18"/>
        <v>0.44618999999999998</v>
      </c>
      <c r="I42" s="1945">
        <f t="shared" si="18"/>
        <v>0.44618999999999998</v>
      </c>
      <c r="J42" s="1945">
        <f t="shared" si="18"/>
        <v>0.44618999999999998</v>
      </c>
      <c r="K42" s="1936">
        <f>$N$58</f>
        <v>0.44618999999999998</v>
      </c>
      <c r="L42" s="1945">
        <f t="shared" si="19"/>
        <v>0.44618999999999998</v>
      </c>
      <c r="M42" s="1945">
        <f t="shared" si="19"/>
        <v>0.44618999999999998</v>
      </c>
      <c r="N42" s="1945">
        <f t="shared" si="19"/>
        <v>0.44618999999999998</v>
      </c>
      <c r="O42" s="1936">
        <f>$N$58</f>
        <v>0.44618999999999998</v>
      </c>
      <c r="P42" s="1941">
        <f>(O42/31*20)+(E42/31*11)</f>
        <v>0.44618999999999998</v>
      </c>
    </row>
    <row r="43" spans="2:16" ht="13">
      <c r="B43" s="1925" t="s">
        <v>1527</v>
      </c>
      <c r="C43" s="1940"/>
      <c r="D43" s="1944" t="s">
        <v>1526</v>
      </c>
      <c r="F43" s="1922" t="s">
        <v>1525</v>
      </c>
      <c r="G43" s="1922" t="s">
        <v>824</v>
      </c>
      <c r="H43" s="1922" t="s">
        <v>1524</v>
      </c>
      <c r="I43" s="1910" t="s">
        <v>824</v>
      </c>
      <c r="K43" s="1943"/>
      <c r="L43" s="1943">
        <v>43454</v>
      </c>
      <c r="M43" s="1943"/>
      <c r="N43" s="1943">
        <v>43404</v>
      </c>
      <c r="O43" s="1943">
        <v>43281</v>
      </c>
      <c r="P43" s="1942"/>
    </row>
    <row r="44" spans="2:16">
      <c r="B44" s="1925"/>
      <c r="C44" s="1910" t="s">
        <v>1522</v>
      </c>
      <c r="D44" s="1924">
        <v>80766205</v>
      </c>
      <c r="F44" s="1923">
        <f>IF(D44&gt;F47,F47,D44)</f>
        <v>10201520</v>
      </c>
      <c r="G44" s="1929">
        <f>F44/$F$46</f>
        <v>1</v>
      </c>
      <c r="H44" s="1934">
        <f>D44-F44</f>
        <v>70564685</v>
      </c>
      <c r="I44" s="1929">
        <f>H44/$H$46</f>
        <v>0.59875731655602726</v>
      </c>
      <c r="K44" s="1936"/>
      <c r="L44" s="1921">
        <v>0.49892999999999998</v>
      </c>
      <c r="M44" s="1921"/>
      <c r="N44" s="1921">
        <v>0.46007999999999999</v>
      </c>
      <c r="O44" s="1921">
        <v>0.46007999999999999</v>
      </c>
      <c r="P44" s="1941"/>
    </row>
    <row r="45" spans="2:16">
      <c r="B45" s="1925"/>
      <c r="C45" s="1910" t="s">
        <v>1521</v>
      </c>
      <c r="D45" s="1924">
        <v>47287211</v>
      </c>
      <c r="G45" s="1929">
        <f>F45/$F$46</f>
        <v>0</v>
      </c>
      <c r="H45" s="1934">
        <f>D45-F45</f>
        <v>47287211</v>
      </c>
      <c r="I45" s="1929">
        <f>H45/$H$46</f>
        <v>0.40124268344397274</v>
      </c>
      <c r="K45" s="1936"/>
      <c r="L45" s="1921">
        <v>0.64844000000000002</v>
      </c>
      <c r="M45" s="1921"/>
      <c r="N45" s="1921">
        <v>0.59794999999999998</v>
      </c>
      <c r="O45" s="1921">
        <v>0.59794999999999998</v>
      </c>
      <c r="P45" s="1941"/>
    </row>
    <row r="46" spans="2:16" ht="13">
      <c r="B46" s="1925"/>
      <c r="D46" s="1930">
        <f>SUM(D44:D45)</f>
        <v>128053416</v>
      </c>
      <c r="F46" s="1930">
        <f>SUM(F44:F45)</f>
        <v>10201520</v>
      </c>
      <c r="G46" s="1929">
        <f>F46/$F$46</f>
        <v>1</v>
      </c>
      <c r="H46" s="1930">
        <f>SUM(H44:H45)</f>
        <v>117851896</v>
      </c>
      <c r="I46" s="1929">
        <f>H46/$H$46</f>
        <v>1</v>
      </c>
      <c r="K46" s="1927"/>
      <c r="L46" s="1927">
        <f>ROUND(+L44*$I44+L45*$I45,5)</f>
        <v>0.55891999999999997</v>
      </c>
      <c r="M46" s="1928"/>
      <c r="N46" s="1927">
        <f>ROUND(+N44*$I44+N45*$I45,5)</f>
        <v>0.51539999999999997</v>
      </c>
      <c r="O46" s="1927">
        <f>ROUND(+O44*$I44+O45*$I45,5)</f>
        <v>0.51539999999999997</v>
      </c>
      <c r="P46" s="1926"/>
    </row>
    <row r="47" spans="2:16">
      <c r="B47" s="1925"/>
      <c r="C47" s="1910" t="s">
        <v>1517</v>
      </c>
      <c r="D47" s="1924">
        <v>2040304</v>
      </c>
      <c r="E47" s="1924">
        <v>5</v>
      </c>
      <c r="F47" s="1923">
        <f>D47*E47</f>
        <v>10201520</v>
      </c>
      <c r="G47" s="1929">
        <f>F47/$F$46</f>
        <v>1</v>
      </c>
      <c r="J47" s="1922" t="s">
        <v>1516</v>
      </c>
      <c r="K47" s="1921"/>
      <c r="L47" s="1921">
        <v>0.47563</v>
      </c>
      <c r="M47" s="1920"/>
      <c r="N47" s="1921">
        <v>0.47563</v>
      </c>
      <c r="O47" s="1921">
        <v>0.44800000000000001</v>
      </c>
      <c r="P47" s="1941"/>
    </row>
    <row r="48" spans="2:16">
      <c r="B48" s="1925"/>
      <c r="J48" s="1922" t="s">
        <v>1515</v>
      </c>
      <c r="K48" s="1921"/>
      <c r="L48" s="1921">
        <v>0.45484000000000002</v>
      </c>
      <c r="M48" s="1920"/>
      <c r="N48" s="1921">
        <v>0.45484000000000002</v>
      </c>
      <c r="O48" s="1920">
        <v>0.42821999999999999</v>
      </c>
      <c r="P48" s="1919"/>
    </row>
    <row r="49" spans="2:16">
      <c r="B49" s="1925"/>
      <c r="J49" s="1922" t="s">
        <v>1514</v>
      </c>
      <c r="K49" s="1921"/>
      <c r="L49" s="1920">
        <v>4.6999999999999999E-4</v>
      </c>
      <c r="M49" s="1920"/>
      <c r="N49" s="1920">
        <v>4.6999999999999999E-4</v>
      </c>
      <c r="O49" s="1920">
        <v>4.6999999999999999E-4</v>
      </c>
      <c r="P49" s="1919"/>
    </row>
    <row r="50" spans="2:16">
      <c r="B50" s="1925" t="s">
        <v>1523</v>
      </c>
      <c r="C50" s="1940"/>
      <c r="D50" s="1939"/>
      <c r="F50" s="1922"/>
      <c r="G50" s="1922"/>
      <c r="H50" s="1922"/>
      <c r="K50" s="1938"/>
      <c r="L50" s="1938"/>
      <c r="M50" s="1938"/>
      <c r="N50" s="1938"/>
      <c r="O50" s="1938"/>
      <c r="P50" s="1937"/>
    </row>
    <row r="51" spans="2:16">
      <c r="B51" s="1925"/>
      <c r="C51" s="1910" t="s">
        <v>1522</v>
      </c>
      <c r="D51" s="1924">
        <v>6521235</v>
      </c>
      <c r="F51" s="1934">
        <f>D51</f>
        <v>6521235</v>
      </c>
      <c r="G51" s="1929">
        <f>F51/F$56</f>
        <v>0.33110776613433401</v>
      </c>
      <c r="H51" s="1934">
        <f>D51-F51</f>
        <v>0</v>
      </c>
      <c r="I51" s="1929">
        <f>H51/H$56</f>
        <v>0</v>
      </c>
      <c r="K51" s="1936"/>
      <c r="L51" s="1921">
        <v>0.64359999999999995</v>
      </c>
      <c r="M51" s="1921"/>
      <c r="N51" s="1921">
        <v>0.59719999999999995</v>
      </c>
      <c r="O51" s="1921">
        <v>0.59719999999999995</v>
      </c>
      <c r="P51" s="1935"/>
    </row>
    <row r="52" spans="2:16">
      <c r="B52" s="1925"/>
      <c r="C52" s="1910" t="s">
        <v>1521</v>
      </c>
      <c r="D52" s="1924">
        <v>16462319</v>
      </c>
      <c r="F52" s="1934">
        <f>F57-F51</f>
        <v>13173969</v>
      </c>
      <c r="G52" s="1929">
        <f>F52/F$56</f>
        <v>0.66889223386566599</v>
      </c>
      <c r="H52" s="1934">
        <f>D52-F52</f>
        <v>3288350</v>
      </c>
      <c r="I52" s="1929">
        <f>H52/H$56</f>
        <v>9.2011228316250901E-2</v>
      </c>
      <c r="K52" s="1933"/>
      <c r="L52" s="1921">
        <v>0.38312000000000002</v>
      </c>
      <c r="M52" s="1921"/>
      <c r="N52" s="1921">
        <v>0.36048999999999998</v>
      </c>
      <c r="O52" s="1921">
        <v>0.36048999999999998</v>
      </c>
      <c r="P52" s="1932"/>
    </row>
    <row r="53" spans="2:16">
      <c r="B53" s="1925"/>
      <c r="C53" s="1910" t="s">
        <v>1520</v>
      </c>
      <c r="D53" s="1924">
        <v>27222823</v>
      </c>
      <c r="F53" s="1910">
        <v>0</v>
      </c>
      <c r="G53" s="1929">
        <f>F53/F$56</f>
        <v>0</v>
      </c>
      <c r="H53" s="1934">
        <f>D53-F53</f>
        <v>27222823</v>
      </c>
      <c r="I53" s="1929">
        <f>H53/H$56</f>
        <v>0.76172104017695386</v>
      </c>
      <c r="K53" s="1933"/>
      <c r="L53" s="1921">
        <v>0.29203000000000001</v>
      </c>
      <c r="M53" s="1921"/>
      <c r="N53" s="1921">
        <v>0.27478000000000002</v>
      </c>
      <c r="O53" s="1921">
        <v>0.27478000000000002</v>
      </c>
      <c r="P53" s="1932"/>
    </row>
    <row r="54" spans="2:16">
      <c r="B54" s="1925"/>
      <c r="C54" s="1910" t="s">
        <v>1519</v>
      </c>
      <c r="D54" s="1924">
        <v>4049910</v>
      </c>
      <c r="F54" s="1910">
        <v>0</v>
      </c>
      <c r="G54" s="1929">
        <f>F54/F$56</f>
        <v>0</v>
      </c>
      <c r="H54" s="1934">
        <f>D54-F54</f>
        <v>4049910</v>
      </c>
      <c r="I54" s="1929">
        <f>H54/H$56</f>
        <v>0.11332041713025308</v>
      </c>
      <c r="K54" s="1933"/>
      <c r="L54" s="1921">
        <v>0.24917</v>
      </c>
      <c r="M54" s="1921"/>
      <c r="N54" s="1921">
        <v>0.23444999999999999</v>
      </c>
      <c r="O54" s="1921">
        <v>0.23444999999999999</v>
      </c>
      <c r="P54" s="1932"/>
    </row>
    <row r="55" spans="2:16">
      <c r="B55" s="1925"/>
      <c r="C55" s="1910" t="s">
        <v>1518</v>
      </c>
      <c r="D55" s="1924">
        <v>1177490</v>
      </c>
      <c r="F55" s="1910">
        <v>0</v>
      </c>
      <c r="G55" s="1929">
        <f>F55/F$56</f>
        <v>0</v>
      </c>
      <c r="H55" s="1934">
        <f>D55-F55</f>
        <v>1177490</v>
      </c>
      <c r="I55" s="1929">
        <f>H55/H$56</f>
        <v>3.2947314376542122E-2</v>
      </c>
      <c r="K55" s="1933"/>
      <c r="L55" s="1921">
        <v>0.17480000000000001</v>
      </c>
      <c r="M55" s="1921"/>
      <c r="N55" s="1921">
        <v>0.16447000000000001</v>
      </c>
      <c r="O55" s="1921">
        <v>0.16447000000000001</v>
      </c>
      <c r="P55" s="1932"/>
    </row>
    <row r="56" spans="2:16" ht="13">
      <c r="B56" s="1925"/>
      <c r="D56" s="1931">
        <f>SUM(D51:D55)</f>
        <v>55433777</v>
      </c>
      <c r="F56" s="1930">
        <f>SUM(F51:F55)</f>
        <v>19695204</v>
      </c>
      <c r="G56" s="1929">
        <f>SUM(G51:G55)</f>
        <v>1</v>
      </c>
      <c r="H56" s="1930">
        <f>SUM(H51:H55)</f>
        <v>35738573</v>
      </c>
      <c r="I56" s="1929">
        <f>SUM(I51:I55)</f>
        <v>0.99999999999999989</v>
      </c>
      <c r="K56" s="1927"/>
      <c r="L56" s="1927">
        <f>ROUND(L51*$I51+L52*$I52+L53*$I53+L54*$I54+L55*$I55,5)</f>
        <v>0.29169</v>
      </c>
      <c r="M56" s="1928"/>
      <c r="N56" s="1927">
        <f>ROUND(N51*$I51+N52*$I52+N53*$I53+N54*$I54+N55*$I55,5)</f>
        <v>0.27445999999999998</v>
      </c>
      <c r="O56" s="1927">
        <f>ROUND(O51*$I51+O52*$I52+O53*$I53+O54*$I54+O55*$I55,5)</f>
        <v>0.27445999999999998</v>
      </c>
      <c r="P56" s="1926"/>
    </row>
    <row r="57" spans="2:16">
      <c r="B57" s="1925"/>
      <c r="C57" s="1910" t="s">
        <v>1517</v>
      </c>
      <c r="D57" s="1924">
        <v>38169</v>
      </c>
      <c r="E57" s="1924">
        <v>516</v>
      </c>
      <c r="F57" s="1923">
        <f>D57*E57</f>
        <v>19695204</v>
      </c>
      <c r="J57" s="1922" t="s">
        <v>1516</v>
      </c>
      <c r="K57" s="1921"/>
      <c r="L57" s="1921">
        <v>0.46659</v>
      </c>
      <c r="M57" s="1920"/>
      <c r="N57" s="1921">
        <v>0.46659</v>
      </c>
      <c r="O57" s="1920">
        <v>0.44129000000000002</v>
      </c>
      <c r="P57" s="1919"/>
    </row>
    <row r="58" spans="2:16">
      <c r="B58" s="1925"/>
      <c r="D58" s="1924"/>
      <c r="E58" s="1924"/>
      <c r="F58" s="1923"/>
      <c r="J58" s="1922" t="s">
        <v>1515</v>
      </c>
      <c r="K58" s="1921"/>
      <c r="L58" s="1921">
        <v>0.44618999999999998</v>
      </c>
      <c r="M58" s="1920"/>
      <c r="N58" s="1921">
        <v>0.44618999999999998</v>
      </c>
      <c r="O58" s="1920">
        <v>0.42181000000000002</v>
      </c>
      <c r="P58" s="1919"/>
    </row>
    <row r="59" spans="2:16">
      <c r="B59" s="1925"/>
      <c r="D59" s="1924"/>
      <c r="E59" s="1924"/>
      <c r="F59" s="1923"/>
      <c r="J59" s="1922" t="s">
        <v>1514</v>
      </c>
      <c r="K59" s="1921"/>
      <c r="L59" s="1920">
        <v>3.8000000000000002E-4</v>
      </c>
      <c r="M59" s="1920"/>
      <c r="N59" s="1920">
        <v>3.8000000000000002E-4</v>
      </c>
      <c r="O59" s="1920">
        <v>3.8000000000000002E-4</v>
      </c>
      <c r="P59" s="1919"/>
    </row>
    <row r="60" spans="2:16" ht="13" thickBot="1">
      <c r="B60" s="1918"/>
      <c r="C60" s="1915"/>
      <c r="D60" s="1917"/>
      <c r="E60" s="1917"/>
      <c r="F60" s="1916"/>
      <c r="G60" s="1915"/>
      <c r="H60" s="1915"/>
      <c r="I60" s="1915"/>
      <c r="J60" s="1914" t="s">
        <v>1513</v>
      </c>
      <c r="K60" s="1913"/>
      <c r="L60" s="1912">
        <v>4.3930999999999998E-2</v>
      </c>
      <c r="M60" s="1912"/>
      <c r="N60" s="1912">
        <v>4.3930999999999998E-2</v>
      </c>
      <c r="O60" s="1912">
        <v>4.3930999999999998E-2</v>
      </c>
      <c r="P60" s="1911"/>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4"/>
  <cols>
    <col min="1" max="1" width="6.1796875" style="1975" customWidth="1"/>
    <col min="2" max="2" width="5.26953125" style="1975" customWidth="1"/>
    <col min="3" max="3" width="23.81640625" style="1975" customWidth="1"/>
    <col min="4" max="4" width="11.26953125" style="1975" customWidth="1"/>
    <col min="5" max="5" width="13.1796875" style="1976" customWidth="1"/>
    <col min="6" max="6" width="11.26953125" style="1976" customWidth="1"/>
    <col min="7" max="7" width="13.26953125" style="1976" customWidth="1"/>
    <col min="8" max="8" width="12.453125" style="1976" customWidth="1"/>
    <col min="9" max="9" width="12.7265625" style="1976" customWidth="1"/>
    <col min="10" max="11" width="11.7265625" style="1976" customWidth="1"/>
    <col min="12" max="12" width="15.7265625" style="1976" bestFit="1" customWidth="1"/>
    <col min="13" max="14" width="12.1796875" style="1976" customWidth="1"/>
    <col min="15" max="15" width="12.7265625" style="1975" customWidth="1"/>
    <col min="16" max="16" width="12.54296875" style="1975" customWidth="1"/>
    <col min="17" max="17" width="14.26953125" style="1975" customWidth="1"/>
    <col min="18" max="18" width="12.453125" style="1975" customWidth="1"/>
    <col min="19" max="19" width="1.7265625" style="995" customWidth="1"/>
    <col min="21" max="21" width="19.26953125" style="477" customWidth="1"/>
    <col min="22" max="22" width="49.453125" style="477" customWidth="1"/>
    <col min="23" max="23" width="16.26953125" style="477" customWidth="1"/>
    <col min="24" max="24" width="4.26953125" style="477" customWidth="1"/>
    <col min="25" max="25" width="68.54296875" style="477" bestFit="1" customWidth="1"/>
    <col min="26" max="26" width="14.7265625" style="477" customWidth="1"/>
    <col min="28" max="28" width="1.7265625" style="995" customWidth="1"/>
    <col min="30" max="31" width="8.81640625" style="477"/>
    <col min="32" max="32" width="12" style="477" customWidth="1"/>
    <col min="33" max="33" width="15.7265625" style="477" customWidth="1"/>
    <col min="34" max="34" width="14" style="477" bestFit="1" customWidth="1"/>
    <col min="35" max="35" width="14.26953125" style="477" bestFit="1" customWidth="1"/>
    <col min="36" max="37" width="14" style="477" bestFit="1" customWidth="1"/>
    <col min="38" max="38" width="15" style="477" bestFit="1" customWidth="1"/>
    <col min="39" max="39" width="11.54296875" style="477" bestFit="1" customWidth="1"/>
    <col min="40" max="40" width="14.26953125" style="477" bestFit="1" customWidth="1"/>
    <col min="41" max="41" width="8.81640625" style="477"/>
    <col min="42" max="42" width="15" style="477" bestFit="1" customWidth="1"/>
    <col min="43" max="44" width="14" style="477" customWidth="1"/>
    <col min="45" max="45" width="14" style="477" bestFit="1" customWidth="1"/>
    <col min="46" max="46" width="12.26953125" style="477" bestFit="1" customWidth="1"/>
    <col min="47" max="47" width="8.81640625" style="477"/>
    <col min="49" max="49" width="1.26953125" style="995" customWidth="1"/>
    <col min="51" max="52" width="8.81640625" style="477"/>
    <col min="53" max="53" width="12" style="477" customWidth="1"/>
    <col min="54" max="55" width="14" style="477" bestFit="1" customWidth="1"/>
    <col min="56" max="56" width="13.26953125" style="477" bestFit="1" customWidth="1"/>
    <col min="57" max="58" width="14" style="477" bestFit="1" customWidth="1"/>
    <col min="59" max="59" width="15" style="477" bestFit="1" customWidth="1"/>
    <col min="60" max="60" width="11.54296875" style="477" bestFit="1" customWidth="1"/>
    <col min="61" max="61" width="14.26953125" style="477" bestFit="1" customWidth="1"/>
    <col min="62" max="62" width="8.81640625" style="477"/>
    <col min="63" max="63" width="14" style="477" bestFit="1" customWidth="1"/>
    <col min="64" max="65" width="14" style="477" customWidth="1"/>
    <col min="66" max="66" width="14" style="477" bestFit="1" customWidth="1"/>
    <col min="67" max="67" width="12.26953125" style="477" bestFit="1" customWidth="1"/>
    <col min="68" max="68" width="8.81640625" style="477"/>
    <col min="69" max="69" width="1.26953125" style="995" customWidth="1"/>
    <col min="71" max="71" width="16.453125" style="477" customWidth="1"/>
    <col min="72" max="72" width="41.453125" style="477" customWidth="1"/>
    <col min="73" max="76" width="16" style="477" bestFit="1" customWidth="1"/>
    <col min="77" max="78" width="15.453125" style="477" customWidth="1"/>
    <col min="79" max="79" width="8.81640625" style="477"/>
    <col min="80" max="80" width="15" style="477" bestFit="1" customWidth="1"/>
    <col min="81" max="82" width="14.26953125" style="477" bestFit="1" customWidth="1"/>
    <col min="83" max="84" width="15" style="477" bestFit="1" customWidth="1"/>
    <col min="85" max="85" width="8.81640625" style="477"/>
    <col min="86" max="86" width="14.26953125" style="477" bestFit="1" customWidth="1"/>
    <col min="87" max="87" width="14" style="477" bestFit="1" customWidth="1"/>
    <col min="88" max="89" width="14.26953125" style="477" bestFit="1" customWidth="1"/>
    <col min="90" max="90" width="15" style="477" bestFit="1" customWidth="1"/>
    <col min="91" max="91" width="8.81640625" style="477"/>
  </cols>
  <sheetData>
    <row r="1" spans="1:90">
      <c r="A1" s="1975" t="s">
        <v>1204</v>
      </c>
      <c r="U1" s="477" t="s">
        <v>1647</v>
      </c>
      <c r="Y1" s="2054"/>
      <c r="Z1" s="2054"/>
      <c r="BS1" s="1557" t="s">
        <v>1702</v>
      </c>
      <c r="BT1" s="1557" t="s">
        <v>1701</v>
      </c>
    </row>
    <row r="2" spans="1:90">
      <c r="A2" s="1975" t="s">
        <v>1579</v>
      </c>
      <c r="U2" s="2054" t="s">
        <v>1646</v>
      </c>
      <c r="V2" s="2054" t="s">
        <v>1645</v>
      </c>
      <c r="W2" s="3949" t="s">
        <v>1644</v>
      </c>
      <c r="X2" s="3949"/>
    </row>
    <row r="3" spans="1:90" ht="43.5">
      <c r="A3" s="1975" t="s">
        <v>1060</v>
      </c>
      <c r="U3" s="2054"/>
      <c r="V3" s="2054"/>
      <c r="W3" s="2002"/>
      <c r="X3" s="2002"/>
      <c r="AD3" s="477" t="s">
        <v>1665</v>
      </c>
      <c r="AG3" s="1179" t="s">
        <v>1664</v>
      </c>
      <c r="AH3" s="1179" t="s">
        <v>1663</v>
      </c>
      <c r="AI3" s="1179" t="s">
        <v>1654</v>
      </c>
      <c r="AJ3" s="1179" t="s">
        <v>1653</v>
      </c>
      <c r="AK3" s="1179" t="s">
        <v>1662</v>
      </c>
      <c r="AL3" s="1179" t="s">
        <v>1652</v>
      </c>
      <c r="AM3" s="1179" t="s">
        <v>1651</v>
      </c>
      <c r="AN3" s="1179" t="s">
        <v>1650</v>
      </c>
      <c r="AP3" s="1179" t="s">
        <v>1649</v>
      </c>
      <c r="AQ3" s="1179" t="s">
        <v>1661</v>
      </c>
      <c r="AR3" s="1179" t="s">
        <v>1660</v>
      </c>
      <c r="AS3" s="1179" t="s">
        <v>1659</v>
      </c>
      <c r="AY3" s="477" t="s">
        <v>1665</v>
      </c>
      <c r="BB3" s="1179" t="s">
        <v>1673</v>
      </c>
      <c r="BC3" s="1179" t="s">
        <v>1672</v>
      </c>
      <c r="BD3" s="1179" t="s">
        <v>1654</v>
      </c>
      <c r="BE3" s="1179" t="s">
        <v>1671</v>
      </c>
      <c r="BF3" s="1179" t="s">
        <v>1670</v>
      </c>
      <c r="BG3" s="1179" t="s">
        <v>1652</v>
      </c>
      <c r="BH3" s="1179" t="s">
        <v>1651</v>
      </c>
      <c r="BI3" s="1179" t="s">
        <v>1650</v>
      </c>
      <c r="BK3" s="1179" t="s">
        <v>1669</v>
      </c>
      <c r="BL3" s="1179" t="s">
        <v>1668</v>
      </c>
      <c r="BM3" s="1179" t="s">
        <v>1667</v>
      </c>
      <c r="BN3" s="1179" t="s">
        <v>1666</v>
      </c>
      <c r="BS3" s="2074" t="s">
        <v>1251</v>
      </c>
      <c r="BT3" s="2074"/>
      <c r="BU3" s="2074" t="s">
        <v>1057</v>
      </c>
      <c r="BV3" s="2074" t="s">
        <v>1058</v>
      </c>
      <c r="BW3" s="2074"/>
    </row>
    <row r="4" spans="1:90" ht="14.5">
      <c r="U4" s="2010" t="s">
        <v>1643</v>
      </c>
      <c r="V4" s="2018" t="s">
        <v>864</v>
      </c>
      <c r="W4" s="2018" t="s">
        <v>865</v>
      </c>
      <c r="AF4" s="2062">
        <v>44927</v>
      </c>
      <c r="AG4" s="1457">
        <v>-2213485.5299999998</v>
      </c>
      <c r="AH4" s="1457">
        <v>-1288200.56</v>
      </c>
      <c r="AI4" s="1457">
        <v>1276898.94</v>
      </c>
      <c r="AJ4" s="1457">
        <v>-891182.64</v>
      </c>
      <c r="AK4" s="1501">
        <v>-652926.02</v>
      </c>
      <c r="AL4" s="2061">
        <f t="shared" ref="AL4:AL15" si="0">SUM(AG4:AK4)</f>
        <v>-3768895.81</v>
      </c>
      <c r="AM4" s="2060">
        <v>0.95628183088298646</v>
      </c>
      <c r="AN4" s="1457">
        <f t="shared" ref="AN4:AN15" si="1">-AL4*AM4</f>
        <v>3604126.5855940161</v>
      </c>
      <c r="AP4" s="916">
        <f>(AG4-AJ15+AJ4)*AM4</f>
        <v>-1987949.5005657796</v>
      </c>
      <c r="AQ4" s="916">
        <v>0</v>
      </c>
      <c r="AR4" s="916">
        <f t="shared" ref="AR4:AR15" si="2">AQ4*AM4</f>
        <v>0</v>
      </c>
      <c r="AS4" s="916">
        <f>(AH4-AK15+AK4)*AM4</f>
        <v>-1616177.0884214947</v>
      </c>
      <c r="AT4" s="916">
        <f t="shared" ref="AT4:AT15" si="3">AN4+AP4+AS4</f>
        <v>-3.3932582009583712E-3</v>
      </c>
      <c r="BA4" s="2062">
        <v>44927</v>
      </c>
      <c r="BB4" s="1457">
        <v>-1650566.86</v>
      </c>
      <c r="BC4" s="1457">
        <v>-864683.26</v>
      </c>
      <c r="BD4" s="1457">
        <v>1108795.51</v>
      </c>
      <c r="BE4" s="1457">
        <v>-738808.24</v>
      </c>
      <c r="BF4" s="1501">
        <v>-513668.71</v>
      </c>
      <c r="BG4" s="2061">
        <f t="shared" ref="BG4:BG15" si="4">SUM(BB4:BF4)</f>
        <v>-2658931.56</v>
      </c>
      <c r="BH4" s="2060">
        <v>0.95628183088298646</v>
      </c>
      <c r="BI4" s="1457">
        <f t="shared" ref="BI4:BI15" si="5">-BG4*BH4</f>
        <v>2542687.9403893556</v>
      </c>
      <c r="BK4" s="916">
        <f>(BB4-BE15+BE4)*BH4</f>
        <v>-1418410.8589763581</v>
      </c>
      <c r="BL4" s="916">
        <v>0</v>
      </c>
      <c r="BM4" s="916">
        <f t="shared" ref="BM4:BM15" si="6">BL4*BH4</f>
        <v>0</v>
      </c>
      <c r="BN4" s="916">
        <f>(BC4-BF15+BF4)*BH4</f>
        <v>-1124277.0817214751</v>
      </c>
      <c r="BO4" s="916">
        <f t="shared" ref="BO4:BO15" si="7">BI4+BK4+BN4</f>
        <v>-3.0847755260765553E-4</v>
      </c>
      <c r="BS4" s="2074"/>
      <c r="BT4" s="2074"/>
      <c r="BU4" s="2074" t="s">
        <v>763</v>
      </c>
      <c r="BV4" s="2074" t="s">
        <v>763</v>
      </c>
      <c r="BW4" s="2073" t="s">
        <v>978</v>
      </c>
      <c r="CB4" s="3899" t="s">
        <v>880</v>
      </c>
      <c r="CC4" s="3899"/>
      <c r="CD4" s="3899"/>
      <c r="CE4" s="3899"/>
      <c r="CF4" s="3899"/>
      <c r="CH4" s="3899" t="s">
        <v>878</v>
      </c>
      <c r="CI4" s="3899"/>
      <c r="CJ4" s="3899"/>
      <c r="CK4" s="3899"/>
      <c r="CL4" s="3899"/>
    </row>
    <row r="5" spans="1:90" ht="14.5">
      <c r="A5" s="1975" t="s">
        <v>1578</v>
      </c>
      <c r="AF5" s="2062">
        <v>44958</v>
      </c>
      <c r="AG5" s="1457">
        <v>-1500526.5</v>
      </c>
      <c r="AH5" s="1457">
        <v>-1254007.25</v>
      </c>
      <c r="AI5" s="1457">
        <v>1544108.66</v>
      </c>
      <c r="AJ5" s="1457">
        <v>-763811.05</v>
      </c>
      <c r="AK5" s="1501">
        <v>-552720.71</v>
      </c>
      <c r="AL5" s="2061">
        <f t="shared" si="0"/>
        <v>-2526956.85</v>
      </c>
      <c r="AM5" s="2060">
        <v>0.95628183088298646</v>
      </c>
      <c r="AN5" s="1457">
        <f t="shared" si="1"/>
        <v>2416482.9230803042</v>
      </c>
      <c r="AP5" s="916">
        <f>(AG5-AJ4+AJ5)*AM5</f>
        <v>-1313123.0914207627</v>
      </c>
      <c r="AQ5" s="916">
        <v>0</v>
      </c>
      <c r="AR5" s="916">
        <f t="shared" si="2"/>
        <v>0</v>
      </c>
      <c r="AS5" s="916">
        <f>(AH5-AK4+AK5)*AM5</f>
        <v>-1103359.8316595417</v>
      </c>
      <c r="AT5" s="916">
        <f t="shared" si="3"/>
        <v>0</v>
      </c>
      <c r="BA5" s="2062">
        <v>44958</v>
      </c>
      <c r="BB5" s="1457">
        <v>-1264377.93</v>
      </c>
      <c r="BC5" s="1457">
        <v>-872418.45</v>
      </c>
      <c r="BD5" s="1457">
        <v>1252476.95</v>
      </c>
      <c r="BE5" s="1457">
        <v>-731676.95</v>
      </c>
      <c r="BF5" s="1501">
        <v>-526499.26</v>
      </c>
      <c r="BG5" s="2061">
        <f t="shared" si="4"/>
        <v>-2142495.6399999997</v>
      </c>
      <c r="BH5" s="2060">
        <v>0.95628183088298646</v>
      </c>
      <c r="BI5" s="1457">
        <f t="shared" si="5"/>
        <v>2048829.6532780156</v>
      </c>
      <c r="BK5" s="916">
        <f>(BB5-BE4+BE5)*BH5</f>
        <v>-1202282.118770683</v>
      </c>
      <c r="BL5" s="916">
        <v>0</v>
      </c>
      <c r="BM5" s="916">
        <f t="shared" si="6"/>
        <v>0</v>
      </c>
      <c r="BN5" s="916">
        <f>(BC5-BF4+BF5)*BH5</f>
        <v>-846547.53450733284</v>
      </c>
      <c r="BO5" s="916">
        <f t="shared" si="7"/>
        <v>0</v>
      </c>
      <c r="BS5" s="2072" t="s">
        <v>1065</v>
      </c>
      <c r="BT5" s="2072" t="s">
        <v>1066</v>
      </c>
      <c r="BU5" s="2072" t="s">
        <v>681</v>
      </c>
      <c r="BV5" s="2072" t="s">
        <v>680</v>
      </c>
      <c r="BW5" s="2071"/>
      <c r="CB5" s="2070">
        <v>202212</v>
      </c>
      <c r="CC5" s="2070">
        <v>202206</v>
      </c>
      <c r="CD5" s="2070" t="s">
        <v>1700</v>
      </c>
      <c r="CE5" s="2070">
        <v>202306</v>
      </c>
      <c r="CF5" s="2070" t="s">
        <v>1580</v>
      </c>
      <c r="CH5" s="2070">
        <v>202212</v>
      </c>
      <c r="CI5" s="2070">
        <v>202206</v>
      </c>
      <c r="CJ5" s="2070" t="s">
        <v>1700</v>
      </c>
      <c r="CK5" s="2070">
        <v>202306</v>
      </c>
      <c r="CL5" s="2070" t="s">
        <v>1580</v>
      </c>
    </row>
    <row r="6" spans="1:90" ht="14.5">
      <c r="A6" s="2005" t="s">
        <v>1577</v>
      </c>
      <c r="B6" s="947"/>
      <c r="C6" s="947"/>
      <c r="D6" s="2000"/>
      <c r="U6" s="2053"/>
      <c r="V6" s="2052"/>
      <c r="W6" s="2051" t="s">
        <v>1059</v>
      </c>
      <c r="AF6" s="2062">
        <v>44986</v>
      </c>
      <c r="AG6" s="1457">
        <v>-1910825.55</v>
      </c>
      <c r="AH6" s="1457">
        <v>-1486372.12</v>
      </c>
      <c r="AI6" s="1457">
        <v>1316531.76</v>
      </c>
      <c r="AJ6" s="1457">
        <v>-538343.86</v>
      </c>
      <c r="AK6" s="1501">
        <v>-341398.1</v>
      </c>
      <c r="AL6" s="2061">
        <f t="shared" si="0"/>
        <v>-2960407.87</v>
      </c>
      <c r="AM6" s="2060">
        <v>0.95628183088298646</v>
      </c>
      <c r="AN6" s="1457">
        <f t="shared" si="1"/>
        <v>2830984.2580840024</v>
      </c>
      <c r="AP6" s="916">
        <f>(AG6-AJ5+AJ6)*AM6</f>
        <v>-1611677.5781947472</v>
      </c>
      <c r="AQ6" s="916">
        <v>0</v>
      </c>
      <c r="AR6" s="916">
        <f t="shared" si="2"/>
        <v>0</v>
      </c>
      <c r="AS6" s="916">
        <f>(AH6-AK5+AK6)*AM6</f>
        <v>-1219306.679889255</v>
      </c>
      <c r="AT6" s="916">
        <f t="shared" si="3"/>
        <v>0</v>
      </c>
      <c r="BA6" s="2062">
        <v>44986</v>
      </c>
      <c r="BB6" s="1457">
        <v>-1369960</v>
      </c>
      <c r="BC6" s="1457">
        <v>-961234.97</v>
      </c>
      <c r="BD6" s="1457">
        <v>1258176.21</v>
      </c>
      <c r="BE6" s="1457">
        <v>-463877.1</v>
      </c>
      <c r="BF6" s="1501">
        <v>-324061.15000000002</v>
      </c>
      <c r="BG6" s="2061">
        <f t="shared" si="4"/>
        <v>-1860957.0099999998</v>
      </c>
      <c r="BH6" s="2060">
        <v>0.95628183088298646</v>
      </c>
      <c r="BI6" s="1457">
        <f t="shared" si="5"/>
        <v>1779599.3767173279</v>
      </c>
      <c r="BK6" s="916">
        <f>(BB6-BE5+BE6)*BH6</f>
        <v>-1053975.726168267</v>
      </c>
      <c r="BL6" s="916">
        <v>0</v>
      </c>
      <c r="BM6" s="916">
        <f t="shared" si="6"/>
        <v>0</v>
      </c>
      <c r="BN6" s="916">
        <f>(BC6-BF5+BF6)*BH6</f>
        <v>-725623.65054906113</v>
      </c>
      <c r="BO6" s="916">
        <f t="shared" si="7"/>
        <v>0</v>
      </c>
      <c r="BS6" s="182" t="s">
        <v>1699</v>
      </c>
      <c r="BT6" s="477" t="s">
        <v>1687</v>
      </c>
      <c r="BU6" s="1501">
        <f t="shared" ref="BU6:BU23" si="8">CF6</f>
        <v>3085215.98</v>
      </c>
      <c r="BV6" s="1501">
        <f t="shared" ref="BV6:BV23" si="9">CL6</f>
        <v>0</v>
      </c>
      <c r="BW6" s="1501">
        <f t="shared" ref="BW6:BW23" si="10">SUM(BU6:BV6)</f>
        <v>3085215.98</v>
      </c>
      <c r="BY6" s="1501">
        <v>742825.71</v>
      </c>
      <c r="BZ6" s="1501">
        <v>0</v>
      </c>
      <c r="CB6" s="1501">
        <v>742825.71</v>
      </c>
      <c r="CC6" s="1501">
        <v>0</v>
      </c>
      <c r="CD6" s="1501">
        <f t="shared" ref="CD6:CD23" si="11">CB6-CC6</f>
        <v>742825.71</v>
      </c>
      <c r="CE6" s="1501">
        <v>2342390.27</v>
      </c>
      <c r="CF6" s="916">
        <f t="shared" ref="CF6:CF23" si="12">CD6+CE6</f>
        <v>3085215.98</v>
      </c>
      <c r="CH6" s="1501">
        <v>0</v>
      </c>
      <c r="CI6" s="1501">
        <v>0</v>
      </c>
      <c r="CJ6" s="1501">
        <f t="shared" ref="CJ6:CJ23" si="13">CH6-CI6</f>
        <v>0</v>
      </c>
      <c r="CK6" s="1501">
        <v>0</v>
      </c>
      <c r="CL6" s="916">
        <f t="shared" ref="CL6:CL23" si="14">CJ6+CK6</f>
        <v>0</v>
      </c>
    </row>
    <row r="7" spans="1:90" ht="70.5">
      <c r="A7" s="1998" t="s">
        <v>1576</v>
      </c>
      <c r="B7" s="947"/>
      <c r="C7" s="947" t="s">
        <v>16</v>
      </c>
      <c r="D7" s="2004" t="s">
        <v>137</v>
      </c>
      <c r="E7" s="2003" t="s">
        <v>1575</v>
      </c>
      <c r="F7" s="2003" t="s">
        <v>1574</v>
      </c>
      <c r="G7" s="2003" t="s">
        <v>1573</v>
      </c>
      <c r="H7" s="2003" t="s">
        <v>1572</v>
      </c>
      <c r="I7" s="2003" t="s">
        <v>1571</v>
      </c>
      <c r="J7" s="2003" t="s">
        <v>1570</v>
      </c>
      <c r="K7" s="2003" t="s">
        <v>1569</v>
      </c>
      <c r="L7" s="2003" t="s">
        <v>1568</v>
      </c>
      <c r="M7" s="2003" t="s">
        <v>1567</v>
      </c>
      <c r="N7" s="2003" t="s">
        <v>1566</v>
      </c>
      <c r="O7" s="2002" t="s">
        <v>1565</v>
      </c>
      <c r="P7" s="2002" t="s">
        <v>1564</v>
      </c>
      <c r="Q7" s="2002" t="s">
        <v>1563</v>
      </c>
      <c r="U7" s="2010" t="s">
        <v>1043</v>
      </c>
      <c r="V7" s="1534" t="s">
        <v>1642</v>
      </c>
      <c r="W7" s="2012"/>
      <c r="AF7" s="2062">
        <v>45017</v>
      </c>
      <c r="AG7" s="1457">
        <v>-1378972.33</v>
      </c>
      <c r="AH7" s="1457">
        <v>-1045350.01</v>
      </c>
      <c r="AI7" s="1457">
        <v>879741.96</v>
      </c>
      <c r="AJ7" s="1457">
        <v>-512310.71</v>
      </c>
      <c r="AK7" s="1501">
        <v>-320502.56</v>
      </c>
      <c r="AL7" s="2061">
        <f t="shared" si="0"/>
        <v>-2377393.65</v>
      </c>
      <c r="AM7" s="2060">
        <v>0.95628183088298646</v>
      </c>
      <c r="AN7" s="1457">
        <f t="shared" si="1"/>
        <v>2273458.3523515859</v>
      </c>
      <c r="AP7" s="916">
        <f>(AG7-AJ6+AJ7)*AM7</f>
        <v>-1293791.1561237266</v>
      </c>
      <c r="AQ7" s="916">
        <v>0</v>
      </c>
      <c r="AR7" s="916">
        <f t="shared" si="2"/>
        <v>0</v>
      </c>
      <c r="AS7" s="916">
        <f>(AH7-AK6+AK7)*AM7</f>
        <v>-979667.19622785947</v>
      </c>
      <c r="AT7" s="916">
        <f t="shared" si="3"/>
        <v>0</v>
      </c>
      <c r="BA7" s="2062">
        <v>45017</v>
      </c>
      <c r="BB7" s="1457">
        <v>-837327.77</v>
      </c>
      <c r="BC7" s="1457">
        <v>-604359.18000000005</v>
      </c>
      <c r="BD7" s="1457">
        <v>787938.25</v>
      </c>
      <c r="BE7" s="1457">
        <v>-315588.25</v>
      </c>
      <c r="BF7" s="1501">
        <v>-220869.72</v>
      </c>
      <c r="BG7" s="2061">
        <f t="shared" si="4"/>
        <v>-1190206.6700000002</v>
      </c>
      <c r="BH7" s="2060">
        <v>0.95628183088298646</v>
      </c>
      <c r="BI7" s="1457">
        <f t="shared" si="5"/>
        <v>1138173.0135167427</v>
      </c>
      <c r="BK7" s="916">
        <f>(BB7-BE6+BE7)*BH7</f>
        <v>-658915.39996723563</v>
      </c>
      <c r="BL7" s="916">
        <v>0</v>
      </c>
      <c r="BM7" s="916">
        <f t="shared" si="6"/>
        <v>0</v>
      </c>
      <c r="BN7" s="916">
        <f>(BC7-BF6+BF7)*BH7</f>
        <v>-479257.61354950682</v>
      </c>
      <c r="BO7" s="916">
        <f t="shared" si="7"/>
        <v>0</v>
      </c>
      <c r="BS7" s="477" t="s">
        <v>1689</v>
      </c>
      <c r="BT7" s="477" t="s">
        <v>1688</v>
      </c>
      <c r="BU7" s="1501">
        <f t="shared" si="8"/>
        <v>291371.02</v>
      </c>
      <c r="BV7" s="1501">
        <f t="shared" si="9"/>
        <v>0</v>
      </c>
      <c r="BW7" s="1501">
        <f t="shared" si="10"/>
        <v>291371.02</v>
      </c>
      <c r="BY7" s="1501">
        <v>316947.44</v>
      </c>
      <c r="BZ7" s="1501">
        <v>0</v>
      </c>
      <c r="CB7" s="1501">
        <v>316947.44</v>
      </c>
      <c r="CC7" s="1501">
        <v>171684.37</v>
      </c>
      <c r="CD7" s="1501">
        <f t="shared" si="11"/>
        <v>145263.07</v>
      </c>
      <c r="CE7" s="1501">
        <v>146107.95000000001</v>
      </c>
      <c r="CF7" s="916">
        <f t="shared" si="12"/>
        <v>291371.02</v>
      </c>
      <c r="CH7" s="1501">
        <v>0</v>
      </c>
      <c r="CI7" s="1501">
        <v>0</v>
      </c>
      <c r="CJ7" s="1501">
        <f t="shared" si="13"/>
        <v>0</v>
      </c>
      <c r="CK7" s="1501">
        <v>0</v>
      </c>
      <c r="CL7" s="916">
        <f t="shared" si="14"/>
        <v>0</v>
      </c>
    </row>
    <row r="8" spans="1:90" ht="14.5">
      <c r="A8" s="2001"/>
      <c r="B8" s="2000"/>
      <c r="C8" s="2000"/>
      <c r="D8" s="2000"/>
      <c r="Q8" s="1999" t="s">
        <v>1562</v>
      </c>
      <c r="U8" s="2010">
        <v>407381</v>
      </c>
      <c r="V8" s="1534" t="s">
        <v>1641</v>
      </c>
      <c r="W8" s="2043">
        <f>'G-2.11 EAS'!BW28</f>
        <v>48373.54</v>
      </c>
      <c r="Y8" s="477" t="s">
        <v>1640</v>
      </c>
      <c r="AF8" s="2062">
        <v>45047</v>
      </c>
      <c r="AG8" s="1457">
        <v>-1335045.57</v>
      </c>
      <c r="AH8" s="1457">
        <v>-955762.85</v>
      </c>
      <c r="AI8" s="1457">
        <v>832813.27</v>
      </c>
      <c r="AJ8" s="1457">
        <v>-470127.12</v>
      </c>
      <c r="AK8" s="1501">
        <v>-269582.84999999998</v>
      </c>
      <c r="AL8" s="2061">
        <f t="shared" si="0"/>
        <v>-2197705.12</v>
      </c>
      <c r="AM8" s="2060">
        <v>0.95628183088298646</v>
      </c>
      <c r="AN8" s="1457">
        <f t="shared" si="1"/>
        <v>2101625.4758945135</v>
      </c>
      <c r="AP8" s="916">
        <f>(AG8-AJ7+AJ8)*AM8</f>
        <v>-1236340.4213134029</v>
      </c>
      <c r="AQ8" s="916">
        <v>0</v>
      </c>
      <c r="AR8" s="916">
        <f t="shared" si="2"/>
        <v>0</v>
      </c>
      <c r="AS8" s="916">
        <f>(AH8-AK7+AK8)*AM8</f>
        <v>-865285.05458111048</v>
      </c>
      <c r="AT8" s="916">
        <f t="shared" si="3"/>
        <v>0</v>
      </c>
      <c r="BA8" s="2062">
        <v>45047</v>
      </c>
      <c r="BB8" s="1457">
        <v>-442778.4</v>
      </c>
      <c r="BC8" s="1457">
        <v>-333204.07</v>
      </c>
      <c r="BD8" s="1457">
        <v>536457.97</v>
      </c>
      <c r="BE8" s="1457">
        <v>-99905.85</v>
      </c>
      <c r="BF8" s="1501">
        <v>-71683.240000000005</v>
      </c>
      <c r="BG8" s="2061">
        <f t="shared" si="4"/>
        <v>-411113.58999999997</v>
      </c>
      <c r="BH8" s="2060">
        <v>0.95628183088298646</v>
      </c>
      <c r="BI8" s="1457">
        <f t="shared" si="5"/>
        <v>393140.45654607739</v>
      </c>
      <c r="BK8" s="916">
        <f>(BB8-BE7+BE8)*BH8</f>
        <v>-217167.77866620274</v>
      </c>
      <c r="BL8" s="916">
        <v>0</v>
      </c>
      <c r="BM8" s="916">
        <f t="shared" si="6"/>
        <v>0</v>
      </c>
      <c r="BN8" s="916">
        <f>(BC8-BF7+BF8)*BH8</f>
        <v>-175972.67787987477</v>
      </c>
      <c r="BO8" s="916">
        <f t="shared" si="7"/>
        <v>0</v>
      </c>
      <c r="BS8" s="182" t="s">
        <v>506</v>
      </c>
      <c r="BT8" s="477" t="s">
        <v>1698</v>
      </c>
      <c r="BU8" s="1501">
        <f t="shared" si="8"/>
        <v>-591245.18999999994</v>
      </c>
      <c r="BV8" s="1501">
        <f t="shared" si="9"/>
        <v>-48909.859999999986</v>
      </c>
      <c r="BW8" s="1501">
        <f t="shared" si="10"/>
        <v>-640155.04999999993</v>
      </c>
      <c r="BY8" s="1501">
        <v>-1374325.96</v>
      </c>
      <c r="BZ8" s="1501">
        <v>-353441.89</v>
      </c>
      <c r="CB8" s="1501">
        <v>-1374325.96</v>
      </c>
      <c r="CC8" s="1501">
        <v>-783080.77</v>
      </c>
      <c r="CD8" s="1501">
        <f t="shared" si="11"/>
        <v>-591245.18999999994</v>
      </c>
      <c r="CE8" s="1501">
        <v>0</v>
      </c>
      <c r="CF8" s="916">
        <f t="shared" si="12"/>
        <v>-591245.18999999994</v>
      </c>
      <c r="CH8" s="1501">
        <v>-353441.89</v>
      </c>
      <c r="CI8" s="1501">
        <v>-304532.03000000003</v>
      </c>
      <c r="CJ8" s="1501">
        <f t="shared" si="13"/>
        <v>-48909.859999999986</v>
      </c>
      <c r="CK8" s="1501">
        <v>0</v>
      </c>
      <c r="CL8" s="916">
        <f t="shared" si="14"/>
        <v>-48909.859999999986</v>
      </c>
    </row>
    <row r="9" spans="1:90" ht="14.5">
      <c r="A9" s="1998"/>
      <c r="B9" s="947" t="s">
        <v>31</v>
      </c>
      <c r="C9" s="947"/>
      <c r="D9" s="947"/>
      <c r="U9" s="2049">
        <v>407419</v>
      </c>
      <c r="V9" s="2050" t="s">
        <v>1639</v>
      </c>
      <c r="W9" s="2043">
        <f>'G-2.11 EAS'!BW29</f>
        <v>-48909.859999999986</v>
      </c>
      <c r="Y9" s="3951" t="s">
        <v>1638</v>
      </c>
      <c r="Z9" s="3952"/>
      <c r="AF9" s="2062">
        <v>45078</v>
      </c>
      <c r="AG9" s="1457">
        <v>-1298007.22</v>
      </c>
      <c r="AH9" s="1457">
        <v>-980179.69</v>
      </c>
      <c r="AI9" s="1457">
        <v>739709.97</v>
      </c>
      <c r="AJ9" s="1457">
        <v>-500852.71</v>
      </c>
      <c r="AK9" s="1501">
        <v>-291620.27</v>
      </c>
      <c r="AL9" s="2061">
        <f t="shared" si="0"/>
        <v>-2330949.92</v>
      </c>
      <c r="AM9" s="2060">
        <v>0.95628183088298646</v>
      </c>
      <c r="AN9" s="1457">
        <f t="shared" si="1"/>
        <v>2229045.0571941505</v>
      </c>
      <c r="AP9" s="916">
        <f>(AG9-AJ8+AJ9)*AM9</f>
        <v>-1270643.0443010954</v>
      </c>
      <c r="AQ9" s="916">
        <v>0</v>
      </c>
      <c r="AR9" s="916">
        <f t="shared" si="2"/>
        <v>0</v>
      </c>
      <c r="AS9" s="916">
        <f>(AH9-AK8+AK9)*AM9</f>
        <v>-958402.01289305545</v>
      </c>
      <c r="AT9" s="916">
        <f t="shared" si="3"/>
        <v>0</v>
      </c>
      <c r="BA9" s="2062">
        <v>45078</v>
      </c>
      <c r="BB9" s="1457">
        <v>-200134.01</v>
      </c>
      <c r="BC9" s="1457">
        <v>-151850.74</v>
      </c>
      <c r="BD9" s="1457">
        <v>171589.09</v>
      </c>
      <c r="BE9" s="1457">
        <v>-79856.850000000006</v>
      </c>
      <c r="BF9" s="1501">
        <v>-59759.96</v>
      </c>
      <c r="BG9" s="2061">
        <f t="shared" si="4"/>
        <v>-320012.47000000003</v>
      </c>
      <c r="BH9" s="2060">
        <v>0.95628183088298646</v>
      </c>
      <c r="BI9" s="1457">
        <f t="shared" si="5"/>
        <v>306022.11071698682</v>
      </c>
      <c r="BK9" s="916">
        <f>(BB9-BE8+BE9)*BH9</f>
        <v>-172212.02307738093</v>
      </c>
      <c r="BL9" s="916">
        <v>0</v>
      </c>
      <c r="BM9" s="916">
        <f t="shared" si="6"/>
        <v>0</v>
      </c>
      <c r="BN9" s="916">
        <f>(BC9-BF8+BF9)*BH9</f>
        <v>-133810.08763960586</v>
      </c>
      <c r="BO9" s="916">
        <f t="shared" si="7"/>
        <v>0</v>
      </c>
      <c r="BS9" s="477" t="s">
        <v>1686</v>
      </c>
      <c r="BT9" s="477" t="s">
        <v>1685</v>
      </c>
      <c r="BU9" s="1501">
        <f t="shared" si="8"/>
        <v>-11243705.34</v>
      </c>
      <c r="BV9" s="1501">
        <f t="shared" si="9"/>
        <v>0</v>
      </c>
      <c r="BW9" s="1501">
        <f t="shared" si="10"/>
        <v>-11243705.34</v>
      </c>
      <c r="BY9" s="1501">
        <v>-10965563.93</v>
      </c>
      <c r="BZ9" s="1501">
        <v>0</v>
      </c>
      <c r="CB9" s="1501">
        <v>-10965563.93</v>
      </c>
      <c r="CC9" s="1501">
        <v>-5630715.3700000001</v>
      </c>
      <c r="CD9" s="1501">
        <f t="shared" si="11"/>
        <v>-5334848.5599999996</v>
      </c>
      <c r="CE9" s="1501">
        <v>-5908856.7800000003</v>
      </c>
      <c r="CF9" s="916">
        <f t="shared" si="12"/>
        <v>-11243705.34</v>
      </c>
      <c r="CH9" s="1501">
        <v>0</v>
      </c>
      <c r="CI9" s="1501">
        <v>0</v>
      </c>
      <c r="CJ9" s="1501">
        <f t="shared" si="13"/>
        <v>0</v>
      </c>
      <c r="CK9" s="1501">
        <v>0</v>
      </c>
      <c r="CL9" s="916">
        <f t="shared" si="14"/>
        <v>0</v>
      </c>
    </row>
    <row r="10" spans="1:90" ht="14.5">
      <c r="A10" s="1990">
        <v>1</v>
      </c>
      <c r="B10" s="1997" t="s">
        <v>32</v>
      </c>
      <c r="C10" s="1997"/>
      <c r="D10" s="1994">
        <f>1-SUM(D31:D40)</f>
        <v>0.95271983997621679</v>
      </c>
      <c r="E10" s="1976">
        <f>(E20-E12)/$D$10</f>
        <v>94913591.914132223</v>
      </c>
      <c r="G10" s="1976">
        <f>G17/$D$10</f>
        <v>94913591.914132223</v>
      </c>
      <c r="H10" s="1976">
        <f>H17/$D$10</f>
        <v>18663050.934725855</v>
      </c>
      <c r="I10" s="1976">
        <f>-I12/$D$10</f>
        <v>6820792.4799406091</v>
      </c>
      <c r="J10" s="1993">
        <f>'G-2.11 EAS'!W44+'G-2.11 EAS'!W45+'G-2.11 EAS'!W46+'G-2.11 EAS'!W47+'G-2.11 EAS'!W48-K10</f>
        <v>-8881321.9700000007</v>
      </c>
      <c r="K10" s="1993">
        <f>'G-2.11 EAS'!BB39+'G-2.11 EAS'!BD32</f>
        <v>-51145.87</v>
      </c>
      <c r="L10" s="1993">
        <f>'G-2.11 EAS'!W49+'G-2.11 EAS'!W50</f>
        <v>-3908085.44</v>
      </c>
      <c r="M10" s="1976">
        <f>M35/$D$10</f>
        <v>13992032.810330449</v>
      </c>
      <c r="N10" s="1976">
        <f>'G-2.11 EAS'!W41</f>
        <v>39110</v>
      </c>
      <c r="O10" s="1987"/>
      <c r="P10" s="1987">
        <f t="shared" ref="P10:P45" si="15">SUM(H10:O10)</f>
        <v>26674432.944996912</v>
      </c>
      <c r="Q10" s="1986">
        <f>ROUND(-P10/1000,0)</f>
        <v>-26674</v>
      </c>
      <c r="U10" s="2049">
        <v>411193</v>
      </c>
      <c r="V10" s="2048" t="s">
        <v>1637</v>
      </c>
      <c r="W10" s="2043">
        <f>'G-2.11 EAS'!BW30</f>
        <v>-10036731.24</v>
      </c>
      <c r="Y10" s="3951" t="s">
        <v>1636</v>
      </c>
      <c r="Z10" s="3952"/>
      <c r="AF10" s="2062">
        <v>44743</v>
      </c>
      <c r="AG10" s="1501">
        <v>-1222538.33</v>
      </c>
      <c r="AH10" s="1501"/>
      <c r="AI10" s="1501">
        <v>577476.65</v>
      </c>
      <c r="AJ10" s="1501">
        <v>-753800.9</v>
      </c>
      <c r="AK10" s="1501"/>
      <c r="AL10" s="2061">
        <f t="shared" si="0"/>
        <v>-1398862.58</v>
      </c>
      <c r="AM10" s="2060">
        <v>0.95628183088298646</v>
      </c>
      <c r="AN10" s="1457">
        <f t="shared" si="1"/>
        <v>1337706.8691560982</v>
      </c>
      <c r="AP10" s="916">
        <f t="shared" ref="AP10:AP15" si="16">(AG10+AI10+AJ10)*AM10</f>
        <v>-1337706.8691560982</v>
      </c>
      <c r="AQ10" s="916">
        <v>-120910.38</v>
      </c>
      <c r="AR10" s="916">
        <f t="shared" si="2"/>
        <v>-115624.39955915764</v>
      </c>
      <c r="AS10" s="916">
        <f t="shared" ref="AS10:AS15" si="17">(AH10+AK10)*AM10</f>
        <v>0</v>
      </c>
      <c r="AT10" s="916">
        <f t="shared" si="3"/>
        <v>0</v>
      </c>
      <c r="BA10" s="2062">
        <v>44743</v>
      </c>
      <c r="BB10" s="1501">
        <v>-189468</v>
      </c>
      <c r="BC10" s="1457">
        <v>0</v>
      </c>
      <c r="BD10" s="1501">
        <v>85429.31</v>
      </c>
      <c r="BE10" s="1457">
        <v>-56714.87</v>
      </c>
      <c r="BF10" s="1501">
        <v>0</v>
      </c>
      <c r="BG10" s="2061">
        <f t="shared" si="4"/>
        <v>-160753.56</v>
      </c>
      <c r="BH10" s="2060">
        <v>0.95628183088298646</v>
      </c>
      <c r="BI10" s="1457">
        <f t="shared" si="5"/>
        <v>153725.70867775803</v>
      </c>
      <c r="BK10" s="916">
        <f t="shared" ref="BK10:BK15" si="18">(BB10+BD10+BE10)*BH10</f>
        <v>-153725.70867775803</v>
      </c>
      <c r="BL10" s="916">
        <v>-12093.7</v>
      </c>
      <c r="BM10" s="916">
        <f t="shared" si="6"/>
        <v>-11564.985578149573</v>
      </c>
      <c r="BN10" s="916">
        <f t="shared" ref="BN10:BN15" si="19">(BC10+BF10)*BH10</f>
        <v>0</v>
      </c>
      <c r="BO10" s="916">
        <f t="shared" si="7"/>
        <v>0</v>
      </c>
      <c r="BS10" s="477" t="s">
        <v>1684</v>
      </c>
      <c r="BT10" s="477" t="s">
        <v>1683</v>
      </c>
      <c r="BU10" s="1501">
        <f t="shared" si="8"/>
        <v>-86483.25</v>
      </c>
      <c r="BV10" s="1501">
        <f t="shared" si="9"/>
        <v>0</v>
      </c>
      <c r="BW10" s="1501">
        <f t="shared" si="10"/>
        <v>-86483.25</v>
      </c>
      <c r="BY10" s="1501">
        <v>-159773.82</v>
      </c>
      <c r="BZ10" s="1501">
        <v>0</v>
      </c>
      <c r="CB10" s="1501">
        <v>-159773.82</v>
      </c>
      <c r="CC10" s="1501">
        <v>11367.25</v>
      </c>
      <c r="CD10" s="1501">
        <f t="shared" si="11"/>
        <v>-171141.07</v>
      </c>
      <c r="CE10" s="1501">
        <v>84657.82</v>
      </c>
      <c r="CF10" s="916">
        <f t="shared" si="12"/>
        <v>-86483.25</v>
      </c>
      <c r="CH10" s="1501">
        <v>0</v>
      </c>
      <c r="CI10" s="1501">
        <v>0</v>
      </c>
      <c r="CJ10" s="1501">
        <f t="shared" si="13"/>
        <v>0</v>
      </c>
      <c r="CK10" s="1501">
        <v>0</v>
      </c>
      <c r="CL10" s="916">
        <f t="shared" si="14"/>
        <v>0</v>
      </c>
    </row>
    <row r="11" spans="1:90" ht="14.5">
      <c r="A11" s="1990">
        <v>2</v>
      </c>
      <c r="B11" s="1989" t="s">
        <v>33</v>
      </c>
      <c r="C11" s="1989"/>
      <c r="D11" s="1989"/>
      <c r="G11" s="1976">
        <f>E11+F11</f>
        <v>0</v>
      </c>
      <c r="O11" s="1987"/>
      <c r="P11" s="1987">
        <f t="shared" si="15"/>
        <v>0</v>
      </c>
      <c r="U11" s="2049" t="s">
        <v>1635</v>
      </c>
      <c r="V11" s="2048" t="s">
        <v>1634</v>
      </c>
      <c r="W11" s="2043">
        <f>'G-2.11 EAS'!BW31</f>
        <v>17780658.899999999</v>
      </c>
      <c r="Y11" s="3953" t="s">
        <v>1633</v>
      </c>
      <c r="Z11" s="3954"/>
      <c r="AF11" s="2062">
        <v>44774</v>
      </c>
      <c r="AG11" s="1501">
        <v>-1542790.08</v>
      </c>
      <c r="AH11" s="1501"/>
      <c r="AI11" s="1501">
        <v>753800.9</v>
      </c>
      <c r="AJ11" s="1501">
        <v>-766668.47</v>
      </c>
      <c r="AK11" s="1501"/>
      <c r="AL11" s="2061">
        <f t="shared" si="0"/>
        <v>-1555657.65</v>
      </c>
      <c r="AM11" s="2060">
        <v>0.95628183088298646</v>
      </c>
      <c r="AN11" s="1457">
        <f t="shared" si="1"/>
        <v>1487647.1457691242</v>
      </c>
      <c r="AP11" s="916">
        <f t="shared" si="16"/>
        <v>-1487647.1457691242</v>
      </c>
      <c r="AQ11" s="916">
        <v>-152583.62999999989</v>
      </c>
      <c r="AR11" s="916">
        <f t="shared" si="2"/>
        <v>-145912.95305917208</v>
      </c>
      <c r="AS11" s="916">
        <f t="shared" si="17"/>
        <v>0</v>
      </c>
      <c r="AT11" s="916">
        <f t="shared" si="3"/>
        <v>0</v>
      </c>
      <c r="BA11" s="2062">
        <v>44774</v>
      </c>
      <c r="BB11" s="1501">
        <v>-148799.97</v>
      </c>
      <c r="BC11" s="1501">
        <v>0</v>
      </c>
      <c r="BD11" s="1501">
        <v>56714.87</v>
      </c>
      <c r="BE11" s="1457">
        <v>-52579.89</v>
      </c>
      <c r="BF11" s="1501">
        <v>0</v>
      </c>
      <c r="BG11" s="2061">
        <f t="shared" si="4"/>
        <v>-144664.99</v>
      </c>
      <c r="BH11" s="2060">
        <v>0.95628183088298646</v>
      </c>
      <c r="BI11" s="1457">
        <f t="shared" si="5"/>
        <v>138340.50150186892</v>
      </c>
      <c r="BK11" s="916">
        <f t="shared" si="18"/>
        <v>-138340.50150186892</v>
      </c>
      <c r="BL11" s="916">
        <v>-9497.8699999999953</v>
      </c>
      <c r="BM11" s="916">
        <f t="shared" si="6"/>
        <v>-9082.6405130885869</v>
      </c>
      <c r="BN11" s="916">
        <f t="shared" si="19"/>
        <v>0</v>
      </c>
      <c r="BO11" s="916">
        <f t="shared" si="7"/>
        <v>0</v>
      </c>
      <c r="BS11" s="477" t="s">
        <v>1682</v>
      </c>
      <c r="BT11" s="477" t="s">
        <v>1681</v>
      </c>
      <c r="BU11" s="1501">
        <f t="shared" si="8"/>
        <v>84158.150000000023</v>
      </c>
      <c r="BV11" s="1501">
        <f t="shared" si="9"/>
        <v>0</v>
      </c>
      <c r="BW11" s="1501">
        <f t="shared" si="10"/>
        <v>84158.150000000023</v>
      </c>
      <c r="BY11" s="1501">
        <v>-84905.2</v>
      </c>
      <c r="BZ11" s="1501">
        <v>0</v>
      </c>
      <c r="CB11" s="1501">
        <v>-84905.2</v>
      </c>
      <c r="CC11" s="1501">
        <v>258583.85</v>
      </c>
      <c r="CD11" s="1501">
        <f t="shared" si="11"/>
        <v>-343489.05</v>
      </c>
      <c r="CE11" s="1501">
        <v>427647.2</v>
      </c>
      <c r="CF11" s="916">
        <f t="shared" si="12"/>
        <v>84158.150000000023</v>
      </c>
      <c r="CH11" s="1501">
        <v>0</v>
      </c>
      <c r="CI11" s="1501">
        <v>0</v>
      </c>
      <c r="CJ11" s="1501">
        <f t="shared" si="13"/>
        <v>0</v>
      </c>
      <c r="CK11" s="1501">
        <v>0</v>
      </c>
      <c r="CL11" s="916">
        <f t="shared" si="14"/>
        <v>0</v>
      </c>
    </row>
    <row r="12" spans="1:90" ht="14.5">
      <c r="A12" s="1990">
        <v>3</v>
      </c>
      <c r="B12" s="1989" t="s">
        <v>34</v>
      </c>
      <c r="C12" s="1989"/>
      <c r="D12" s="1989"/>
      <c r="E12" s="1976">
        <f>'G-2.11 EAS'!W22</f>
        <v>40402676</v>
      </c>
      <c r="F12" s="1976">
        <f>-E12</f>
        <v>-40402676</v>
      </c>
      <c r="G12" s="1976">
        <f>E12+F12</f>
        <v>0</v>
      </c>
      <c r="I12" s="1993">
        <f>-'G-2.11 EAS'!W15-'G-2.11 EAS'!W16</f>
        <v>-6498304.3200000003</v>
      </c>
      <c r="O12" s="1996">
        <f>-'G-2.11 EAS'!W14</f>
        <v>0</v>
      </c>
      <c r="P12" s="1991">
        <f t="shared" si="15"/>
        <v>-6498304.3200000003</v>
      </c>
      <c r="Q12" s="1986">
        <f>ROUND((F12-P12)/1000,0)</f>
        <v>-33904</v>
      </c>
      <c r="U12" s="2049" t="s">
        <v>1632</v>
      </c>
      <c r="V12" s="2048" t="s">
        <v>1631</v>
      </c>
      <c r="W12" s="2043">
        <f>'G-2.11 EAS'!BW32</f>
        <v>13328241.4</v>
      </c>
      <c r="Y12" s="3953" t="s">
        <v>1630</v>
      </c>
      <c r="Z12" s="3954"/>
      <c r="AF12" s="2062">
        <v>44805</v>
      </c>
      <c r="AG12" s="1501">
        <v>-1397709.62</v>
      </c>
      <c r="AH12" s="1501"/>
      <c r="AI12" s="1501">
        <v>766668.47</v>
      </c>
      <c r="AJ12" s="1501">
        <v>-539494.11</v>
      </c>
      <c r="AK12" s="1501"/>
      <c r="AL12" s="2061">
        <f t="shared" si="0"/>
        <v>-1170535.2600000002</v>
      </c>
      <c r="AM12" s="2060">
        <v>0.95628183088298646</v>
      </c>
      <c r="AN12" s="1457">
        <f t="shared" si="1"/>
        <v>1119361.6015458929</v>
      </c>
      <c r="AP12" s="916">
        <f t="shared" si="16"/>
        <v>-1119361.6015458929</v>
      </c>
      <c r="AQ12" s="916">
        <v>-138235.01999999979</v>
      </c>
      <c r="AR12" s="916">
        <f t="shared" si="2"/>
        <v>-132191.63801774604</v>
      </c>
      <c r="AS12" s="916">
        <f t="shared" si="17"/>
        <v>0</v>
      </c>
      <c r="AT12" s="916">
        <f t="shared" si="3"/>
        <v>0</v>
      </c>
      <c r="BA12" s="2062">
        <v>44805</v>
      </c>
      <c r="BB12" s="1501">
        <v>-158105.79999999999</v>
      </c>
      <c r="BC12" s="1501">
        <v>0</v>
      </c>
      <c r="BD12" s="1501">
        <v>52579.89</v>
      </c>
      <c r="BE12" s="1501">
        <v>-76959.09</v>
      </c>
      <c r="BF12" s="1501">
        <v>0</v>
      </c>
      <c r="BG12" s="2061">
        <f t="shared" si="4"/>
        <v>-182485</v>
      </c>
      <c r="BH12" s="2060">
        <v>0.95628183088298646</v>
      </c>
      <c r="BI12" s="1457">
        <f t="shared" si="5"/>
        <v>174507.08990868178</v>
      </c>
      <c r="BK12" s="916">
        <f t="shared" si="18"/>
        <v>-174507.08990868178</v>
      </c>
      <c r="BL12" s="916">
        <v>-10091.860000000015</v>
      </c>
      <c r="BM12" s="916">
        <f t="shared" si="6"/>
        <v>-9650.6623578147901</v>
      </c>
      <c r="BN12" s="916">
        <f t="shared" si="19"/>
        <v>0</v>
      </c>
      <c r="BO12" s="916">
        <f t="shared" si="7"/>
        <v>0</v>
      </c>
      <c r="BS12" s="182" t="s">
        <v>1697</v>
      </c>
      <c r="BT12" s="477" t="s">
        <v>1637</v>
      </c>
      <c r="BU12" s="1501">
        <f t="shared" si="8"/>
        <v>-19965280.190000001</v>
      </c>
      <c r="BV12" s="1501">
        <f t="shared" si="9"/>
        <v>-10036731.24</v>
      </c>
      <c r="BW12" s="1501">
        <f t="shared" si="10"/>
        <v>-30002011.43</v>
      </c>
      <c r="BY12" s="1501">
        <v>-13881575.76</v>
      </c>
      <c r="BZ12" s="1501">
        <v>-7265716.2999999998</v>
      </c>
      <c r="CB12" s="1501">
        <v>-13881575.76</v>
      </c>
      <c r="CC12" s="1501">
        <v>-6441088.7999999998</v>
      </c>
      <c r="CD12" s="1501">
        <f t="shared" si="11"/>
        <v>-7440486.96</v>
      </c>
      <c r="CE12" s="1501">
        <v>-12524793.23</v>
      </c>
      <c r="CF12" s="916">
        <f t="shared" si="12"/>
        <v>-19965280.190000001</v>
      </c>
      <c r="CH12" s="1501">
        <v>-7265716.2999999998</v>
      </c>
      <c r="CI12" s="1501">
        <v>-3901121.71</v>
      </c>
      <c r="CJ12" s="1501">
        <f t="shared" si="13"/>
        <v>-3364594.59</v>
      </c>
      <c r="CK12" s="1501">
        <v>-6672136.6500000004</v>
      </c>
      <c r="CL12" s="916">
        <f t="shared" si="14"/>
        <v>-10036731.24</v>
      </c>
    </row>
    <row r="13" spans="1:90" ht="14.5">
      <c r="A13" s="1990">
        <v>4</v>
      </c>
      <c r="B13" s="1989" t="s">
        <v>35</v>
      </c>
      <c r="C13" s="1989"/>
      <c r="D13" s="1989"/>
      <c r="E13" s="1988">
        <f t="shared" ref="E13:O13" si="20">SUM(E10:E12)</f>
        <v>135316267.91413224</v>
      </c>
      <c r="F13" s="1988">
        <f t="shared" si="20"/>
        <v>-40402676</v>
      </c>
      <c r="G13" s="1988">
        <f t="shared" si="20"/>
        <v>94913591.914132223</v>
      </c>
      <c r="H13" s="1988">
        <f t="shared" si="20"/>
        <v>18663050.934725855</v>
      </c>
      <c r="I13" s="1988">
        <f t="shared" si="20"/>
        <v>322488.15994060878</v>
      </c>
      <c r="J13" s="1988">
        <f t="shared" si="20"/>
        <v>-8881321.9700000007</v>
      </c>
      <c r="K13" s="1988">
        <f t="shared" si="20"/>
        <v>-51145.87</v>
      </c>
      <c r="L13" s="1988">
        <f t="shared" si="20"/>
        <v>-3908085.44</v>
      </c>
      <c r="M13" s="1988">
        <f t="shared" si="20"/>
        <v>13992032.810330449</v>
      </c>
      <c r="N13" s="1988">
        <f t="shared" si="20"/>
        <v>39110</v>
      </c>
      <c r="O13" s="1988">
        <f t="shared" si="20"/>
        <v>0</v>
      </c>
      <c r="P13" s="1987">
        <f t="shared" si="15"/>
        <v>20176128.624996912</v>
      </c>
      <c r="Q13" s="1988">
        <f>SUM(Q10:Q12)</f>
        <v>-60578</v>
      </c>
      <c r="U13" s="2049" t="s">
        <v>1584</v>
      </c>
      <c r="V13" s="2048" t="s">
        <v>1581</v>
      </c>
      <c r="W13" s="2043">
        <f>'G-2.11 EAS'!BW33</f>
        <v>2245.8600000001024</v>
      </c>
      <c r="Y13" s="3953" t="s">
        <v>1629</v>
      </c>
      <c r="Z13" s="3954"/>
      <c r="AF13" s="2062">
        <v>44835</v>
      </c>
      <c r="AG13" s="1501">
        <v>-929179.75</v>
      </c>
      <c r="AH13" s="1501"/>
      <c r="AI13" s="1501">
        <v>539494.11</v>
      </c>
      <c r="AJ13" s="1501">
        <v>-649596.06999999995</v>
      </c>
      <c r="AK13" s="1501"/>
      <c r="AL13" s="2061">
        <f t="shared" si="0"/>
        <v>-1039281.71</v>
      </c>
      <c r="AM13" s="2060">
        <v>0.95628183088298646</v>
      </c>
      <c r="AN13" s="1457">
        <f t="shared" si="1"/>
        <v>993846.21644200094</v>
      </c>
      <c r="AP13" s="916">
        <f t="shared" si="16"/>
        <v>-993846.21644200094</v>
      </c>
      <c r="AQ13" s="916">
        <v>-263797.01</v>
      </c>
      <c r="AR13" s="916">
        <f t="shared" si="2"/>
        <v>-252264.2877042575</v>
      </c>
      <c r="AS13" s="916">
        <f t="shared" si="17"/>
        <v>0</v>
      </c>
      <c r="AT13" s="916">
        <f t="shared" si="3"/>
        <v>0</v>
      </c>
      <c r="AU13" s="477" t="s">
        <v>1658</v>
      </c>
      <c r="BA13" s="2062">
        <v>44835</v>
      </c>
      <c r="BB13" s="1501">
        <v>-202269.91</v>
      </c>
      <c r="BC13" s="1501">
        <v>0</v>
      </c>
      <c r="BD13" s="1501">
        <v>76959.09</v>
      </c>
      <c r="BE13" s="1501">
        <v>-245793.32</v>
      </c>
      <c r="BF13" s="1501">
        <v>0</v>
      </c>
      <c r="BG13" s="2061">
        <f t="shared" si="4"/>
        <v>-371104.14</v>
      </c>
      <c r="BH13" s="2060">
        <v>0.95628183088298646</v>
      </c>
      <c r="BI13" s="1457">
        <f t="shared" si="5"/>
        <v>354880.14644745615</v>
      </c>
      <c r="BK13" s="916">
        <f t="shared" si="18"/>
        <v>-354880.14644745615</v>
      </c>
      <c r="BL13" s="916">
        <v>-24915.369999999995</v>
      </c>
      <c r="BM13" s="916">
        <f t="shared" si="6"/>
        <v>-23826.115640727028</v>
      </c>
      <c r="BN13" s="916">
        <f t="shared" si="19"/>
        <v>0</v>
      </c>
      <c r="BO13" s="916">
        <f t="shared" si="7"/>
        <v>0</v>
      </c>
      <c r="BP13" s="477" t="s">
        <v>1658</v>
      </c>
      <c r="BS13" s="477" t="s">
        <v>1696</v>
      </c>
      <c r="BT13" s="477" t="s">
        <v>1692</v>
      </c>
      <c r="BU13" s="1501">
        <f t="shared" si="8"/>
        <v>-4806683.99</v>
      </c>
      <c r="BV13" s="1501">
        <f t="shared" si="9"/>
        <v>0</v>
      </c>
      <c r="BW13" s="1501">
        <f t="shared" si="10"/>
        <v>-4806683.99</v>
      </c>
      <c r="BY13" s="1501">
        <v>-2468401.87</v>
      </c>
      <c r="BZ13" s="1501">
        <v>0</v>
      </c>
      <c r="CB13" s="1501">
        <v>-2468401.87</v>
      </c>
      <c r="CC13" s="1501">
        <v>-558943.35</v>
      </c>
      <c r="CD13" s="1501">
        <f t="shared" si="11"/>
        <v>-1909458.52</v>
      </c>
      <c r="CE13" s="1501">
        <v>-2897225.47</v>
      </c>
      <c r="CF13" s="916">
        <f t="shared" si="12"/>
        <v>-4806683.99</v>
      </c>
      <c r="CH13" s="1501">
        <v>0</v>
      </c>
      <c r="CI13" s="1501">
        <v>0</v>
      </c>
      <c r="CJ13" s="1501">
        <f t="shared" si="13"/>
        <v>0</v>
      </c>
      <c r="CK13" s="1501">
        <v>0</v>
      </c>
      <c r="CL13" s="916">
        <f t="shared" si="14"/>
        <v>0</v>
      </c>
    </row>
    <row r="14" spans="1:90" ht="14.5">
      <c r="A14" s="1990"/>
      <c r="B14" s="1989"/>
      <c r="C14" s="1989"/>
      <c r="D14" s="1989"/>
      <c r="P14" s="1987">
        <f t="shared" si="15"/>
        <v>0</v>
      </c>
      <c r="U14" s="2045">
        <v>495311</v>
      </c>
      <c r="V14" s="2046" t="s">
        <v>1628</v>
      </c>
      <c r="W14" s="2043">
        <f>'G-2.11 EAS'!BW34</f>
        <v>0</v>
      </c>
      <c r="Y14" s="3955" t="s">
        <v>1627</v>
      </c>
      <c r="Z14" s="3956"/>
      <c r="AF14" s="2062">
        <v>44866</v>
      </c>
      <c r="AG14" s="1501">
        <v>-1417929.38</v>
      </c>
      <c r="AH14" s="1501"/>
      <c r="AI14" s="1501">
        <v>649596.06999999995</v>
      </c>
      <c r="AJ14" s="1501">
        <v>-909891.32</v>
      </c>
      <c r="AK14" s="1501"/>
      <c r="AL14" s="2061">
        <f t="shared" si="0"/>
        <v>-1678224.63</v>
      </c>
      <c r="AM14" s="2060">
        <v>0.95628183088298646</v>
      </c>
      <c r="AN14" s="1457">
        <f t="shared" si="1"/>
        <v>1604855.7218093225</v>
      </c>
      <c r="AP14" s="916">
        <f t="shared" si="16"/>
        <v>-1604855.7218093225</v>
      </c>
      <c r="AQ14" s="916">
        <v>0</v>
      </c>
      <c r="AR14" s="916">
        <f t="shared" si="2"/>
        <v>0</v>
      </c>
      <c r="AS14" s="916">
        <f t="shared" si="17"/>
        <v>0</v>
      </c>
      <c r="AT14" s="916">
        <f t="shared" si="3"/>
        <v>0</v>
      </c>
      <c r="BA14" s="2062">
        <v>44866</v>
      </c>
      <c r="BB14" s="1501">
        <v>-797954.09</v>
      </c>
      <c r="BC14" s="1501">
        <v>0</v>
      </c>
      <c r="BD14" s="1501">
        <v>245793.32</v>
      </c>
      <c r="BE14" s="1501">
        <v>-776018.05</v>
      </c>
      <c r="BF14" s="1501">
        <v>0</v>
      </c>
      <c r="BG14" s="2061">
        <f t="shared" si="4"/>
        <v>-1328178.82</v>
      </c>
      <c r="BH14" s="2060">
        <v>0.95628183088298646</v>
      </c>
      <c r="BI14" s="1457">
        <f t="shared" si="5"/>
        <v>1270113.2737296047</v>
      </c>
      <c r="BK14" s="916">
        <f t="shared" si="18"/>
        <v>-1270113.2737296047</v>
      </c>
      <c r="BL14" s="916">
        <v>0</v>
      </c>
      <c r="BM14" s="916">
        <f t="shared" si="6"/>
        <v>0</v>
      </c>
      <c r="BN14" s="916">
        <f t="shared" si="19"/>
        <v>0</v>
      </c>
      <c r="BO14" s="916">
        <f t="shared" si="7"/>
        <v>0</v>
      </c>
      <c r="BS14" s="477" t="s">
        <v>1695</v>
      </c>
      <c r="BT14" s="477" t="s">
        <v>1690</v>
      </c>
      <c r="BU14" s="1501">
        <f t="shared" si="8"/>
        <v>5885214.6000000006</v>
      </c>
      <c r="BV14" s="1501">
        <f t="shared" si="9"/>
        <v>0</v>
      </c>
      <c r="BW14" s="1501">
        <f t="shared" si="10"/>
        <v>5885214.6000000006</v>
      </c>
      <c r="BY14" s="1501">
        <v>11188489.560000001</v>
      </c>
      <c r="BZ14" s="1501">
        <v>0</v>
      </c>
      <c r="CB14" s="1501">
        <v>11188489.560000001</v>
      </c>
      <c r="CC14" s="1501">
        <v>6584471.8300000001</v>
      </c>
      <c r="CD14" s="1501">
        <f t="shared" si="11"/>
        <v>4604017.7300000004</v>
      </c>
      <c r="CE14" s="1501">
        <v>1281196.8700000001</v>
      </c>
      <c r="CF14" s="916">
        <f t="shared" si="12"/>
        <v>5885214.6000000006</v>
      </c>
      <c r="CH14" s="1501">
        <v>0</v>
      </c>
      <c r="CI14" s="1501">
        <v>0</v>
      </c>
      <c r="CJ14" s="1501">
        <f t="shared" si="13"/>
        <v>0</v>
      </c>
      <c r="CK14" s="1501">
        <v>0</v>
      </c>
      <c r="CL14" s="916">
        <f t="shared" si="14"/>
        <v>0</v>
      </c>
    </row>
    <row r="15" spans="1:90" ht="14.5">
      <c r="A15" s="1990"/>
      <c r="B15" s="1989" t="s">
        <v>36</v>
      </c>
      <c r="C15" s="1989"/>
      <c r="D15" s="1989"/>
      <c r="P15" s="1987">
        <f t="shared" si="15"/>
        <v>0</v>
      </c>
      <c r="U15" s="2045">
        <v>495329</v>
      </c>
      <c r="V15" s="2044" t="s">
        <v>1626</v>
      </c>
      <c r="W15" s="2043">
        <f>'G-2.11 EAS'!BW35</f>
        <v>4884734.74</v>
      </c>
      <c r="Y15" s="3957" t="s">
        <v>1625</v>
      </c>
      <c r="Z15" s="3958"/>
      <c r="AF15" s="2059">
        <v>44896</v>
      </c>
      <c r="AG15" s="1501">
        <v>-2041240.2</v>
      </c>
      <c r="AH15" s="1501">
        <v>-101623.97</v>
      </c>
      <c r="AI15" s="1501">
        <v>909891.32</v>
      </c>
      <c r="AJ15" s="1501">
        <v>-1025835.93</v>
      </c>
      <c r="AK15" s="1501">
        <v>-251063.00645161289</v>
      </c>
      <c r="AL15" s="2058">
        <f t="shared" si="0"/>
        <v>-2509871.7864516131</v>
      </c>
      <c r="AM15" s="2057">
        <v>0.95628183088298646</v>
      </c>
      <c r="AN15" s="2056">
        <f t="shared" si="1"/>
        <v>2400144.7872295007</v>
      </c>
      <c r="AP15" s="916">
        <f t="shared" si="16"/>
        <v>-2062876.6396597673</v>
      </c>
      <c r="AQ15" s="916">
        <v>0</v>
      </c>
      <c r="AR15" s="916">
        <f t="shared" si="2"/>
        <v>0</v>
      </c>
      <c r="AS15" s="916">
        <f t="shared" si="17"/>
        <v>-337268.14756973309</v>
      </c>
      <c r="AT15" s="916">
        <f t="shared" si="3"/>
        <v>0</v>
      </c>
      <c r="BA15" s="2059">
        <v>44896</v>
      </c>
      <c r="BB15" s="2058">
        <v>-1625151.69</v>
      </c>
      <c r="BC15" s="2058">
        <v>-60574.81</v>
      </c>
      <c r="BD15" s="2058">
        <v>776018.05</v>
      </c>
      <c r="BE15" s="2058">
        <v>-906119</v>
      </c>
      <c r="BF15" s="2058">
        <v>-202676.50967741938</v>
      </c>
      <c r="BG15" s="2058">
        <f t="shared" si="4"/>
        <v>-2018503.9596774194</v>
      </c>
      <c r="BH15" s="2057">
        <v>0.95628183088298646</v>
      </c>
      <c r="BI15" s="2056">
        <f t="shared" si="5"/>
        <v>1930258.6622048805</v>
      </c>
      <c r="BK15" s="916">
        <f t="shared" si="18"/>
        <v>-1678516.2082413954</v>
      </c>
      <c r="BL15" s="916">
        <v>0</v>
      </c>
      <c r="BM15" s="916">
        <f t="shared" si="6"/>
        <v>0</v>
      </c>
      <c r="BN15" s="916">
        <f t="shared" si="19"/>
        <v>-251742.45396348496</v>
      </c>
      <c r="BO15" s="916">
        <f t="shared" si="7"/>
        <v>0</v>
      </c>
      <c r="BS15" s="182" t="s">
        <v>1694</v>
      </c>
      <c r="BT15" s="477" t="s">
        <v>1674</v>
      </c>
      <c r="BU15" s="1501">
        <f t="shared" si="8"/>
        <v>0</v>
      </c>
      <c r="BV15" s="1501">
        <f t="shared" si="9"/>
        <v>0</v>
      </c>
      <c r="BW15" s="1501">
        <f t="shared" si="10"/>
        <v>0</v>
      </c>
      <c r="BY15" s="1501">
        <v>0</v>
      </c>
      <c r="BZ15" s="1501">
        <v>-1022805.86</v>
      </c>
      <c r="CB15" s="1501">
        <v>0</v>
      </c>
      <c r="CC15" s="1501">
        <v>0</v>
      </c>
      <c r="CD15" s="1501">
        <f t="shared" si="11"/>
        <v>0</v>
      </c>
      <c r="CE15" s="1501">
        <v>0</v>
      </c>
      <c r="CF15" s="916">
        <f t="shared" si="12"/>
        <v>0</v>
      </c>
      <c r="CH15" s="1501">
        <v>-1022805.86</v>
      </c>
      <c r="CI15" s="1501">
        <v>-1022805.86</v>
      </c>
      <c r="CJ15" s="1501">
        <f t="shared" si="13"/>
        <v>0</v>
      </c>
      <c r="CK15" s="1501">
        <v>0</v>
      </c>
      <c r="CL15" s="916">
        <f t="shared" si="14"/>
        <v>0</v>
      </c>
    </row>
    <row r="16" spans="1:90">
      <c r="A16" s="1990"/>
      <c r="B16" s="1989" t="s">
        <v>192</v>
      </c>
      <c r="C16" s="1989"/>
      <c r="D16" s="1989"/>
      <c r="P16" s="1987">
        <f t="shared" si="15"/>
        <v>0</v>
      </c>
      <c r="U16" s="2045">
        <v>495339</v>
      </c>
      <c r="V16" s="2044" t="s">
        <v>1624</v>
      </c>
      <c r="W16" s="2043">
        <f>'G-2.11 EAS'!BW36</f>
        <v>1613569.58</v>
      </c>
      <c r="Y16" s="3957" t="s">
        <v>1623</v>
      </c>
      <c r="Z16" s="3958"/>
      <c r="BS16" s="477" t="s">
        <v>1693</v>
      </c>
      <c r="BT16" s="477" t="s">
        <v>1692</v>
      </c>
      <c r="BU16" s="1501">
        <f t="shared" si="8"/>
        <v>0</v>
      </c>
      <c r="BV16" s="1501">
        <f t="shared" si="9"/>
        <v>4884734.74</v>
      </c>
      <c r="BW16" s="1501">
        <f t="shared" si="10"/>
        <v>4884734.74</v>
      </c>
      <c r="BY16" s="1501">
        <v>0</v>
      </c>
      <c r="BZ16" s="1501">
        <v>2782530.92</v>
      </c>
      <c r="CB16" s="1501">
        <v>0</v>
      </c>
      <c r="CC16" s="1501">
        <v>0</v>
      </c>
      <c r="CD16" s="1501">
        <f t="shared" si="11"/>
        <v>0</v>
      </c>
      <c r="CE16" s="1501">
        <v>0</v>
      </c>
      <c r="CF16" s="916">
        <f t="shared" si="12"/>
        <v>0</v>
      </c>
      <c r="CH16" s="1501">
        <v>2782530.92</v>
      </c>
      <c r="CI16" s="1501">
        <v>724559.16</v>
      </c>
      <c r="CJ16" s="1501">
        <f t="shared" si="13"/>
        <v>2057971.7599999998</v>
      </c>
      <c r="CK16" s="1501">
        <v>2826762.98</v>
      </c>
      <c r="CL16" s="916">
        <f t="shared" si="14"/>
        <v>4884734.74</v>
      </c>
    </row>
    <row r="17" spans="1:90">
      <c r="A17" s="1990">
        <v>5</v>
      </c>
      <c r="B17" s="1989"/>
      <c r="C17" s="1989" t="s">
        <v>37</v>
      </c>
      <c r="D17" s="1989"/>
      <c r="E17" s="1993">
        <f>'G-2.11 EAS'!W24+'G-2.11 EAS'!W25</f>
        <v>122039877.09999999</v>
      </c>
      <c r="F17" s="1976">
        <f>F12-F19</f>
        <v>-31613815</v>
      </c>
      <c r="G17" s="1976">
        <f>E17+F17</f>
        <v>90426062.099999994</v>
      </c>
      <c r="H17" s="1993">
        <f>'G-2.11 EAS'!W11</f>
        <v>17780658.899999999</v>
      </c>
      <c r="I17" s="1976">
        <v>0</v>
      </c>
      <c r="J17" s="1976">
        <v>0</v>
      </c>
      <c r="K17" s="1976">
        <v>0</v>
      </c>
      <c r="L17" s="1976">
        <v>0</v>
      </c>
      <c r="O17" s="1987"/>
      <c r="P17" s="1987">
        <f t="shared" si="15"/>
        <v>17780658.899999999</v>
      </c>
      <c r="Q17" s="1986">
        <f>ROUND(-P17/1000+F17/1000,0)</f>
        <v>-49394</v>
      </c>
      <c r="U17" s="2042" t="s">
        <v>24</v>
      </c>
      <c r="V17" s="2008"/>
      <c r="W17" s="2041">
        <f>SUM(W9:W16)</f>
        <v>27523809.379999995</v>
      </c>
      <c r="AG17" s="2055">
        <f t="shared" ref="AG17:AL17" si="21">SUM(AG4:AG16)</f>
        <v>-18188250.059999999</v>
      </c>
      <c r="AH17" s="2055">
        <f t="shared" si="21"/>
        <v>-7111496.4500000002</v>
      </c>
      <c r="AI17" s="2055">
        <f t="shared" si="21"/>
        <v>10786732.08</v>
      </c>
      <c r="AJ17" s="2055">
        <f t="shared" si="21"/>
        <v>-8321914.8900000006</v>
      </c>
      <c r="AK17" s="2055">
        <f t="shared" si="21"/>
        <v>-2679813.516451613</v>
      </c>
      <c r="AL17" s="2055">
        <f t="shared" si="21"/>
        <v>-25514742.836451612</v>
      </c>
      <c r="AM17" s="2055"/>
      <c r="AN17" s="2055">
        <f>SUM(AN4:AN16)</f>
        <v>24399284.994150512</v>
      </c>
      <c r="AP17" s="916">
        <f>SUM(AP4:AP16)</f>
        <v>-17319818.98630172</v>
      </c>
      <c r="AQ17" s="916">
        <f>SUM(AQ4:AQ16)</f>
        <v>-675526.03999999969</v>
      </c>
      <c r="AR17" s="916">
        <f>SUM(AR4:AR16)</f>
        <v>-645993.27834033326</v>
      </c>
      <c r="AS17" s="916">
        <f>SUM(AS4:AS16)</f>
        <v>-7079466.0112420497</v>
      </c>
      <c r="BB17" s="2055">
        <f t="shared" ref="BB17:BG17" si="22">SUM(BB4:BB16)</f>
        <v>-8886894.4299999997</v>
      </c>
      <c r="BC17" s="2055">
        <f t="shared" si="22"/>
        <v>-3848325.48</v>
      </c>
      <c r="BD17" s="2055">
        <f t="shared" si="22"/>
        <v>6408928.5099999988</v>
      </c>
      <c r="BE17" s="2055">
        <f t="shared" si="22"/>
        <v>-4543897.46</v>
      </c>
      <c r="BF17" s="2055">
        <f t="shared" si="22"/>
        <v>-1919218.5496774195</v>
      </c>
      <c r="BG17" s="2055">
        <f t="shared" si="22"/>
        <v>-12789407.40967742</v>
      </c>
      <c r="BH17" s="2055"/>
      <c r="BI17" s="2055">
        <f>SUM(BI4:BI16)</f>
        <v>12230277.933634754</v>
      </c>
      <c r="BK17" s="916">
        <f>SUM(BK4:BK16)</f>
        <v>-8493046.834132893</v>
      </c>
      <c r="BL17" s="916">
        <f>SUM(BL4:BL16)</f>
        <v>-56598.8</v>
      </c>
      <c r="BM17" s="916">
        <f>SUM(BM4:BM16)</f>
        <v>-54124.404089779986</v>
      </c>
      <c r="BN17" s="916">
        <f>SUM(BN4:BN16)</f>
        <v>-3737231.0998103418</v>
      </c>
      <c r="BS17" s="477" t="s">
        <v>1691</v>
      </c>
      <c r="BT17" s="477" t="s">
        <v>1690</v>
      </c>
      <c r="BU17" s="1501">
        <f t="shared" si="8"/>
        <v>0</v>
      </c>
      <c r="BV17" s="1501">
        <f t="shared" si="9"/>
        <v>1613569.58</v>
      </c>
      <c r="BW17" s="1501">
        <f t="shared" si="10"/>
        <v>1613569.58</v>
      </c>
      <c r="BY17" s="1501">
        <v>0</v>
      </c>
      <c r="BZ17" s="1501">
        <v>940704.24</v>
      </c>
      <c r="CB17" s="1501">
        <v>0</v>
      </c>
      <c r="CC17" s="1501">
        <v>0</v>
      </c>
      <c r="CD17" s="1501">
        <f t="shared" si="11"/>
        <v>0</v>
      </c>
      <c r="CE17" s="1501">
        <v>0</v>
      </c>
      <c r="CF17" s="916">
        <f t="shared" si="12"/>
        <v>0</v>
      </c>
      <c r="CH17" s="1501">
        <v>940704.24</v>
      </c>
      <c r="CI17" s="1501">
        <v>273983.03000000003</v>
      </c>
      <c r="CJ17" s="1501">
        <f t="shared" si="13"/>
        <v>666721.21</v>
      </c>
      <c r="CK17" s="1501">
        <v>946848.37</v>
      </c>
      <c r="CL17" s="916">
        <f t="shared" si="14"/>
        <v>1613569.58</v>
      </c>
    </row>
    <row r="18" spans="1:90">
      <c r="A18" s="1990">
        <v>6</v>
      </c>
      <c r="B18" s="1989"/>
      <c r="C18" s="1989" t="s">
        <v>38</v>
      </c>
      <c r="D18" s="1989"/>
      <c r="G18" s="1992">
        <f>E18+F18</f>
        <v>0</v>
      </c>
      <c r="O18" s="1987"/>
      <c r="P18" s="1987">
        <f t="shared" si="15"/>
        <v>0</v>
      </c>
      <c r="AO18" s="477">
        <v>0.21</v>
      </c>
      <c r="AP18" s="916">
        <f>AP17*AO18</f>
        <v>-3637161.9871233613</v>
      </c>
      <c r="AQ18" s="916">
        <f>AQ17*AO18</f>
        <v>-141860.46839999993</v>
      </c>
      <c r="AR18" s="916">
        <f>AR17*AO18</f>
        <v>-135658.58845146999</v>
      </c>
      <c r="AS18" s="916">
        <f>AO18*AS17</f>
        <v>-1486687.8623608304</v>
      </c>
      <c r="BJ18" s="477">
        <v>0.21</v>
      </c>
      <c r="BK18" s="916">
        <f>BK17*BJ18</f>
        <v>-1783539.8351679074</v>
      </c>
      <c r="BL18" s="916">
        <f>BL17*BJ18</f>
        <v>-11885.748</v>
      </c>
      <c r="BM18" s="916">
        <f>BM17*BJ18</f>
        <v>-11366.124858853796</v>
      </c>
      <c r="BN18" s="916">
        <f>BJ18*BN17</f>
        <v>-784818.53096017172</v>
      </c>
      <c r="BS18" s="477" t="s">
        <v>1680</v>
      </c>
      <c r="BT18" s="477" t="s">
        <v>1582</v>
      </c>
      <c r="BU18" s="1501">
        <f t="shared" si="8"/>
        <v>0</v>
      </c>
      <c r="BV18" s="1501">
        <f t="shared" si="9"/>
        <v>0</v>
      </c>
      <c r="BW18" s="1501">
        <f t="shared" si="10"/>
        <v>0</v>
      </c>
      <c r="BY18" s="1501">
        <v>730338</v>
      </c>
      <c r="BZ18" s="1501">
        <v>0</v>
      </c>
      <c r="CB18" s="1501">
        <v>730338</v>
      </c>
      <c r="CC18" s="1501">
        <v>730338</v>
      </c>
      <c r="CD18" s="1501">
        <f t="shared" si="11"/>
        <v>0</v>
      </c>
      <c r="CE18" s="1501">
        <v>0</v>
      </c>
      <c r="CF18" s="916">
        <f t="shared" si="12"/>
        <v>0</v>
      </c>
      <c r="CH18" s="1501">
        <v>0</v>
      </c>
      <c r="CI18" s="1501">
        <v>0</v>
      </c>
      <c r="CJ18" s="1501">
        <f t="shared" si="13"/>
        <v>0</v>
      </c>
      <c r="CK18" s="1501">
        <v>0</v>
      </c>
      <c r="CL18" s="916">
        <f t="shared" si="14"/>
        <v>0</v>
      </c>
    </row>
    <row r="19" spans="1:90">
      <c r="A19" s="1990">
        <v>7</v>
      </c>
      <c r="B19" s="1989"/>
      <c r="C19" s="1989" t="s">
        <v>39</v>
      </c>
      <c r="D19" s="1989"/>
      <c r="E19" s="1993">
        <f>'G-2.11 EAS'!W26+'G-2.11 EAS'!W27</f>
        <v>8788861</v>
      </c>
      <c r="F19" s="1976">
        <f>-E19</f>
        <v>-8788861</v>
      </c>
      <c r="G19" s="1992">
        <f>E19+F19</f>
        <v>0</v>
      </c>
      <c r="O19" s="1987"/>
      <c r="P19" s="1991">
        <f t="shared" si="15"/>
        <v>0</v>
      </c>
      <c r="Q19" s="1986">
        <f>ROUND(F19/1000,0)</f>
        <v>-8789</v>
      </c>
      <c r="U19" s="477" t="s">
        <v>1622</v>
      </c>
      <c r="AO19" s="877" t="s">
        <v>1657</v>
      </c>
      <c r="AP19" s="916">
        <f>AP17-AP18</f>
        <v>-13682656.999178359</v>
      </c>
      <c r="AQ19" s="916">
        <f>AQ17-AQ18</f>
        <v>-533665.57159999979</v>
      </c>
      <c r="AR19" s="916">
        <f>AR17-AR18</f>
        <v>-510334.68988886324</v>
      </c>
      <c r="AS19" s="916">
        <f>AS17-AS18</f>
        <v>-5592778.1488812193</v>
      </c>
      <c r="BJ19" s="877" t="s">
        <v>1657</v>
      </c>
      <c r="BK19" s="916">
        <f>BK17-BK18</f>
        <v>-6709506.9989649858</v>
      </c>
      <c r="BL19" s="916">
        <f>BL17-BL18</f>
        <v>-44713.052000000003</v>
      </c>
      <c r="BM19" s="916">
        <f>BM17-BM18</f>
        <v>-42758.279230926186</v>
      </c>
      <c r="BN19" s="916">
        <f>BN17-BN18</f>
        <v>-2952412.5688501699</v>
      </c>
      <c r="BS19" s="477" t="s">
        <v>1679</v>
      </c>
      <c r="BT19" s="477" t="s">
        <v>1678</v>
      </c>
      <c r="BU19" s="1501">
        <f t="shared" si="8"/>
        <v>0</v>
      </c>
      <c r="BV19" s="1501">
        <f t="shared" si="9"/>
        <v>0</v>
      </c>
      <c r="BW19" s="1501">
        <f t="shared" si="10"/>
        <v>0</v>
      </c>
      <c r="BY19" s="1501">
        <v>-5747222</v>
      </c>
      <c r="BZ19" s="1501">
        <v>0</v>
      </c>
      <c r="CB19" s="1501">
        <v>-5747222</v>
      </c>
      <c r="CC19" s="1501">
        <v>-5747222</v>
      </c>
      <c r="CD19" s="1501">
        <f t="shared" si="11"/>
        <v>0</v>
      </c>
      <c r="CE19" s="1501">
        <v>0</v>
      </c>
      <c r="CF19" s="916">
        <f t="shared" si="12"/>
        <v>0</v>
      </c>
      <c r="CH19" s="1501">
        <v>0</v>
      </c>
      <c r="CI19" s="1501">
        <v>0</v>
      </c>
      <c r="CJ19" s="1501">
        <f t="shared" si="13"/>
        <v>0</v>
      </c>
      <c r="CK19" s="1501">
        <v>0</v>
      </c>
      <c r="CL19" s="916">
        <f t="shared" si="14"/>
        <v>0</v>
      </c>
    </row>
    <row r="20" spans="1:90">
      <c r="A20" s="1990">
        <v>8</v>
      </c>
      <c r="B20" s="1989" t="s">
        <v>40</v>
      </c>
      <c r="C20" s="1989"/>
      <c r="D20" s="1989"/>
      <c r="E20" s="1988">
        <f t="shared" ref="E20:O20" si="23">SUM(E17:E19)</f>
        <v>130828738.09999999</v>
      </c>
      <c r="F20" s="1988">
        <f t="shared" si="23"/>
        <v>-40402676</v>
      </c>
      <c r="G20" s="1988">
        <f t="shared" si="23"/>
        <v>90426062.099999994</v>
      </c>
      <c r="H20" s="1988">
        <f t="shared" si="23"/>
        <v>17780658.899999999</v>
      </c>
      <c r="I20" s="1988">
        <f t="shared" si="23"/>
        <v>0</v>
      </c>
      <c r="J20" s="1988">
        <f t="shared" si="23"/>
        <v>0</v>
      </c>
      <c r="K20" s="1988">
        <f t="shared" si="23"/>
        <v>0</v>
      </c>
      <c r="L20" s="1988">
        <f t="shared" si="23"/>
        <v>0</v>
      </c>
      <c r="M20" s="1988">
        <f t="shared" si="23"/>
        <v>0</v>
      </c>
      <c r="N20" s="1988">
        <f t="shared" si="23"/>
        <v>0</v>
      </c>
      <c r="O20" s="1988">
        <f t="shared" si="23"/>
        <v>0</v>
      </c>
      <c r="P20" s="1987">
        <f t="shared" si="15"/>
        <v>17780658.899999999</v>
      </c>
      <c r="Q20" s="1988">
        <f>SUM(Q17:Q19)</f>
        <v>-58183</v>
      </c>
      <c r="U20" s="877" t="s">
        <v>1621</v>
      </c>
      <c r="V20" s="477" t="s">
        <v>1620</v>
      </c>
      <c r="W20" s="516">
        <v>36674988</v>
      </c>
      <c r="Y20" s="477" t="s">
        <v>1611</v>
      </c>
      <c r="AR20" s="916"/>
      <c r="BA20" s="877"/>
      <c r="BM20" s="916"/>
      <c r="BS20" s="477" t="s">
        <v>1677</v>
      </c>
      <c r="BT20" s="477" t="s">
        <v>1676</v>
      </c>
      <c r="BU20" s="1501">
        <f t="shared" si="8"/>
        <v>-3425532.14</v>
      </c>
      <c r="BV20" s="1501">
        <f t="shared" si="9"/>
        <v>0</v>
      </c>
      <c r="BW20" s="1501">
        <f t="shared" si="10"/>
        <v>-3425532.14</v>
      </c>
      <c r="BY20" s="1501">
        <v>-2079906.84</v>
      </c>
      <c r="BZ20" s="1501">
        <v>0</v>
      </c>
      <c r="CB20" s="1501">
        <v>-2079906.84</v>
      </c>
      <c r="CC20" s="1501">
        <v>-430615.48</v>
      </c>
      <c r="CD20" s="1501">
        <f t="shared" si="11"/>
        <v>-1649291.36</v>
      </c>
      <c r="CE20" s="1501">
        <v>-1776240.78</v>
      </c>
      <c r="CF20" s="916">
        <f t="shared" si="12"/>
        <v>-3425532.14</v>
      </c>
      <c r="CH20" s="1501">
        <v>0</v>
      </c>
      <c r="CI20" s="1501">
        <v>0</v>
      </c>
      <c r="CJ20" s="1501">
        <f t="shared" si="13"/>
        <v>0</v>
      </c>
      <c r="CK20" s="1501">
        <v>0</v>
      </c>
      <c r="CL20" s="916">
        <f t="shared" si="14"/>
        <v>0</v>
      </c>
    </row>
    <row r="21" spans="1:90">
      <c r="A21" s="1990"/>
      <c r="B21" s="1989"/>
      <c r="C21" s="1989"/>
      <c r="D21" s="1989"/>
      <c r="P21" s="1987">
        <f t="shared" si="15"/>
        <v>0</v>
      </c>
      <c r="U21" s="1128">
        <v>495028</v>
      </c>
      <c r="V21" s="1128" t="s">
        <v>1619</v>
      </c>
      <c r="W21" s="2036">
        <v>3727688</v>
      </c>
      <c r="Y21" s="2040" t="s">
        <v>1618</v>
      </c>
      <c r="Z21" s="2039"/>
      <c r="BA21" s="877"/>
      <c r="BS21" s="477" t="s">
        <v>1635</v>
      </c>
      <c r="BT21" s="477" t="s">
        <v>1634</v>
      </c>
      <c r="BU21" s="1501">
        <f t="shared" si="8"/>
        <v>0</v>
      </c>
      <c r="BV21" s="1501">
        <f t="shared" si="9"/>
        <v>17780658.899999999</v>
      </c>
      <c r="BW21" s="1501">
        <f t="shared" si="10"/>
        <v>17780658.899999999</v>
      </c>
      <c r="BY21" s="1501">
        <v>0</v>
      </c>
      <c r="BZ21" s="1501">
        <v>9044910.8100000005</v>
      </c>
      <c r="CB21" s="1501">
        <v>0</v>
      </c>
      <c r="CC21" s="1501">
        <v>0</v>
      </c>
      <c r="CD21" s="1501">
        <f t="shared" si="11"/>
        <v>0</v>
      </c>
      <c r="CE21" s="1501">
        <v>0</v>
      </c>
      <c r="CF21" s="916">
        <f t="shared" si="12"/>
        <v>0</v>
      </c>
      <c r="CH21" s="1501">
        <v>9044910.8100000005</v>
      </c>
      <c r="CI21" s="1501">
        <v>2662757.7799999998</v>
      </c>
      <c r="CJ21" s="1501">
        <f t="shared" si="13"/>
        <v>6382153.0300000012</v>
      </c>
      <c r="CK21" s="1501">
        <v>11398505.869999999</v>
      </c>
      <c r="CL21" s="916">
        <f t="shared" si="14"/>
        <v>17780658.899999999</v>
      </c>
    </row>
    <row r="22" spans="1:90">
      <c r="A22" s="1990"/>
      <c r="B22" s="1989" t="s">
        <v>41</v>
      </c>
      <c r="C22" s="1989"/>
      <c r="D22" s="1989"/>
      <c r="P22" s="1987">
        <f t="shared" si="15"/>
        <v>0</v>
      </c>
      <c r="V22" s="477" t="s">
        <v>1617</v>
      </c>
      <c r="W22" s="2038">
        <f>W20+W21</f>
        <v>40402676</v>
      </c>
      <c r="Y22" s="974"/>
      <c r="Z22" s="974"/>
      <c r="BA22" s="877"/>
      <c r="BS22" s="477" t="s">
        <v>1632</v>
      </c>
      <c r="BT22" s="477" t="s">
        <v>1631</v>
      </c>
      <c r="BU22" s="1501">
        <f t="shared" si="8"/>
        <v>23225764.449999999</v>
      </c>
      <c r="BV22" s="1501">
        <f t="shared" si="9"/>
        <v>13328241.4</v>
      </c>
      <c r="BW22" s="1501">
        <f t="shared" si="10"/>
        <v>36554005.850000001</v>
      </c>
      <c r="BY22" s="1501">
        <v>22366837.989999998</v>
      </c>
      <c r="BZ22" s="1501">
        <v>11140717.9</v>
      </c>
      <c r="CB22" s="1501">
        <v>22366837.989999998</v>
      </c>
      <c r="CC22" s="1501">
        <v>11109800.85</v>
      </c>
      <c r="CD22" s="1501">
        <f t="shared" si="11"/>
        <v>11257037.139999999</v>
      </c>
      <c r="CE22" s="1501">
        <v>11968727.310000001</v>
      </c>
      <c r="CF22" s="916">
        <f t="shared" si="12"/>
        <v>23225764.449999999</v>
      </c>
      <c r="CH22" s="1501">
        <v>11140717.9</v>
      </c>
      <c r="CI22" s="1501">
        <v>6567638.2400000002</v>
      </c>
      <c r="CJ22" s="1501">
        <f t="shared" si="13"/>
        <v>4573079.66</v>
      </c>
      <c r="CK22" s="1501">
        <v>8755161.7400000002</v>
      </c>
      <c r="CL22" s="916">
        <f t="shared" si="14"/>
        <v>13328241.4</v>
      </c>
    </row>
    <row r="23" spans="1:90">
      <c r="A23" s="1990">
        <v>9</v>
      </c>
      <c r="B23" s="1989"/>
      <c r="C23" s="1989" t="s">
        <v>42</v>
      </c>
      <c r="D23" s="1989"/>
      <c r="G23" s="1992">
        <f>E23+F23</f>
        <v>0</v>
      </c>
      <c r="O23" s="1987"/>
      <c r="P23" s="1987">
        <f t="shared" si="15"/>
        <v>0</v>
      </c>
      <c r="W23" s="515"/>
      <c r="AQ23" s="916"/>
      <c r="BA23" s="877"/>
      <c r="BS23" s="477" t="s">
        <v>1584</v>
      </c>
      <c r="BT23" s="477" t="s">
        <v>1581</v>
      </c>
      <c r="BU23" s="1501">
        <f t="shared" si="8"/>
        <v>-97999.780000000028</v>
      </c>
      <c r="BV23" s="1501">
        <f t="shared" si="9"/>
        <v>2245.8600000001024</v>
      </c>
      <c r="BW23" s="1501">
        <f t="shared" si="10"/>
        <v>-95753.919999999925</v>
      </c>
      <c r="BY23" s="1501">
        <v>188241.35</v>
      </c>
      <c r="BZ23" s="1501">
        <v>488020.39</v>
      </c>
      <c r="CB23" s="2064">
        <v>188241.35</v>
      </c>
      <c r="CC23" s="2064">
        <v>-322370.21999999997</v>
      </c>
      <c r="CD23" s="2064">
        <f t="shared" si="11"/>
        <v>510611.56999999995</v>
      </c>
      <c r="CE23" s="2064">
        <v>-608611.35</v>
      </c>
      <c r="CF23" s="2069">
        <f t="shared" si="12"/>
        <v>-97999.780000000028</v>
      </c>
      <c r="CH23" s="2064">
        <v>488020.39</v>
      </c>
      <c r="CI23" s="2064">
        <v>-798117.36</v>
      </c>
      <c r="CJ23" s="2064">
        <f t="shared" si="13"/>
        <v>1286137.75</v>
      </c>
      <c r="CK23" s="2064">
        <v>-1283891.8899999999</v>
      </c>
      <c r="CL23" s="2069">
        <f t="shared" si="14"/>
        <v>2245.8600000001024</v>
      </c>
    </row>
    <row r="24" spans="1:90" ht="14.5">
      <c r="A24" s="1990">
        <v>10</v>
      </c>
      <c r="B24" s="1989"/>
      <c r="C24" s="1989" t="s">
        <v>188</v>
      </c>
      <c r="D24" s="1989"/>
      <c r="G24" s="1992">
        <f>E24+F24</f>
        <v>0</v>
      </c>
      <c r="O24" s="1987"/>
      <c r="P24" s="1987">
        <f t="shared" si="15"/>
        <v>0</v>
      </c>
      <c r="U24" s="2037" t="s">
        <v>225</v>
      </c>
      <c r="V24" s="1128" t="s">
        <v>37</v>
      </c>
      <c r="W24" s="2036">
        <v>139820536</v>
      </c>
      <c r="Y24" s="3950" t="s">
        <v>1616</v>
      </c>
      <c r="Z24" s="3950"/>
      <c r="AQ24" s="916"/>
      <c r="BA24" s="877"/>
      <c r="BS24" s="2068" t="s">
        <v>978</v>
      </c>
      <c r="BT24" s="2067"/>
      <c r="BU24" s="2066">
        <f>SUM(BU6:BU23)</f>
        <v>-7645205.6800000025</v>
      </c>
      <c r="BV24" s="2066">
        <f>SUM(BV6:BV23)</f>
        <v>27523809.379999999</v>
      </c>
      <c r="BW24" s="2066">
        <f>SUM(BW6:BW23)</f>
        <v>19878603.699999996</v>
      </c>
      <c r="BY24" s="916">
        <f>SUM(BY6:BY23)</f>
        <v>-1227995.3299999996</v>
      </c>
      <c r="BZ24" s="916">
        <f>SUM(BZ6:BZ23)</f>
        <v>15754920.210000003</v>
      </c>
      <c r="CB24" s="916">
        <f>SUM(CB6:CB23)</f>
        <v>-1227995.3299999996</v>
      </c>
      <c r="CC24" s="916">
        <f>SUM(CC6:CC23)</f>
        <v>-1047789.840000001</v>
      </c>
      <c r="CD24" s="916">
        <f>SUM(CD6:CD23)</f>
        <v>-180205.49000000057</v>
      </c>
      <c r="CE24" s="916">
        <f>SUM(CE6:CE23)</f>
        <v>-7465000.1899999976</v>
      </c>
      <c r="CF24" s="916">
        <f>SUM(CF6:CF23)</f>
        <v>-7645205.6800000025</v>
      </c>
      <c r="CH24" s="916">
        <f>SUM(CH6:CH23)</f>
        <v>15754920.210000003</v>
      </c>
      <c r="CI24" s="916">
        <f>SUM(CI6:CI23)</f>
        <v>4202361.2499999991</v>
      </c>
      <c r="CJ24" s="916">
        <f>SUM(CJ6:CJ23)</f>
        <v>11552558.960000001</v>
      </c>
      <c r="CK24" s="916">
        <f>SUM(CK6:CK23)</f>
        <v>15971250.419999998</v>
      </c>
      <c r="CL24" s="916">
        <f>SUM(CL6:CL23)</f>
        <v>27523809.379999999</v>
      </c>
    </row>
    <row r="25" spans="1:90" ht="43.5">
      <c r="A25" s="1990">
        <v>11</v>
      </c>
      <c r="B25" s="1989"/>
      <c r="C25" s="1989" t="s">
        <v>20</v>
      </c>
      <c r="D25" s="1989"/>
      <c r="G25" s="1992">
        <f>E25+F25</f>
        <v>0</v>
      </c>
      <c r="O25" s="1987"/>
      <c r="P25" s="1991">
        <f t="shared" si="15"/>
        <v>0</v>
      </c>
      <c r="U25" s="2037" t="s">
        <v>1615</v>
      </c>
      <c r="V25" s="1128" t="s">
        <v>1614</v>
      </c>
      <c r="W25" s="2036">
        <f>-W11</f>
        <v>-17780658.899999999</v>
      </c>
      <c r="Y25" s="974"/>
      <c r="Z25" s="974"/>
      <c r="AD25" s="477" t="s">
        <v>1656</v>
      </c>
      <c r="AG25" s="1179" t="s">
        <v>1655</v>
      </c>
      <c r="AH25" s="1179"/>
      <c r="AI25" s="1179" t="s">
        <v>1654</v>
      </c>
      <c r="AJ25" s="1179" t="s">
        <v>1653</v>
      </c>
      <c r="AK25" s="1179"/>
      <c r="AL25" s="1179" t="s">
        <v>1652</v>
      </c>
      <c r="AM25" s="1179" t="s">
        <v>1651</v>
      </c>
      <c r="AN25" s="1179" t="s">
        <v>1650</v>
      </c>
      <c r="AP25" s="1179" t="s">
        <v>1649</v>
      </c>
      <c r="AQ25" s="916"/>
      <c r="AR25" s="916"/>
      <c r="AS25" s="916"/>
      <c r="AT25" s="916"/>
      <c r="AU25" s="916"/>
      <c r="AY25" s="477" t="s">
        <v>1656</v>
      </c>
      <c r="BB25" s="1179" t="s">
        <v>1655</v>
      </c>
      <c r="BC25" s="1179"/>
      <c r="BD25" s="1179" t="s">
        <v>1654</v>
      </c>
      <c r="BE25" s="1179" t="s">
        <v>1653</v>
      </c>
      <c r="BF25" s="1179"/>
      <c r="BG25" s="1179" t="s">
        <v>1652</v>
      </c>
      <c r="BH25" s="1179" t="s">
        <v>1651</v>
      </c>
      <c r="BI25" s="1179" t="s">
        <v>1650</v>
      </c>
      <c r="BK25" s="1179" t="s">
        <v>1649</v>
      </c>
      <c r="BL25" s="916"/>
    </row>
    <row r="26" spans="1:90" ht="14.5">
      <c r="A26" s="1990">
        <v>12</v>
      </c>
      <c r="B26" s="1989" t="s">
        <v>44</v>
      </c>
      <c r="C26" s="1989"/>
      <c r="D26" s="1989"/>
      <c r="E26" s="1988">
        <f t="shared" ref="E26:O26" si="24">SUM(E23:E25)</f>
        <v>0</v>
      </c>
      <c r="F26" s="1988">
        <f t="shared" si="24"/>
        <v>0</v>
      </c>
      <c r="G26" s="1988">
        <f t="shared" si="24"/>
        <v>0</v>
      </c>
      <c r="H26" s="1988">
        <f t="shared" si="24"/>
        <v>0</v>
      </c>
      <c r="I26" s="1988">
        <f t="shared" si="24"/>
        <v>0</v>
      </c>
      <c r="J26" s="1988">
        <f t="shared" si="24"/>
        <v>0</v>
      </c>
      <c r="K26" s="1988">
        <f t="shared" si="24"/>
        <v>0</v>
      </c>
      <c r="L26" s="1988">
        <f t="shared" si="24"/>
        <v>0</v>
      </c>
      <c r="M26" s="1988">
        <f t="shared" si="24"/>
        <v>0</v>
      </c>
      <c r="N26" s="1988">
        <f t="shared" si="24"/>
        <v>0</v>
      </c>
      <c r="O26" s="1988">
        <f t="shared" si="24"/>
        <v>0</v>
      </c>
      <c r="P26" s="1987">
        <f t="shared" si="15"/>
        <v>0</v>
      </c>
      <c r="Q26" s="1988">
        <f>SUM(Q23:Q25)</f>
        <v>0</v>
      </c>
      <c r="U26" s="877" t="s">
        <v>1613</v>
      </c>
      <c r="V26" s="477" t="s">
        <v>227</v>
      </c>
      <c r="W26" s="516">
        <v>9132838</v>
      </c>
      <c r="Y26" s="477" t="s">
        <v>1611</v>
      </c>
      <c r="AF26" s="2062">
        <v>44927</v>
      </c>
      <c r="AG26" s="1457">
        <v>0</v>
      </c>
      <c r="AH26" s="1457"/>
      <c r="AI26" s="1457">
        <v>0</v>
      </c>
      <c r="AJ26" s="1457">
        <v>0</v>
      </c>
      <c r="AK26" s="1501"/>
      <c r="AL26" s="2061">
        <f t="shared" ref="AL26:AL37" si="25">SUM(AG26:AK26)</f>
        <v>0</v>
      </c>
      <c r="AM26" s="2060">
        <v>0.95628183088298646</v>
      </c>
      <c r="AN26" s="1457">
        <f t="shared" ref="AN26:AN37" si="26">-AL26*AM26</f>
        <v>0</v>
      </c>
      <c r="AP26" s="916">
        <f t="shared" ref="AP26:AP37" si="27">(AG26+AI26+AJ26)*AM26</f>
        <v>0</v>
      </c>
      <c r="AQ26" s="2063"/>
      <c r="AR26" s="916"/>
      <c r="AS26" s="916"/>
      <c r="AT26" s="916"/>
      <c r="AU26" s="916"/>
      <c r="BA26" s="2062">
        <v>44927</v>
      </c>
      <c r="BB26" s="1457">
        <v>0</v>
      </c>
      <c r="BC26" s="1457"/>
      <c r="BD26" s="1457">
        <v>0</v>
      </c>
      <c r="BE26" s="1457">
        <v>0</v>
      </c>
      <c r="BF26" s="1501"/>
      <c r="BG26" s="2061">
        <f t="shared" ref="BG26:BG37" si="28">SUM(BB26:BF26)</f>
        <v>0</v>
      </c>
      <c r="BH26" s="2060">
        <v>0.95628183088298646</v>
      </c>
      <c r="BI26" s="1457">
        <f t="shared" ref="BI26:BI37" si="29">-BG26*BH26</f>
        <v>0</v>
      </c>
      <c r="BK26" s="916">
        <f t="shared" ref="BK26:BK37" si="30">(BB26+BD26+BE26)*BH26</f>
        <v>0</v>
      </c>
      <c r="BL26" s="2063"/>
    </row>
    <row r="27" spans="1:90" ht="14.5">
      <c r="A27" s="1990"/>
      <c r="B27" s="1989"/>
      <c r="C27" s="1989"/>
      <c r="D27" s="1989"/>
      <c r="P27" s="1987">
        <f t="shared" si="15"/>
        <v>0</v>
      </c>
      <c r="U27" s="477">
        <v>811000</v>
      </c>
      <c r="V27" s="477" t="s">
        <v>1612</v>
      </c>
      <c r="W27" s="516">
        <v>-343977</v>
      </c>
      <c r="Y27" s="477" t="s">
        <v>1611</v>
      </c>
      <c r="AF27" s="2062">
        <v>44958</v>
      </c>
      <c r="AG27" s="1457">
        <v>0</v>
      </c>
      <c r="AH27" s="1457"/>
      <c r="AI27" s="1457">
        <v>0</v>
      </c>
      <c r="AJ27" s="1457">
        <v>0</v>
      </c>
      <c r="AK27" s="1501"/>
      <c r="AL27" s="2061">
        <f t="shared" si="25"/>
        <v>0</v>
      </c>
      <c r="AM27" s="2060">
        <v>0.95628183088298646</v>
      </c>
      <c r="AN27" s="1457">
        <f t="shared" si="26"/>
        <v>0</v>
      </c>
      <c r="AP27" s="916">
        <f t="shared" si="27"/>
        <v>0</v>
      </c>
      <c r="AQ27" s="916"/>
      <c r="AR27" s="916"/>
      <c r="AS27" s="916"/>
      <c r="AT27" s="916"/>
      <c r="AU27" s="916"/>
      <c r="BA27" s="2062">
        <v>44958</v>
      </c>
      <c r="BB27" s="1457">
        <v>0</v>
      </c>
      <c r="BC27" s="1457"/>
      <c r="BD27" s="1457">
        <v>0</v>
      </c>
      <c r="BE27" s="1457">
        <v>0</v>
      </c>
      <c r="BF27" s="1501"/>
      <c r="BG27" s="2061">
        <f t="shared" si="28"/>
        <v>0</v>
      </c>
      <c r="BH27" s="2060">
        <v>0.95628183088298646</v>
      </c>
      <c r="BI27" s="1457">
        <f t="shared" si="29"/>
        <v>0</v>
      </c>
      <c r="BK27" s="916">
        <f t="shared" si="30"/>
        <v>0</v>
      </c>
      <c r="BL27" s="916"/>
    </row>
    <row r="28" spans="1:90" ht="14.5">
      <c r="A28" s="1990"/>
      <c r="B28" s="1989" t="s">
        <v>45</v>
      </c>
      <c r="C28" s="1989"/>
      <c r="D28" s="1989"/>
      <c r="P28" s="1987">
        <f t="shared" si="15"/>
        <v>0</v>
      </c>
      <c r="V28" s="477" t="s">
        <v>1610</v>
      </c>
      <c r="W28" s="1129">
        <f>SUM(W24:W27)</f>
        <v>130828738.09999999</v>
      </c>
      <c r="AF28" s="2062">
        <v>44986</v>
      </c>
      <c r="AG28" s="1457">
        <v>0</v>
      </c>
      <c r="AH28" s="1457"/>
      <c r="AI28" s="1457">
        <v>0</v>
      </c>
      <c r="AJ28" s="1457">
        <v>0</v>
      </c>
      <c r="AK28" s="1501"/>
      <c r="AL28" s="2061">
        <f t="shared" si="25"/>
        <v>0</v>
      </c>
      <c r="AM28" s="2060">
        <v>0.95628183088298646</v>
      </c>
      <c r="AN28" s="1457">
        <f t="shared" si="26"/>
        <v>0</v>
      </c>
      <c r="AP28" s="916">
        <f t="shared" si="27"/>
        <v>0</v>
      </c>
      <c r="AQ28" s="916"/>
      <c r="AR28" s="916"/>
      <c r="AS28" s="916"/>
      <c r="AT28" s="916"/>
      <c r="AU28" s="916"/>
      <c r="BA28" s="2062">
        <v>44986</v>
      </c>
      <c r="BB28" s="1457">
        <v>0</v>
      </c>
      <c r="BC28" s="1457"/>
      <c r="BD28" s="1457">
        <v>0</v>
      </c>
      <c r="BE28" s="1457">
        <v>0</v>
      </c>
      <c r="BF28" s="1501"/>
      <c r="BG28" s="2061">
        <f t="shared" si="28"/>
        <v>0</v>
      </c>
      <c r="BH28" s="2060">
        <v>0.95628183088298646</v>
      </c>
      <c r="BI28" s="1457">
        <f t="shared" si="29"/>
        <v>0</v>
      </c>
      <c r="BK28" s="916">
        <f t="shared" si="30"/>
        <v>0</v>
      </c>
      <c r="BL28" s="916"/>
      <c r="BS28" s="2010">
        <v>407381</v>
      </c>
      <c r="BT28" s="477" t="s">
        <v>1641</v>
      </c>
      <c r="BU28" s="1501">
        <f t="shared" ref="BU28:BU36" si="31">CF28</f>
        <v>0</v>
      </c>
      <c r="BV28" s="1501">
        <f t="shared" ref="BV28:BV36" si="32">CL28</f>
        <v>48373.54</v>
      </c>
      <c r="BW28" s="1501">
        <f t="shared" ref="BW28:BW36" si="33">SUM(BU28:BV28)</f>
        <v>48373.54</v>
      </c>
      <c r="CB28" s="1501"/>
      <c r="CC28" s="1501"/>
      <c r="CD28" s="1501"/>
      <c r="CE28" s="1501"/>
      <c r="CF28" s="916"/>
      <c r="CH28" s="1501">
        <v>30323.71</v>
      </c>
      <c r="CI28" s="1501">
        <v>0</v>
      </c>
      <c r="CJ28" s="1501">
        <f t="shared" ref="CJ28:CJ36" si="34">CH28-CI28</f>
        <v>30323.71</v>
      </c>
      <c r="CK28" s="1501">
        <v>18049.830000000002</v>
      </c>
      <c r="CL28" s="916">
        <f t="shared" ref="CL28:CL36" si="35">CJ28+CK28</f>
        <v>48373.54</v>
      </c>
    </row>
    <row r="29" spans="1:90" ht="15" thickBot="1">
      <c r="A29" s="1990">
        <v>13</v>
      </c>
      <c r="B29" s="1989"/>
      <c r="C29" s="1989" t="s">
        <v>42</v>
      </c>
      <c r="D29" s="1995"/>
      <c r="G29" s="1992">
        <f>E29+F29</f>
        <v>0</v>
      </c>
      <c r="O29" s="1987"/>
      <c r="P29" s="1987">
        <f t="shared" si="15"/>
        <v>0</v>
      </c>
      <c r="V29" s="477" t="s">
        <v>1609</v>
      </c>
      <c r="W29" s="2035">
        <f>SUM(W24:W27)-SUM(W20:W21)</f>
        <v>90426062.099999994</v>
      </c>
      <c r="AF29" s="2062">
        <v>45017</v>
      </c>
      <c r="AG29" s="1457">
        <v>0</v>
      </c>
      <c r="AH29" s="1457"/>
      <c r="AI29" s="1457">
        <v>0</v>
      </c>
      <c r="AJ29" s="1457">
        <v>0</v>
      </c>
      <c r="AK29" s="1501"/>
      <c r="AL29" s="2061">
        <f t="shared" si="25"/>
        <v>0</v>
      </c>
      <c r="AM29" s="2060">
        <v>0.95628183088298646</v>
      </c>
      <c r="AN29" s="1457">
        <f t="shared" si="26"/>
        <v>0</v>
      </c>
      <c r="AP29" s="916">
        <f t="shared" si="27"/>
        <v>0</v>
      </c>
      <c r="AQ29" s="916"/>
      <c r="AR29" s="916"/>
      <c r="AS29" s="916"/>
      <c r="AT29" s="916"/>
      <c r="AU29" s="916"/>
      <c r="BA29" s="2062">
        <v>45017</v>
      </c>
      <c r="BB29" s="1457">
        <v>0</v>
      </c>
      <c r="BC29" s="1457"/>
      <c r="BD29" s="1457">
        <v>0</v>
      </c>
      <c r="BE29" s="1457">
        <v>0</v>
      </c>
      <c r="BF29" s="1501"/>
      <c r="BG29" s="2061">
        <f t="shared" si="28"/>
        <v>0</v>
      </c>
      <c r="BH29" s="2060">
        <v>0.95628183088298646</v>
      </c>
      <c r="BI29" s="1457">
        <f t="shared" si="29"/>
        <v>0</v>
      </c>
      <c r="BK29" s="916">
        <f t="shared" si="30"/>
        <v>0</v>
      </c>
      <c r="BL29" s="916"/>
      <c r="BS29" s="2049">
        <v>407419</v>
      </c>
      <c r="BT29" s="477" t="s">
        <v>1639</v>
      </c>
      <c r="BU29" s="1501">
        <f t="shared" si="31"/>
        <v>0</v>
      </c>
      <c r="BV29" s="1501">
        <f t="shared" si="32"/>
        <v>-48909.859999999986</v>
      </c>
      <c r="BW29" s="1501">
        <f t="shared" si="33"/>
        <v>-48909.859999999986</v>
      </c>
      <c r="CB29" s="1501"/>
      <c r="CC29" s="1501"/>
      <c r="CD29" s="1501"/>
      <c r="CE29" s="1501"/>
      <c r="CF29" s="916"/>
      <c r="CH29" s="1501">
        <v>-353441.89</v>
      </c>
      <c r="CI29" s="1501">
        <v>-304532.03000000003</v>
      </c>
      <c r="CJ29" s="1501">
        <f t="shared" si="34"/>
        <v>-48909.859999999986</v>
      </c>
      <c r="CK29" s="1501">
        <v>0</v>
      </c>
      <c r="CL29" s="916">
        <f t="shared" si="35"/>
        <v>-48909.859999999986</v>
      </c>
    </row>
    <row r="30" spans="1:90" ht="15" thickTop="1">
      <c r="A30" s="1990">
        <v>14</v>
      </c>
      <c r="B30" s="1989"/>
      <c r="C30" s="1989" t="s">
        <v>188</v>
      </c>
      <c r="D30" s="1995"/>
      <c r="G30" s="1992">
        <f>E30+F30</f>
        <v>0</v>
      </c>
      <c r="O30" s="1987"/>
      <c r="P30" s="1987">
        <f t="shared" si="15"/>
        <v>0</v>
      </c>
      <c r="AF30" s="2062">
        <v>45047</v>
      </c>
      <c r="AG30" s="1457">
        <v>0</v>
      </c>
      <c r="AH30" s="1457"/>
      <c r="AI30" s="1457">
        <v>0</v>
      </c>
      <c r="AJ30" s="1457">
        <v>0</v>
      </c>
      <c r="AK30" s="1501"/>
      <c r="AL30" s="2061">
        <f t="shared" si="25"/>
        <v>0</v>
      </c>
      <c r="AM30" s="2060">
        <v>0.95628183088298646</v>
      </c>
      <c r="AN30" s="1457">
        <f t="shared" si="26"/>
        <v>0</v>
      </c>
      <c r="AP30" s="916">
        <f t="shared" si="27"/>
        <v>0</v>
      </c>
      <c r="AQ30" s="916"/>
      <c r="AR30" s="916"/>
      <c r="AS30" s="916"/>
      <c r="AT30" s="916"/>
      <c r="AU30" s="916"/>
      <c r="BA30" s="2062">
        <v>45047</v>
      </c>
      <c r="BB30" s="1457">
        <v>0</v>
      </c>
      <c r="BC30" s="1457"/>
      <c r="BD30" s="1457">
        <v>0</v>
      </c>
      <c r="BE30" s="1457">
        <v>0</v>
      </c>
      <c r="BF30" s="1501"/>
      <c r="BG30" s="2061">
        <f t="shared" si="28"/>
        <v>0</v>
      </c>
      <c r="BH30" s="2060">
        <v>0.95628183088298646</v>
      </c>
      <c r="BI30" s="1457">
        <f t="shared" si="29"/>
        <v>0</v>
      </c>
      <c r="BK30" s="916">
        <f t="shared" si="30"/>
        <v>0</v>
      </c>
      <c r="BL30" s="916"/>
      <c r="BS30" s="2049">
        <v>411193</v>
      </c>
      <c r="BT30" s="477" t="s">
        <v>1637</v>
      </c>
      <c r="BU30" s="1501">
        <f t="shared" si="31"/>
        <v>0</v>
      </c>
      <c r="BV30" s="1501">
        <f t="shared" si="32"/>
        <v>-10036731.24</v>
      </c>
      <c r="BW30" s="1501">
        <f t="shared" si="33"/>
        <v>-10036731.24</v>
      </c>
      <c r="CB30" s="1501"/>
      <c r="CC30" s="1501"/>
      <c r="CD30" s="1501"/>
      <c r="CE30" s="1501"/>
      <c r="CF30" s="916"/>
      <c r="CH30" s="1501">
        <v>-7265716.2999999998</v>
      </c>
      <c r="CI30" s="1501">
        <v>-3901121.71</v>
      </c>
      <c r="CJ30" s="1501">
        <f t="shared" si="34"/>
        <v>-3364594.59</v>
      </c>
      <c r="CK30" s="1501">
        <v>-6672136.6500000004</v>
      </c>
      <c r="CL30" s="916">
        <f t="shared" si="35"/>
        <v>-10036731.24</v>
      </c>
    </row>
    <row r="31" spans="1:90" ht="14.5">
      <c r="A31" s="1990">
        <v>15</v>
      </c>
      <c r="B31" s="1989"/>
      <c r="C31" s="1989" t="s">
        <v>20</v>
      </c>
      <c r="D31" s="1994">
        <v>3.8329292586308468E-2</v>
      </c>
      <c r="E31" s="1976">
        <f>E$10*$D31</f>
        <v>3637970.8348942557</v>
      </c>
      <c r="G31" s="1992">
        <f>E31+F31</f>
        <v>3637970.8348942557</v>
      </c>
      <c r="H31" s="1976">
        <f>H$10*$D31</f>
        <v>715341.53983028501</v>
      </c>
      <c r="I31" s="1976">
        <f>I$10*$D31</f>
        <v>261436.15063413614</v>
      </c>
      <c r="J31" s="1976">
        <f>D31*J10</f>
        <v>-340414.78834133956</v>
      </c>
      <c r="K31" s="1976">
        <f>D31*K10</f>
        <v>-1960.3850158112969</v>
      </c>
      <c r="L31" s="1976">
        <f>D31*L10</f>
        <v>-149794.15028205205</v>
      </c>
      <c r="M31" s="1976">
        <f>M$10*$D31</f>
        <v>536304.71946438367</v>
      </c>
      <c r="N31" s="1976">
        <f>N$10*$D31</f>
        <v>1499.0586330505241</v>
      </c>
      <c r="O31" s="1987"/>
      <c r="P31" s="1991">
        <f t="shared" si="15"/>
        <v>1022412.1449226524</v>
      </c>
      <c r="Q31" s="1986">
        <f>ROUND(-P31/1000,0)</f>
        <v>-1022</v>
      </c>
      <c r="U31" s="1975" t="s">
        <v>1608</v>
      </c>
      <c r="V31" s="387"/>
      <c r="W31" s="1975"/>
      <c r="X31" s="1975"/>
      <c r="Y31" s="1975"/>
      <c r="Z31" s="1975"/>
      <c r="AF31" s="2062">
        <v>45078</v>
      </c>
      <c r="AG31" s="1457">
        <v>0</v>
      </c>
      <c r="AH31" s="1457"/>
      <c r="AI31" s="1457">
        <v>0</v>
      </c>
      <c r="AJ31" s="1457">
        <v>0</v>
      </c>
      <c r="AK31" s="1501"/>
      <c r="AL31" s="2061">
        <f t="shared" si="25"/>
        <v>0</v>
      </c>
      <c r="AM31" s="2060">
        <v>0.95628183088298646</v>
      </c>
      <c r="AN31" s="1457">
        <f t="shared" si="26"/>
        <v>0</v>
      </c>
      <c r="AP31" s="916">
        <f t="shared" si="27"/>
        <v>0</v>
      </c>
      <c r="AQ31" s="916"/>
      <c r="AR31" s="916"/>
      <c r="AS31" s="916"/>
      <c r="AT31" s="916"/>
      <c r="AU31" s="916"/>
      <c r="BA31" s="2062">
        <v>45078</v>
      </c>
      <c r="BB31" s="1457">
        <v>0</v>
      </c>
      <c r="BC31" s="1457"/>
      <c r="BD31" s="1457">
        <v>0</v>
      </c>
      <c r="BE31" s="1457">
        <v>0</v>
      </c>
      <c r="BF31" s="1501"/>
      <c r="BG31" s="2061">
        <f t="shared" si="28"/>
        <v>0</v>
      </c>
      <c r="BH31" s="2060">
        <v>0.95628183088298646</v>
      </c>
      <c r="BI31" s="1457">
        <f t="shared" si="29"/>
        <v>0</v>
      </c>
      <c r="BK31" s="916">
        <f t="shared" si="30"/>
        <v>0</v>
      </c>
      <c r="BL31" s="916"/>
      <c r="BS31" s="2049" t="s">
        <v>1635</v>
      </c>
      <c r="BT31" s="477" t="s">
        <v>1634</v>
      </c>
      <c r="BU31" s="1501">
        <f t="shared" si="31"/>
        <v>0</v>
      </c>
      <c r="BV31" s="1501">
        <f t="shared" si="32"/>
        <v>17780658.899999999</v>
      </c>
      <c r="BW31" s="1501">
        <f t="shared" si="33"/>
        <v>17780658.899999999</v>
      </c>
      <c r="CB31" s="1501"/>
      <c r="CC31" s="1501"/>
      <c r="CD31" s="1501"/>
      <c r="CE31" s="1501"/>
      <c r="CF31" s="916"/>
      <c r="CH31" s="1501">
        <v>9044910.8100000005</v>
      </c>
      <c r="CI31" s="1501">
        <v>2662757.7799999998</v>
      </c>
      <c r="CJ31" s="1501">
        <f t="shared" si="34"/>
        <v>6382153.0300000012</v>
      </c>
      <c r="CK31" s="1501">
        <v>11398505.869999999</v>
      </c>
      <c r="CL31" s="916">
        <f t="shared" si="35"/>
        <v>17780658.899999999</v>
      </c>
    </row>
    <row r="32" spans="1:90" ht="14.5">
      <c r="A32" s="1990">
        <v>16</v>
      </c>
      <c r="B32" s="1989" t="s">
        <v>46</v>
      </c>
      <c r="C32" s="1989"/>
      <c r="D32" s="1995"/>
      <c r="E32" s="1988">
        <f t="shared" ref="E32:M32" si="36">SUM(E29:E31)</f>
        <v>3637970.8348942557</v>
      </c>
      <c r="F32" s="1988">
        <f t="shared" si="36"/>
        <v>0</v>
      </c>
      <c r="G32" s="1988">
        <f t="shared" si="36"/>
        <v>3637970.8348942557</v>
      </c>
      <c r="H32" s="1988">
        <f t="shared" si="36"/>
        <v>715341.53983028501</v>
      </c>
      <c r="I32" s="1988">
        <f t="shared" si="36"/>
        <v>261436.15063413614</v>
      </c>
      <c r="J32" s="1988">
        <f t="shared" si="36"/>
        <v>-340414.78834133956</v>
      </c>
      <c r="K32" s="1988">
        <f t="shared" si="36"/>
        <v>-1960.3850158112969</v>
      </c>
      <c r="L32" s="1988">
        <f t="shared" si="36"/>
        <v>-149794.15028205205</v>
      </c>
      <c r="M32" s="1988">
        <f t="shared" si="36"/>
        <v>536304.71946438367</v>
      </c>
      <c r="N32" s="1988"/>
      <c r="O32" s="1988">
        <f>SUM(O29:O31)</f>
        <v>0</v>
      </c>
      <c r="P32" s="1987">
        <f t="shared" si="15"/>
        <v>1020913.0862896019</v>
      </c>
      <c r="Q32" s="1988">
        <f>SUM(Q29:Q31)</f>
        <v>-1022</v>
      </c>
      <c r="U32" s="1975"/>
      <c r="V32" s="1975"/>
      <c r="W32" s="1975"/>
      <c r="X32" s="1975"/>
      <c r="Y32" s="1975"/>
      <c r="Z32" s="1975"/>
      <c r="AF32" s="2062">
        <v>44743</v>
      </c>
      <c r="AG32" s="1501">
        <v>-120910.38</v>
      </c>
      <c r="AH32" s="1501"/>
      <c r="AI32" s="1501">
        <v>57113.08</v>
      </c>
      <c r="AJ32" s="1501">
        <v>-74551.740000000005</v>
      </c>
      <c r="AK32" s="1501"/>
      <c r="AL32" s="2061">
        <f t="shared" si="25"/>
        <v>-138349.04</v>
      </c>
      <c r="AM32" s="2060">
        <v>0.95628183088298646</v>
      </c>
      <c r="AN32" s="1457">
        <f t="shared" si="26"/>
        <v>132300.67327210354</v>
      </c>
      <c r="AP32" s="916">
        <f t="shared" si="27"/>
        <v>-132300.67327210354</v>
      </c>
      <c r="AQ32" s="916"/>
      <c r="AR32" s="916"/>
      <c r="AS32" s="916"/>
      <c r="AT32" s="916"/>
      <c r="AU32" s="916"/>
      <c r="BA32" s="2062">
        <v>44743</v>
      </c>
      <c r="BB32" s="1501">
        <v>-12093.7</v>
      </c>
      <c r="BC32" s="1501"/>
      <c r="BD32" s="1501">
        <v>5452.93</v>
      </c>
      <c r="BE32" s="1501">
        <v>-3620.1</v>
      </c>
      <c r="BF32" s="1501"/>
      <c r="BG32" s="2061">
        <f t="shared" si="28"/>
        <v>-10260.870000000001</v>
      </c>
      <c r="BH32" s="2060">
        <v>0.95628183088298646</v>
      </c>
      <c r="BI32" s="1457">
        <f t="shared" si="29"/>
        <v>9812.2835500523106</v>
      </c>
      <c r="BK32" s="916">
        <f t="shared" si="30"/>
        <v>-9812.2835500523106</v>
      </c>
      <c r="BL32" s="916"/>
      <c r="BS32" s="2049" t="s">
        <v>1632</v>
      </c>
      <c r="BT32" s="477" t="s">
        <v>1631</v>
      </c>
      <c r="BU32" s="1501">
        <f t="shared" si="31"/>
        <v>0</v>
      </c>
      <c r="BV32" s="1501">
        <f t="shared" si="32"/>
        <v>13328241.4</v>
      </c>
      <c r="BW32" s="1501">
        <f t="shared" si="33"/>
        <v>13328241.4</v>
      </c>
      <c r="CB32" s="1501"/>
      <c r="CC32" s="1501"/>
      <c r="CD32" s="1501"/>
      <c r="CE32" s="1501"/>
      <c r="CF32" s="916"/>
      <c r="CH32" s="1501">
        <v>11140717.9</v>
      </c>
      <c r="CI32" s="1501">
        <v>6567638.2400000002</v>
      </c>
      <c r="CJ32" s="1501">
        <f t="shared" si="34"/>
        <v>4573079.66</v>
      </c>
      <c r="CK32" s="1501">
        <v>8755161.7400000002</v>
      </c>
      <c r="CL32" s="916">
        <f t="shared" si="35"/>
        <v>13328241.4</v>
      </c>
    </row>
    <row r="33" spans="1:90" ht="14.5">
      <c r="A33" s="1990"/>
      <c r="B33" s="1989"/>
      <c r="C33" s="1989"/>
      <c r="D33" s="1995"/>
      <c r="P33" s="1987">
        <f t="shared" si="15"/>
        <v>0</v>
      </c>
      <c r="U33" s="2027" t="s">
        <v>1607</v>
      </c>
      <c r="V33" s="2034" t="s">
        <v>1606</v>
      </c>
      <c r="W33" s="2027" t="s">
        <v>1605</v>
      </c>
      <c r="X33" s="1975"/>
      <c r="Y33" s="1975"/>
      <c r="Z33" s="1975"/>
      <c r="AF33" s="2062">
        <v>44774</v>
      </c>
      <c r="AG33" s="1501">
        <v>-152583.63</v>
      </c>
      <c r="AH33" s="1501"/>
      <c r="AI33" s="1501">
        <v>74551.740000000005</v>
      </c>
      <c r="AJ33" s="1501">
        <v>-75824.350000000006</v>
      </c>
      <c r="AK33" s="1501"/>
      <c r="AL33" s="2061">
        <f t="shared" si="25"/>
        <v>-153856.24</v>
      </c>
      <c r="AM33" s="2060">
        <v>0.95628183088298646</v>
      </c>
      <c r="AN33" s="1457">
        <f t="shared" si="26"/>
        <v>147129.92687997216</v>
      </c>
      <c r="AP33" s="916">
        <f t="shared" si="27"/>
        <v>-147129.92687997216</v>
      </c>
      <c r="AQ33" s="916"/>
      <c r="AR33" s="916"/>
      <c r="AS33" s="916"/>
      <c r="AT33" s="916"/>
      <c r="AU33" s="916"/>
      <c r="BA33" s="2062">
        <v>44774</v>
      </c>
      <c r="BB33" s="1501">
        <v>-9497.8700000000008</v>
      </c>
      <c r="BC33" s="1501"/>
      <c r="BD33" s="1501">
        <v>3620.1</v>
      </c>
      <c r="BE33" s="1501">
        <v>-3356.16</v>
      </c>
      <c r="BF33" s="1501"/>
      <c r="BG33" s="2061">
        <f t="shared" si="28"/>
        <v>-9233.93</v>
      </c>
      <c r="BH33" s="2060">
        <v>0.95628183088298646</v>
      </c>
      <c r="BI33" s="1457">
        <f t="shared" si="29"/>
        <v>8830.239486645336</v>
      </c>
      <c r="BK33" s="916">
        <f t="shared" si="30"/>
        <v>-8830.239486645336</v>
      </c>
      <c r="BL33" s="916"/>
      <c r="BS33" s="2049" t="s">
        <v>1584</v>
      </c>
      <c r="BT33" s="477" t="s">
        <v>1581</v>
      </c>
      <c r="BU33" s="1501">
        <f t="shared" si="31"/>
        <v>0</v>
      </c>
      <c r="BV33" s="1501">
        <f t="shared" si="32"/>
        <v>2245.8600000001024</v>
      </c>
      <c r="BW33" s="1501">
        <f t="shared" si="33"/>
        <v>2245.8600000001024</v>
      </c>
      <c r="CB33" s="1501"/>
      <c r="CC33" s="1501"/>
      <c r="CD33" s="1501"/>
      <c r="CE33" s="1501"/>
      <c r="CF33" s="916"/>
      <c r="CH33" s="1501">
        <v>488020.39</v>
      </c>
      <c r="CI33" s="1501">
        <v>-798117.36</v>
      </c>
      <c r="CJ33" s="1501">
        <f t="shared" si="34"/>
        <v>1286137.75</v>
      </c>
      <c r="CK33" s="1501">
        <v>-1283891.8899999999</v>
      </c>
      <c r="CL33" s="916">
        <f t="shared" si="35"/>
        <v>2245.8600000001024</v>
      </c>
    </row>
    <row r="34" spans="1:90" ht="14.5">
      <c r="A34" s="1990">
        <v>17</v>
      </c>
      <c r="B34" s="1989" t="s">
        <v>47</v>
      </c>
      <c r="C34" s="1989"/>
      <c r="D34" s="1994">
        <v>4.9508674374747468E-3</v>
      </c>
      <c r="E34" s="1976">
        <f>E$10*$D34</f>
        <v>469904.61158144363</v>
      </c>
      <c r="G34" s="1992">
        <f>E34+F34</f>
        <v>469904.61158144363</v>
      </c>
      <c r="H34" s="1976">
        <f>H$10*$D34</f>
        <v>92398.291156666863</v>
      </c>
      <c r="I34" s="1976">
        <f>I$10*$D34</f>
        <v>33768.839386710584</v>
      </c>
      <c r="J34" s="1976">
        <f>D34*J10</f>
        <v>-43970.247743002074</v>
      </c>
      <c r="K34" s="1976">
        <f>D34*K10</f>
        <v>-253.21642234431656</v>
      </c>
      <c r="L34" s="1976">
        <f>D34*L10</f>
        <v>-19348.41294776517</v>
      </c>
      <c r="M34" s="1976">
        <f>M$10*$D34</f>
        <v>69272.699624743283</v>
      </c>
      <c r="N34" s="1976">
        <f>N$10*$D34</f>
        <v>193.62842547963734</v>
      </c>
      <c r="O34" s="1987"/>
      <c r="P34" s="1987">
        <f t="shared" si="15"/>
        <v>132061.58148048882</v>
      </c>
      <c r="Q34" s="1986">
        <f>ROUND(-P34/1000,0)</f>
        <v>-132</v>
      </c>
      <c r="U34" s="1975"/>
      <c r="V34" s="1975"/>
      <c r="W34" s="1975"/>
      <c r="X34" s="1975"/>
      <c r="Y34" s="1975"/>
      <c r="Z34" s="1975"/>
      <c r="AF34" s="2062">
        <v>44805</v>
      </c>
      <c r="AG34" s="1501">
        <v>-138235.01999999999</v>
      </c>
      <c r="AH34" s="1501"/>
      <c r="AI34" s="1501">
        <v>75824.350000000006</v>
      </c>
      <c r="AJ34" s="1501">
        <v>-53356.56</v>
      </c>
      <c r="AK34" s="1501"/>
      <c r="AL34" s="2061">
        <f t="shared" si="25"/>
        <v>-115767.22999999998</v>
      </c>
      <c r="AM34" s="2060">
        <v>0.95628183088298646</v>
      </c>
      <c r="AN34" s="1457">
        <f t="shared" si="26"/>
        <v>110706.09866065178</v>
      </c>
      <c r="AP34" s="916">
        <f t="shared" si="27"/>
        <v>-110706.09866065178</v>
      </c>
      <c r="AQ34" s="916"/>
      <c r="AR34" s="916"/>
      <c r="AS34" s="916"/>
      <c r="AT34" s="916"/>
      <c r="AU34" s="916"/>
      <c r="BA34" s="2062">
        <v>44805</v>
      </c>
      <c r="BB34" s="1501">
        <v>-10091.86</v>
      </c>
      <c r="BC34" s="1501"/>
      <c r="BD34" s="1501">
        <v>3356.16</v>
      </c>
      <c r="BE34" s="1501">
        <v>-4912.28</v>
      </c>
      <c r="BF34" s="1501"/>
      <c r="BG34" s="2061">
        <f t="shared" si="28"/>
        <v>-11647.98</v>
      </c>
      <c r="BH34" s="2060">
        <v>0.95628183088298646</v>
      </c>
      <c r="BI34" s="1457">
        <f t="shared" si="29"/>
        <v>11138.751640488408</v>
      </c>
      <c r="BK34" s="916">
        <f t="shared" si="30"/>
        <v>-11138.751640488408</v>
      </c>
      <c r="BL34" s="916"/>
      <c r="BS34" s="2045">
        <v>495311</v>
      </c>
      <c r="BT34" s="477" t="s">
        <v>1628</v>
      </c>
      <c r="BU34" s="1501">
        <f t="shared" si="31"/>
        <v>0</v>
      </c>
      <c r="BV34" s="1501">
        <f t="shared" si="32"/>
        <v>0</v>
      </c>
      <c r="BW34" s="1501">
        <f t="shared" si="33"/>
        <v>0</v>
      </c>
      <c r="CB34" s="1501"/>
      <c r="CC34" s="1501"/>
      <c r="CD34" s="1501"/>
      <c r="CE34" s="1501"/>
      <c r="CF34" s="916"/>
      <c r="CH34" s="1501">
        <v>-1022805.86</v>
      </c>
      <c r="CI34" s="1501">
        <v>-1022805.86</v>
      </c>
      <c r="CJ34" s="1501">
        <f t="shared" si="34"/>
        <v>0</v>
      </c>
      <c r="CK34" s="1501">
        <v>0</v>
      </c>
      <c r="CL34" s="916">
        <f t="shared" si="35"/>
        <v>0</v>
      </c>
    </row>
    <row r="35" spans="1:90" ht="14.5">
      <c r="A35" s="1990">
        <v>18</v>
      </c>
      <c r="B35" s="1989" t="s">
        <v>48</v>
      </c>
      <c r="C35" s="1989"/>
      <c r="D35" s="1995"/>
      <c r="G35" s="1992">
        <f>E35+F35</f>
        <v>0</v>
      </c>
      <c r="M35" s="1993">
        <f>'G-2.11 EAS'!W12+'G-2.11 EAS'!W13</f>
        <v>13330487.26</v>
      </c>
      <c r="N35" s="1993"/>
      <c r="O35" s="1987"/>
      <c r="P35" s="1987">
        <f t="shared" si="15"/>
        <v>13330487.26</v>
      </c>
      <c r="Q35" s="1986">
        <f>ROUND(-P35/1000,0)</f>
        <v>-13330</v>
      </c>
      <c r="U35" s="2033"/>
      <c r="V35" s="2032"/>
      <c r="W35" s="2031" t="s">
        <v>1555</v>
      </c>
      <c r="X35" s="1975"/>
      <c r="Y35" s="1975"/>
      <c r="Z35" s="1975"/>
      <c r="AF35" s="2062">
        <v>44835</v>
      </c>
      <c r="AG35" s="1501">
        <v>-263797.01</v>
      </c>
      <c r="AH35" s="1501"/>
      <c r="AI35" s="1501">
        <v>53356.56</v>
      </c>
      <c r="AJ35" s="1501">
        <v>0</v>
      </c>
      <c r="AK35" s="1501"/>
      <c r="AL35" s="2061">
        <f t="shared" si="25"/>
        <v>-210440.45</v>
      </c>
      <c r="AM35" s="2060">
        <v>0.95628183088298646</v>
      </c>
      <c r="AN35" s="1457">
        <f t="shared" si="26"/>
        <v>201240.37881783958</v>
      </c>
      <c r="AP35" s="916">
        <f t="shared" si="27"/>
        <v>-201240.37881783958</v>
      </c>
      <c r="AQ35" s="477" t="s">
        <v>1648</v>
      </c>
      <c r="BA35" s="2062">
        <v>44835</v>
      </c>
      <c r="BB35" s="1501">
        <v>-24915.37</v>
      </c>
      <c r="BC35" s="1501"/>
      <c r="BD35" s="1501">
        <v>4912.28</v>
      </c>
      <c r="BE35" s="1501">
        <v>0</v>
      </c>
      <c r="BF35" s="1501"/>
      <c r="BG35" s="2061">
        <f t="shared" si="28"/>
        <v>-20003.09</v>
      </c>
      <c r="BH35" s="2060">
        <v>0.95628183088298646</v>
      </c>
      <c r="BI35" s="1457">
        <f t="shared" si="29"/>
        <v>19128.591528517158</v>
      </c>
      <c r="BK35" s="916">
        <f t="shared" si="30"/>
        <v>-19128.591528517158</v>
      </c>
      <c r="BL35" s="477" t="s">
        <v>1648</v>
      </c>
      <c r="BS35" s="2045">
        <v>495329</v>
      </c>
      <c r="BT35" s="477" t="s">
        <v>1626</v>
      </c>
      <c r="BU35" s="1501">
        <f t="shared" si="31"/>
        <v>0</v>
      </c>
      <c r="BV35" s="1501">
        <f t="shared" si="32"/>
        <v>4884734.74</v>
      </c>
      <c r="BW35" s="1501">
        <f t="shared" si="33"/>
        <v>4884734.74</v>
      </c>
      <c r="CB35" s="1501"/>
      <c r="CC35" s="1501"/>
      <c r="CD35" s="1501"/>
      <c r="CE35" s="1501"/>
      <c r="CF35" s="916"/>
      <c r="CH35" s="1501">
        <v>2782530.92</v>
      </c>
      <c r="CI35" s="1501">
        <v>724559.16</v>
      </c>
      <c r="CJ35" s="1501">
        <f t="shared" si="34"/>
        <v>2057971.7599999998</v>
      </c>
      <c r="CK35" s="1501">
        <v>2826762.98</v>
      </c>
      <c r="CL35" s="916">
        <f t="shared" si="35"/>
        <v>4884734.74</v>
      </c>
    </row>
    <row r="36" spans="1:90" ht="14.5">
      <c r="A36" s="1990">
        <v>19</v>
      </c>
      <c r="B36" s="1989" t="s">
        <v>49</v>
      </c>
      <c r="C36" s="1989"/>
      <c r="D36" s="1995"/>
      <c r="G36" s="1992">
        <f>E36+F36</f>
        <v>0</v>
      </c>
      <c r="O36" s="1987"/>
      <c r="P36" s="1987">
        <f t="shared" si="15"/>
        <v>0</v>
      </c>
      <c r="U36" s="2030"/>
      <c r="V36" s="2027" t="s">
        <v>1046</v>
      </c>
      <c r="W36" s="2029" t="s">
        <v>1045</v>
      </c>
      <c r="X36" s="1975"/>
      <c r="Y36" s="1975"/>
      <c r="Z36" s="1975"/>
      <c r="AF36" s="2062">
        <v>44866</v>
      </c>
      <c r="AG36" s="1501">
        <v>0</v>
      </c>
      <c r="AH36" s="1501"/>
      <c r="AI36" s="1501">
        <v>0</v>
      </c>
      <c r="AJ36" s="1501">
        <v>0</v>
      </c>
      <c r="AK36" s="1501"/>
      <c r="AL36" s="2061">
        <f t="shared" si="25"/>
        <v>0</v>
      </c>
      <c r="AM36" s="2060">
        <v>0.95628183088298646</v>
      </c>
      <c r="AN36" s="1457">
        <f t="shared" si="26"/>
        <v>0</v>
      </c>
      <c r="AP36" s="916">
        <f t="shared" si="27"/>
        <v>0</v>
      </c>
      <c r="BA36" s="2062">
        <v>44866</v>
      </c>
      <c r="BB36" s="1501">
        <v>0</v>
      </c>
      <c r="BC36" s="1501"/>
      <c r="BD36" s="1501">
        <v>0</v>
      </c>
      <c r="BE36" s="1501">
        <v>0</v>
      </c>
      <c r="BF36" s="1501"/>
      <c r="BG36" s="2061">
        <f t="shared" si="28"/>
        <v>0</v>
      </c>
      <c r="BH36" s="2060">
        <v>0.95628183088298646</v>
      </c>
      <c r="BI36" s="1457">
        <f t="shared" si="29"/>
        <v>0</v>
      </c>
      <c r="BK36" s="916">
        <f t="shared" si="30"/>
        <v>0</v>
      </c>
      <c r="BS36" s="2045">
        <v>495339</v>
      </c>
      <c r="BT36" s="477" t="s">
        <v>1624</v>
      </c>
      <c r="BU36" s="2064">
        <f t="shared" si="31"/>
        <v>0</v>
      </c>
      <c r="BV36" s="2064">
        <f t="shared" si="32"/>
        <v>1613569.58</v>
      </c>
      <c r="BW36" s="2064">
        <f t="shared" si="33"/>
        <v>1613569.58</v>
      </c>
      <c r="CB36" s="1501"/>
      <c r="CC36" s="1501"/>
      <c r="CD36" s="1501"/>
      <c r="CE36" s="1501"/>
      <c r="CF36" s="916"/>
      <c r="CH36" s="1501">
        <v>940704.24</v>
      </c>
      <c r="CI36" s="1501">
        <v>273983.03000000003</v>
      </c>
      <c r="CJ36" s="1501">
        <f t="shared" si="34"/>
        <v>666721.21</v>
      </c>
      <c r="CK36" s="1501">
        <v>946848.37</v>
      </c>
      <c r="CL36" s="916">
        <f t="shared" si="35"/>
        <v>1613569.58</v>
      </c>
    </row>
    <row r="37" spans="1:90" ht="14.5">
      <c r="A37" s="1990"/>
      <c r="B37" s="1989"/>
      <c r="C37" s="1989"/>
      <c r="D37" s="1995"/>
      <c r="P37" s="1987">
        <f t="shared" si="15"/>
        <v>0</v>
      </c>
      <c r="U37" s="2027" t="s">
        <v>1604</v>
      </c>
      <c r="V37" s="2028"/>
      <c r="W37" s="2028"/>
      <c r="X37" s="1975"/>
      <c r="Y37" s="1975"/>
      <c r="Z37" s="1975"/>
      <c r="AF37" s="2059">
        <v>44896</v>
      </c>
      <c r="AG37" s="1501">
        <v>0</v>
      </c>
      <c r="AH37" s="1501"/>
      <c r="AI37" s="1501">
        <v>0</v>
      </c>
      <c r="AJ37" s="1501">
        <v>0</v>
      </c>
      <c r="AK37" s="1501"/>
      <c r="AL37" s="2058">
        <f t="shared" si="25"/>
        <v>0</v>
      </c>
      <c r="AM37" s="2057">
        <v>0.95628183088298646</v>
      </c>
      <c r="AN37" s="2056">
        <f t="shared" si="26"/>
        <v>0</v>
      </c>
      <c r="AP37" s="916">
        <f t="shared" si="27"/>
        <v>0</v>
      </c>
      <c r="BA37" s="2059">
        <v>44896</v>
      </c>
      <c r="BB37" s="2058">
        <v>0</v>
      </c>
      <c r="BC37" s="2058"/>
      <c r="BD37" s="2058">
        <v>0</v>
      </c>
      <c r="BE37" s="2058">
        <v>0</v>
      </c>
      <c r="BF37" s="2058"/>
      <c r="BG37" s="2058">
        <f t="shared" si="28"/>
        <v>0</v>
      </c>
      <c r="BH37" s="2057">
        <v>0.95628183088298646</v>
      </c>
      <c r="BI37" s="2056">
        <f t="shared" si="29"/>
        <v>0</v>
      </c>
      <c r="BK37" s="916">
        <f t="shared" si="30"/>
        <v>0</v>
      </c>
      <c r="BU37" s="916">
        <f>SUM(BU28:BU36)</f>
        <v>0</v>
      </c>
      <c r="BV37" s="916">
        <f>SUM(BV28:BV36)</f>
        <v>27572182.919999994</v>
      </c>
      <c r="BW37" s="916">
        <f>SUM(BW28:BW36)</f>
        <v>27572182.919999994</v>
      </c>
    </row>
    <row r="38" spans="1:90">
      <c r="A38" s="1990"/>
      <c r="B38" s="1989" t="s">
        <v>50</v>
      </c>
      <c r="C38" s="1989"/>
      <c r="D38" s="1995"/>
      <c r="P38" s="1987">
        <f t="shared" si="15"/>
        <v>0</v>
      </c>
      <c r="U38" s="2027">
        <v>195</v>
      </c>
      <c r="V38" s="2028"/>
      <c r="W38" s="2023">
        <v>39110</v>
      </c>
      <c r="X38" s="1975"/>
      <c r="Y38" s="1975"/>
      <c r="Z38" s="1975"/>
      <c r="BU38" s="916"/>
      <c r="BV38" s="916"/>
      <c r="BW38" s="916"/>
    </row>
    <row r="39" spans="1:90">
      <c r="A39" s="1990">
        <v>20</v>
      </c>
      <c r="B39" s="1989"/>
      <c r="C39" s="1989" t="s">
        <v>42</v>
      </c>
      <c r="D39" s="1994">
        <v>4.0000000000000001E-3</v>
      </c>
      <c r="E39" s="1976">
        <f>E$10*$D39</f>
        <v>379654.36765652889</v>
      </c>
      <c r="G39" s="1992">
        <f>E39+F39</f>
        <v>379654.36765652889</v>
      </c>
      <c r="H39" s="1976">
        <f>H$10*$D39</f>
        <v>74652.203738903423</v>
      </c>
      <c r="I39" s="1976">
        <f>I$10*$D39</f>
        <v>27283.169919762437</v>
      </c>
      <c r="J39" s="1976">
        <f>D39*J10</f>
        <v>-35525.287880000003</v>
      </c>
      <c r="K39" s="1976">
        <f>D39*K10</f>
        <v>-204.58348000000001</v>
      </c>
      <c r="L39" s="1976">
        <f>D39*L10</f>
        <v>-15632.341759999999</v>
      </c>
      <c r="M39" s="1976">
        <f>M$10*$D39</f>
        <v>55968.131241321797</v>
      </c>
      <c r="N39" s="1976">
        <f>N$10*$D39</f>
        <v>156.44</v>
      </c>
      <c r="O39" s="1987"/>
      <c r="P39" s="1987">
        <f t="shared" si="15"/>
        <v>106697.73177998766</v>
      </c>
      <c r="Q39" s="1986">
        <f>ROUND(-P39/1000,0)</f>
        <v>-107</v>
      </c>
      <c r="U39" s="2027"/>
      <c r="V39" s="2026"/>
      <c r="W39" s="2023"/>
      <c r="X39" s="1975"/>
      <c r="Y39" s="1975"/>
      <c r="Z39" s="1975"/>
      <c r="AG39" s="2055">
        <f t="shared" ref="AG39:AL39" si="37">SUM(AG26:AG38)</f>
        <v>-675526.04</v>
      </c>
      <c r="AH39" s="2055">
        <f t="shared" si="37"/>
        <v>0</v>
      </c>
      <c r="AI39" s="2055">
        <f t="shared" si="37"/>
        <v>260845.73</v>
      </c>
      <c r="AJ39" s="2055">
        <f t="shared" si="37"/>
        <v>-203732.65000000002</v>
      </c>
      <c r="AK39" s="2055">
        <f t="shared" si="37"/>
        <v>0</v>
      </c>
      <c r="AL39" s="2055">
        <f t="shared" si="37"/>
        <v>-618412.96</v>
      </c>
      <c r="AM39" s="2055"/>
      <c r="AN39" s="2055">
        <f>SUM(AN26:AN38)</f>
        <v>591377.07763056702</v>
      </c>
      <c r="AP39" s="916">
        <f>SUM(AP26:AP38)</f>
        <v>-591377.07763056702</v>
      </c>
      <c r="BB39" s="2055">
        <f t="shared" ref="BB39:BG39" si="38">SUM(BB26:BB38)</f>
        <v>-56598.8</v>
      </c>
      <c r="BC39" s="2055">
        <f t="shared" si="38"/>
        <v>0</v>
      </c>
      <c r="BD39" s="2055">
        <f t="shared" si="38"/>
        <v>17341.47</v>
      </c>
      <c r="BE39" s="2055">
        <f t="shared" si="38"/>
        <v>-11888.54</v>
      </c>
      <c r="BF39" s="2055">
        <f t="shared" si="38"/>
        <v>0</v>
      </c>
      <c r="BG39" s="2055">
        <f t="shared" si="38"/>
        <v>-51145.87</v>
      </c>
      <c r="BH39" s="2055"/>
      <c r="BI39" s="2055">
        <f>SUM(BI26:BI38)</f>
        <v>48909.866205703212</v>
      </c>
      <c r="BK39" s="916">
        <f>SUM(BK26:BK38)</f>
        <v>-48909.866205703212</v>
      </c>
      <c r="BS39" s="2049" t="s">
        <v>1689</v>
      </c>
      <c r="BT39" s="477" t="s">
        <v>1688</v>
      </c>
      <c r="BU39" s="1501">
        <f t="shared" ref="BU39:BU53" si="39">CF39</f>
        <v>291371.02</v>
      </c>
      <c r="BV39" s="1501">
        <f t="shared" ref="BV39:BV53" si="40">CL39</f>
        <v>0</v>
      </c>
      <c r="BW39" s="1501">
        <f t="shared" ref="BW39:BW53" si="41">SUM(BU39:BV39)</f>
        <v>291371.02</v>
      </c>
      <c r="CB39" s="1501">
        <v>316947.44</v>
      </c>
      <c r="CC39" s="1501">
        <v>171684.37</v>
      </c>
      <c r="CD39" s="1501">
        <f t="shared" ref="CD39:CD53" si="42">CB39-CC39</f>
        <v>145263.07</v>
      </c>
      <c r="CE39" s="1501">
        <v>146107.95000000001</v>
      </c>
      <c r="CF39" s="916">
        <f t="shared" ref="CF39:CF53" si="43">CD39+CE39</f>
        <v>291371.02</v>
      </c>
    </row>
    <row r="40" spans="1:90">
      <c r="A40" s="1990">
        <v>21</v>
      </c>
      <c r="B40" s="1989"/>
      <c r="C40" s="1989" t="s">
        <v>188</v>
      </c>
      <c r="D40" s="1989"/>
      <c r="G40" s="1992">
        <f>E40+F40</f>
        <v>0</v>
      </c>
      <c r="O40" s="1987"/>
      <c r="P40" s="1987">
        <f t="shared" si="15"/>
        <v>0</v>
      </c>
      <c r="U40" s="2027"/>
      <c r="V40" s="2026"/>
      <c r="W40" s="2023"/>
      <c r="X40" s="1975"/>
      <c r="Y40" s="1975"/>
      <c r="Z40" s="1975"/>
      <c r="BS40" s="2049">
        <v>407344</v>
      </c>
      <c r="BT40" s="477" t="s">
        <v>1687</v>
      </c>
      <c r="BU40" s="1501">
        <f t="shared" si="39"/>
        <v>3085215.98</v>
      </c>
      <c r="BV40" s="1501">
        <f t="shared" si="40"/>
        <v>0</v>
      </c>
      <c r="BW40" s="1501">
        <f t="shared" si="41"/>
        <v>3085215.98</v>
      </c>
      <c r="CB40" s="1501">
        <v>742825.71</v>
      </c>
      <c r="CC40" s="1501">
        <v>0</v>
      </c>
      <c r="CD40" s="1501">
        <f t="shared" si="42"/>
        <v>742825.71</v>
      </c>
      <c r="CE40" s="1501">
        <v>2342390.27</v>
      </c>
      <c r="CF40" s="916">
        <f t="shared" si="43"/>
        <v>3085215.98</v>
      </c>
    </row>
    <row r="41" spans="1:90">
      <c r="A41" s="1990">
        <v>22</v>
      </c>
      <c r="B41" s="1989"/>
      <c r="C41" s="1989" t="s">
        <v>370</v>
      </c>
      <c r="D41" s="1989"/>
      <c r="G41" s="1992">
        <f>E41+F41</f>
        <v>0</v>
      </c>
      <c r="J41" s="1993">
        <v>0</v>
      </c>
      <c r="K41" s="1993">
        <f>'G-2.11 EAS'!W9</f>
        <v>-48909.859999999986</v>
      </c>
      <c r="L41" s="1993">
        <f>'G-2.11 EAS'!X9</f>
        <v>0</v>
      </c>
      <c r="N41" s="1976">
        <f>'G-2.11 EAS'!W8</f>
        <v>48373.54</v>
      </c>
      <c r="O41" s="1987"/>
      <c r="P41" s="1987">
        <f t="shared" si="15"/>
        <v>-536.31999999998516</v>
      </c>
      <c r="Q41" s="1986">
        <f>ROUND(-P41/1000,0)</f>
        <v>1</v>
      </c>
      <c r="U41" s="2025" t="s">
        <v>1603</v>
      </c>
      <c r="V41" s="2024"/>
      <c r="W41" s="2023">
        <f>SUM(W38:W40)</f>
        <v>39110</v>
      </c>
      <c r="X41" s="1975"/>
      <c r="Y41" s="1975"/>
      <c r="Z41" s="1975"/>
      <c r="BS41" s="2049">
        <v>407419</v>
      </c>
      <c r="BT41" s="477" t="s">
        <v>1639</v>
      </c>
      <c r="BU41" s="1501">
        <f t="shared" si="39"/>
        <v>-591245.18999999994</v>
      </c>
      <c r="BV41" s="1501">
        <f t="shared" si="40"/>
        <v>0</v>
      </c>
      <c r="BW41" s="1501">
        <f t="shared" si="41"/>
        <v>-591245.18999999994</v>
      </c>
      <c r="CB41" s="1501">
        <v>-1374325.96</v>
      </c>
      <c r="CC41" s="1501">
        <v>-783080.77</v>
      </c>
      <c r="CD41" s="1501">
        <f t="shared" si="42"/>
        <v>-591245.18999999994</v>
      </c>
      <c r="CE41" s="1501">
        <v>0</v>
      </c>
      <c r="CF41" s="916">
        <f t="shared" si="43"/>
        <v>-591245.18999999994</v>
      </c>
    </row>
    <row r="42" spans="1:90">
      <c r="A42" s="1990">
        <v>23</v>
      </c>
      <c r="B42" s="1989"/>
      <c r="C42" s="1989" t="s">
        <v>20</v>
      </c>
      <c r="D42" s="1989"/>
      <c r="G42" s="1992">
        <f>E42+F42</f>
        <v>0</v>
      </c>
      <c r="O42" s="1987"/>
      <c r="P42" s="1991">
        <f t="shared" si="15"/>
        <v>0</v>
      </c>
      <c r="U42" s="2022"/>
      <c r="V42" s="1975"/>
      <c r="W42" s="2021"/>
      <c r="X42" s="1975"/>
      <c r="Y42" s="1975"/>
      <c r="Z42" s="1975"/>
      <c r="BE42" s="916"/>
      <c r="BS42" s="2049" t="s">
        <v>1686</v>
      </c>
      <c r="BT42" s="477" t="s">
        <v>1685</v>
      </c>
      <c r="BU42" s="1501">
        <f t="shared" si="39"/>
        <v>-11243705.34</v>
      </c>
      <c r="BV42" s="1501">
        <f t="shared" si="40"/>
        <v>0</v>
      </c>
      <c r="BW42" s="1501">
        <f t="shared" si="41"/>
        <v>-11243705.34</v>
      </c>
      <c r="CB42" s="1501">
        <v>-10965563.93</v>
      </c>
      <c r="CC42" s="1501">
        <v>-5630715.3700000001</v>
      </c>
      <c r="CD42" s="1501">
        <f t="shared" si="42"/>
        <v>-5334848.5599999996</v>
      </c>
      <c r="CE42" s="1501">
        <v>-5908856.7800000003</v>
      </c>
      <c r="CF42" s="916">
        <f t="shared" si="43"/>
        <v>-11243705.34</v>
      </c>
    </row>
    <row r="43" spans="1:90">
      <c r="A43" s="1990">
        <v>24</v>
      </c>
      <c r="B43" s="1989" t="s">
        <v>51</v>
      </c>
      <c r="C43" s="1989"/>
      <c r="D43" s="1989"/>
      <c r="E43" s="1988">
        <f t="shared" ref="E43:O43" si="44">SUM(E39:E42)</f>
        <v>379654.36765652889</v>
      </c>
      <c r="F43" s="1988">
        <f t="shared" si="44"/>
        <v>0</v>
      </c>
      <c r="G43" s="1988">
        <f t="shared" si="44"/>
        <v>379654.36765652889</v>
      </c>
      <c r="H43" s="1988">
        <f t="shared" si="44"/>
        <v>74652.203738903423</v>
      </c>
      <c r="I43" s="1988">
        <f t="shared" si="44"/>
        <v>27283.169919762437</v>
      </c>
      <c r="J43" s="1988">
        <f t="shared" si="44"/>
        <v>-35525.287880000003</v>
      </c>
      <c r="K43" s="1988">
        <f t="shared" si="44"/>
        <v>-49114.443479999987</v>
      </c>
      <c r="L43" s="1988">
        <f t="shared" si="44"/>
        <v>-15632.341759999999</v>
      </c>
      <c r="M43" s="1988">
        <f t="shared" si="44"/>
        <v>55968.131241321797</v>
      </c>
      <c r="N43" s="1988">
        <f t="shared" si="44"/>
        <v>48529.98</v>
      </c>
      <c r="O43" s="1988">
        <f t="shared" si="44"/>
        <v>0</v>
      </c>
      <c r="P43" s="1987">
        <f t="shared" si="15"/>
        <v>106161.41177998768</v>
      </c>
      <c r="Q43" s="1988">
        <f>SUM(Q39:Q42)</f>
        <v>-106</v>
      </c>
      <c r="U43" s="2022"/>
      <c r="V43" s="1975"/>
      <c r="W43" s="2021"/>
      <c r="X43" s="1975"/>
      <c r="Y43" s="1975"/>
      <c r="Z43" s="1975"/>
      <c r="BE43" s="916"/>
      <c r="BS43" s="2049" t="s">
        <v>1684</v>
      </c>
      <c r="BT43" s="477" t="s">
        <v>1683</v>
      </c>
      <c r="BU43" s="1501">
        <f t="shared" si="39"/>
        <v>-86483.25</v>
      </c>
      <c r="BV43" s="1501">
        <f t="shared" si="40"/>
        <v>0</v>
      </c>
      <c r="BW43" s="1501">
        <f t="shared" si="41"/>
        <v>-86483.25</v>
      </c>
      <c r="CB43" s="1501">
        <v>-159773.82</v>
      </c>
      <c r="CC43" s="1501">
        <v>11367.25</v>
      </c>
      <c r="CD43" s="1501">
        <f t="shared" si="42"/>
        <v>-171141.07</v>
      </c>
      <c r="CE43" s="1501">
        <v>84657.82</v>
      </c>
      <c r="CF43" s="916">
        <f t="shared" si="43"/>
        <v>-86483.25</v>
      </c>
    </row>
    <row r="44" spans="1:90">
      <c r="A44" s="1985">
        <v>25</v>
      </c>
      <c r="B44" s="1984" t="s">
        <v>52</v>
      </c>
      <c r="C44" s="1984"/>
      <c r="E44" s="1976">
        <f t="shared" ref="E44:O44" si="45">E20+E26+E32+E34+E35+E36+E43</f>
        <v>135316267.91413224</v>
      </c>
      <c r="F44" s="1976">
        <f t="shared" si="45"/>
        <v>-40402676</v>
      </c>
      <c r="G44" s="1976">
        <f t="shared" si="45"/>
        <v>94913591.914132223</v>
      </c>
      <c r="H44" s="1976">
        <f t="shared" si="45"/>
        <v>18663050.934725855</v>
      </c>
      <c r="I44" s="1976">
        <f t="shared" si="45"/>
        <v>322488.15994060913</v>
      </c>
      <c r="J44" s="1976">
        <f t="shared" si="45"/>
        <v>-419910.32396434166</v>
      </c>
      <c r="K44" s="1976">
        <f t="shared" si="45"/>
        <v>-51328.044918155603</v>
      </c>
      <c r="L44" s="1976">
        <f t="shared" si="45"/>
        <v>-184774.90498981724</v>
      </c>
      <c r="M44" s="1976">
        <f t="shared" si="45"/>
        <v>13992032.810330449</v>
      </c>
      <c r="N44" s="1976">
        <f t="shared" si="45"/>
        <v>48723.608425479637</v>
      </c>
      <c r="O44" s="1976">
        <f t="shared" si="45"/>
        <v>0</v>
      </c>
      <c r="P44" s="1987">
        <f t="shared" si="15"/>
        <v>32370282.239550073</v>
      </c>
      <c r="Q44" s="1976">
        <f>Q20+Q26+Q32+Q34+Q35+Q36+Q43</f>
        <v>-72773</v>
      </c>
      <c r="V44" s="477" t="s">
        <v>1602</v>
      </c>
      <c r="W44" s="2019">
        <f>'G-2.11 EAS'!BB17+'G-2.11 EAS'!BB39</f>
        <v>-8943493.2300000004</v>
      </c>
      <c r="Y44" s="477" t="s">
        <v>1595</v>
      </c>
      <c r="BS44" s="2049" t="s">
        <v>1682</v>
      </c>
      <c r="BT44" s="477" t="s">
        <v>1681</v>
      </c>
      <c r="BU44" s="1501">
        <f t="shared" si="39"/>
        <v>84158.150000000023</v>
      </c>
      <c r="BV44" s="1501">
        <f t="shared" si="40"/>
        <v>0</v>
      </c>
      <c r="BW44" s="1501">
        <f t="shared" si="41"/>
        <v>84158.150000000023</v>
      </c>
      <c r="CB44" s="1501">
        <v>-84905.2</v>
      </c>
      <c r="CC44" s="1501">
        <v>258583.85</v>
      </c>
      <c r="CD44" s="1501">
        <f t="shared" si="42"/>
        <v>-343489.05</v>
      </c>
      <c r="CE44" s="1501">
        <v>427647.2</v>
      </c>
      <c r="CF44" s="916">
        <f t="shared" si="43"/>
        <v>84158.150000000023</v>
      </c>
    </row>
    <row r="45" spans="1:90">
      <c r="A45" s="1985"/>
      <c r="B45" s="1984"/>
      <c r="C45" s="1984"/>
      <c r="O45" s="1976"/>
      <c r="P45" s="1987">
        <f t="shared" si="15"/>
        <v>0</v>
      </c>
      <c r="Q45" s="1976"/>
      <c r="V45" s="477" t="s">
        <v>1601</v>
      </c>
      <c r="W45" s="2019">
        <f>'G-2.11 EAS'!BD10</f>
        <v>85429.31</v>
      </c>
      <c r="Y45" s="477" t="s">
        <v>1593</v>
      </c>
      <c r="BS45" s="2049">
        <v>411193</v>
      </c>
      <c r="BT45" s="477" t="s">
        <v>1637</v>
      </c>
      <c r="BU45" s="1501">
        <f t="shared" si="39"/>
        <v>-19965280.190000001</v>
      </c>
      <c r="BV45" s="1501">
        <f t="shared" si="40"/>
        <v>0</v>
      </c>
      <c r="BW45" s="1501">
        <f t="shared" si="41"/>
        <v>-19965280.190000001</v>
      </c>
      <c r="CB45" s="1501">
        <v>-13881575.76</v>
      </c>
      <c r="CC45" s="1501">
        <v>-6441088.7999999998</v>
      </c>
      <c r="CD45" s="1501">
        <f t="shared" si="42"/>
        <v>-7440486.96</v>
      </c>
      <c r="CE45" s="1501">
        <v>-12524793.23</v>
      </c>
      <c r="CF45" s="916">
        <f t="shared" si="43"/>
        <v>-19965280.190000001</v>
      </c>
    </row>
    <row r="46" spans="1:90">
      <c r="A46" s="1985">
        <v>26</v>
      </c>
      <c r="B46" s="1984" t="s">
        <v>53</v>
      </c>
      <c r="C46" s="1984"/>
      <c r="E46" s="1976">
        <f t="shared" ref="E46:Q46" si="46">E13-E44</f>
        <v>0</v>
      </c>
      <c r="F46" s="1976">
        <f t="shared" si="46"/>
        <v>0</v>
      </c>
      <c r="G46" s="1976">
        <f t="shared" si="46"/>
        <v>0</v>
      </c>
      <c r="H46" s="1976">
        <f t="shared" si="46"/>
        <v>0</v>
      </c>
      <c r="I46" s="1976">
        <f t="shared" si="46"/>
        <v>0</v>
      </c>
      <c r="J46" s="1976">
        <f t="shared" si="46"/>
        <v>-8461411.6460356582</v>
      </c>
      <c r="K46" s="1976">
        <f t="shared" si="46"/>
        <v>182.17491815560061</v>
      </c>
      <c r="L46" s="1976">
        <f t="shared" si="46"/>
        <v>-3723310.5350101828</v>
      </c>
      <c r="M46" s="1976">
        <f t="shared" si="46"/>
        <v>0</v>
      </c>
      <c r="N46" s="1976">
        <f t="shared" si="46"/>
        <v>-9613.6084254796369</v>
      </c>
      <c r="O46" s="1976">
        <f t="shared" si="46"/>
        <v>0</v>
      </c>
      <c r="P46" s="1976">
        <f t="shared" si="46"/>
        <v>-12194153.614553161</v>
      </c>
      <c r="Q46" s="1976">
        <f t="shared" si="46"/>
        <v>12195</v>
      </c>
      <c r="V46" s="477" t="s">
        <v>1600</v>
      </c>
      <c r="W46" s="2019">
        <f>'G-2.11 EAS'!BD32</f>
        <v>5452.93</v>
      </c>
      <c r="Y46" s="477" t="s">
        <v>1597</v>
      </c>
      <c r="BS46" s="2049" t="s">
        <v>1680</v>
      </c>
      <c r="BT46" s="477" t="s">
        <v>1582</v>
      </c>
      <c r="BU46" s="1501">
        <f t="shared" si="39"/>
        <v>0</v>
      </c>
      <c r="BV46" s="1501">
        <f t="shared" si="40"/>
        <v>0</v>
      </c>
      <c r="BW46" s="1501">
        <f t="shared" si="41"/>
        <v>0</v>
      </c>
      <c r="CB46" s="1501">
        <v>730338</v>
      </c>
      <c r="CC46" s="1501">
        <v>730338</v>
      </c>
      <c r="CD46" s="1501">
        <f t="shared" si="42"/>
        <v>0</v>
      </c>
      <c r="CE46" s="1501">
        <v>0</v>
      </c>
      <c r="CF46" s="916">
        <f t="shared" si="43"/>
        <v>0</v>
      </c>
    </row>
    <row r="47" spans="1:90">
      <c r="A47" s="1985"/>
      <c r="B47" s="1984"/>
      <c r="C47" s="1984"/>
      <c r="O47" s="1976"/>
      <c r="P47" s="1976"/>
      <c r="Q47" s="1976"/>
      <c r="V47" s="477" t="s">
        <v>1599</v>
      </c>
      <c r="W47" s="2019">
        <f>'G-2.11 EAS'!BE9</f>
        <v>-79856.850000000006</v>
      </c>
      <c r="Y47" s="477" t="s">
        <v>1593</v>
      </c>
      <c r="BS47" s="2049" t="s">
        <v>1679</v>
      </c>
      <c r="BT47" s="477" t="s">
        <v>1678</v>
      </c>
      <c r="BU47" s="1501">
        <f t="shared" si="39"/>
        <v>0</v>
      </c>
      <c r="BV47" s="1501">
        <f t="shared" si="40"/>
        <v>0</v>
      </c>
      <c r="BW47" s="1501">
        <f t="shared" si="41"/>
        <v>0</v>
      </c>
      <c r="CB47" s="1501">
        <v>-5747222</v>
      </c>
      <c r="CC47" s="1501">
        <v>-5747222</v>
      </c>
      <c r="CD47" s="1501">
        <f t="shared" si="42"/>
        <v>0</v>
      </c>
      <c r="CE47" s="1501">
        <v>0</v>
      </c>
      <c r="CF47" s="916">
        <f t="shared" si="43"/>
        <v>0</v>
      </c>
    </row>
    <row r="48" spans="1:90">
      <c r="A48" s="1985"/>
      <c r="B48" s="1984"/>
      <c r="C48" s="1984" t="s">
        <v>1561</v>
      </c>
      <c r="E48" s="1976">
        <f t="shared" ref="E48:O48" si="47">E46*0.21</f>
        <v>0</v>
      </c>
      <c r="F48" s="1976">
        <f t="shared" si="47"/>
        <v>0</v>
      </c>
      <c r="G48" s="1976">
        <f t="shared" si="47"/>
        <v>0</v>
      </c>
      <c r="H48" s="1976">
        <f t="shared" si="47"/>
        <v>0</v>
      </c>
      <c r="I48" s="1976">
        <f t="shared" si="47"/>
        <v>0</v>
      </c>
      <c r="J48" s="1976">
        <f t="shared" si="47"/>
        <v>-1776896.4456674883</v>
      </c>
      <c r="K48" s="1976">
        <f t="shared" si="47"/>
        <v>38.256732812676127</v>
      </c>
      <c r="L48" s="1976">
        <f t="shared" si="47"/>
        <v>-781895.21235213836</v>
      </c>
      <c r="M48" s="1976">
        <f t="shared" si="47"/>
        <v>0</v>
      </c>
      <c r="N48" s="1976">
        <f t="shared" si="47"/>
        <v>-2018.8577693507236</v>
      </c>
      <c r="O48" s="1976">
        <f t="shared" si="47"/>
        <v>0</v>
      </c>
      <c r="P48" s="1987">
        <f>SUM(H48:O48)</f>
        <v>-2560772.2590561644</v>
      </c>
      <c r="Q48" s="1986">
        <f>ROUND(-P48/1000,0)</f>
        <v>2561</v>
      </c>
      <c r="V48" s="477" t="s">
        <v>1598</v>
      </c>
      <c r="W48" s="2019">
        <f>'G-2.11 EAS'!BE31</f>
        <v>0</v>
      </c>
      <c r="Y48" s="477" t="s">
        <v>1597</v>
      </c>
      <c r="BS48" s="2049" t="s">
        <v>1677</v>
      </c>
      <c r="BT48" s="477" t="s">
        <v>1676</v>
      </c>
      <c r="BU48" s="1501">
        <f t="shared" si="39"/>
        <v>-3425532.14</v>
      </c>
      <c r="BV48" s="1501">
        <f t="shared" si="40"/>
        <v>0</v>
      </c>
      <c r="BW48" s="1501">
        <f t="shared" si="41"/>
        <v>-3425532.14</v>
      </c>
      <c r="CB48" s="1501">
        <v>-2079906.84</v>
      </c>
      <c r="CC48" s="1501">
        <v>-430615.48</v>
      </c>
      <c r="CD48" s="1501">
        <f t="shared" si="42"/>
        <v>-1649291.36</v>
      </c>
      <c r="CE48" s="1501">
        <v>-1776240.78</v>
      </c>
      <c r="CF48" s="916">
        <f t="shared" si="43"/>
        <v>-3425532.14</v>
      </c>
    </row>
    <row r="49" spans="1:84">
      <c r="A49" s="1985"/>
      <c r="B49" s="1984"/>
      <c r="C49" s="1984" t="s">
        <v>1560</v>
      </c>
      <c r="J49" s="1976">
        <f>'G-2.11 EAS'!BK19+J61</f>
        <v>-6684515.2003681716</v>
      </c>
      <c r="K49" s="1976">
        <f>K61</f>
        <v>143.92308784847089</v>
      </c>
      <c r="L49" s="1976">
        <f>'G-2.11 EAS'!BN19+L61</f>
        <v>-2941415.3226580443</v>
      </c>
      <c r="O49" s="1976"/>
      <c r="P49" s="1987">
        <f>SUM(H49:O49)</f>
        <v>-9625786.5999383666</v>
      </c>
      <c r="Q49" s="1986">
        <f>ROUND(-P49/1000,0)</f>
        <v>9626</v>
      </c>
      <c r="V49" s="477" t="s">
        <v>1596</v>
      </c>
      <c r="W49" s="2019">
        <f>'G-2.11 EAS'!BC17</f>
        <v>-3848325.48</v>
      </c>
      <c r="Y49" s="477" t="s">
        <v>1595</v>
      </c>
      <c r="BS49" s="2049" t="s">
        <v>1632</v>
      </c>
      <c r="BT49" s="477" t="s">
        <v>1631</v>
      </c>
      <c r="BU49" s="1501">
        <f t="shared" si="39"/>
        <v>23225764.449999999</v>
      </c>
      <c r="BV49" s="1501">
        <f t="shared" si="40"/>
        <v>0</v>
      </c>
      <c r="BW49" s="1501">
        <f t="shared" si="41"/>
        <v>23225764.449999999</v>
      </c>
      <c r="CB49" s="1501">
        <v>22366837.989999998</v>
      </c>
      <c r="CC49" s="1501">
        <v>11109800.85</v>
      </c>
      <c r="CD49" s="1501">
        <f t="shared" si="42"/>
        <v>11257037.139999999</v>
      </c>
      <c r="CE49" s="1501">
        <v>11968727.310000001</v>
      </c>
      <c r="CF49" s="916">
        <f t="shared" si="43"/>
        <v>23225764.449999999</v>
      </c>
    </row>
    <row r="50" spans="1:84">
      <c r="A50" s="1985"/>
      <c r="B50" s="1984" t="s">
        <v>58</v>
      </c>
      <c r="C50" s="1984"/>
      <c r="E50" s="1976">
        <f t="shared" ref="E50:Q50" si="48">E46-SUM(E48:E49)</f>
        <v>0</v>
      </c>
      <c r="F50" s="1976">
        <f t="shared" si="48"/>
        <v>0</v>
      </c>
      <c r="G50" s="1976">
        <f t="shared" si="48"/>
        <v>0</v>
      </c>
      <c r="H50" s="1976">
        <f t="shared" si="48"/>
        <v>0</v>
      </c>
      <c r="I50" s="1976">
        <f t="shared" si="48"/>
        <v>0</v>
      </c>
      <c r="J50" s="1976">
        <f t="shared" si="48"/>
        <v>0</v>
      </c>
      <c r="K50" s="1976">
        <f t="shared" si="48"/>
        <v>-4.9025055463971512E-3</v>
      </c>
      <c r="L50" s="1976">
        <f t="shared" si="48"/>
        <v>0</v>
      </c>
      <c r="M50" s="1976">
        <f t="shared" si="48"/>
        <v>0</v>
      </c>
      <c r="N50" s="1976">
        <f t="shared" si="48"/>
        <v>-7594.7506561289138</v>
      </c>
      <c r="O50" s="1976">
        <f t="shared" si="48"/>
        <v>0</v>
      </c>
      <c r="P50" s="1976">
        <f t="shared" si="48"/>
        <v>-7594.7555586304516</v>
      </c>
      <c r="Q50" s="1976">
        <f t="shared" si="48"/>
        <v>8</v>
      </c>
      <c r="V50" s="477" t="s">
        <v>1594</v>
      </c>
      <c r="W50" s="2019">
        <f>'G-2.11 EAS'!BF9</f>
        <v>-59759.96</v>
      </c>
      <c r="Y50" s="477" t="s">
        <v>1593</v>
      </c>
      <c r="BS50" s="2065" t="s">
        <v>1584</v>
      </c>
      <c r="BT50" s="477" t="s">
        <v>1581</v>
      </c>
      <c r="BU50" s="1501">
        <f t="shared" si="39"/>
        <v>-97999.780000000028</v>
      </c>
      <c r="BV50" s="1501">
        <f t="shared" si="40"/>
        <v>0</v>
      </c>
      <c r="BW50" s="1501">
        <f t="shared" si="41"/>
        <v>-97999.780000000028</v>
      </c>
      <c r="CB50" s="1501">
        <v>188241.35</v>
      </c>
      <c r="CC50" s="1501">
        <v>-322370.21999999997</v>
      </c>
      <c r="CD50" s="1501">
        <f t="shared" si="42"/>
        <v>510611.56999999995</v>
      </c>
      <c r="CE50" s="1501">
        <v>-608611.35</v>
      </c>
      <c r="CF50" s="916">
        <f t="shared" si="43"/>
        <v>-97999.780000000028</v>
      </c>
    </row>
    <row r="51" spans="1:84">
      <c r="A51" s="1985"/>
      <c r="B51" s="1984"/>
      <c r="C51" s="1984"/>
      <c r="O51" s="1976"/>
      <c r="P51" s="1976"/>
      <c r="Q51" s="1976"/>
      <c r="V51" s="477" t="s">
        <v>1592</v>
      </c>
      <c r="W51" s="2020">
        <f>SUM(W44:W50)</f>
        <v>-12840553.280000001</v>
      </c>
      <c r="BS51" s="2065" t="s">
        <v>1675</v>
      </c>
      <c r="BT51" s="477" t="s">
        <v>1674</v>
      </c>
      <c r="BU51" s="1501">
        <f t="shared" si="39"/>
        <v>0</v>
      </c>
      <c r="BV51" s="1501">
        <f t="shared" si="40"/>
        <v>0</v>
      </c>
      <c r="BW51" s="1501">
        <f t="shared" si="41"/>
        <v>0</v>
      </c>
      <c r="CB51" s="1501">
        <v>0</v>
      </c>
      <c r="CC51" s="1501">
        <v>0</v>
      </c>
      <c r="CD51" s="1501">
        <f t="shared" si="42"/>
        <v>0</v>
      </c>
      <c r="CE51" s="1501">
        <v>0</v>
      </c>
      <c r="CF51" s="916">
        <f t="shared" si="43"/>
        <v>0</v>
      </c>
    </row>
    <row r="52" spans="1:84" ht="13">
      <c r="A52" s="477"/>
      <c r="B52" s="477"/>
      <c r="C52" s="477"/>
      <c r="D52" s="477"/>
      <c r="E52" s="477"/>
      <c r="F52" s="477"/>
      <c r="G52" s="477"/>
      <c r="H52" s="477"/>
      <c r="I52" s="477"/>
      <c r="J52" s="1983"/>
      <c r="K52" s="1983"/>
      <c r="L52" s="1983"/>
      <c r="M52" s="516"/>
      <c r="N52" s="516"/>
      <c r="O52" s="477"/>
      <c r="P52" s="477"/>
      <c r="Q52" s="477"/>
      <c r="R52" s="477"/>
      <c r="W52" s="2019"/>
      <c r="BS52" s="2045">
        <v>456329</v>
      </c>
      <c r="BT52" s="477" t="s">
        <v>1626</v>
      </c>
      <c r="BU52" s="1501">
        <f t="shared" si="39"/>
        <v>-4806683.99</v>
      </c>
      <c r="BV52" s="1501">
        <f t="shared" si="40"/>
        <v>0</v>
      </c>
      <c r="BW52" s="1501">
        <f t="shared" si="41"/>
        <v>-4806683.99</v>
      </c>
      <c r="CB52" s="1501">
        <v>-2468401.87</v>
      </c>
      <c r="CC52" s="1501">
        <v>-558943.35</v>
      </c>
      <c r="CD52" s="1501">
        <f t="shared" si="42"/>
        <v>-1909458.52</v>
      </c>
      <c r="CE52" s="1501">
        <v>-2897225.47</v>
      </c>
      <c r="CF52" s="916">
        <f t="shared" si="43"/>
        <v>-4806683.99</v>
      </c>
    </row>
    <row r="53" spans="1:84" ht="13">
      <c r="A53" s="477"/>
      <c r="B53" s="477"/>
      <c r="C53" s="477"/>
      <c r="D53" s="477"/>
      <c r="E53" s="477"/>
      <c r="F53" s="477"/>
      <c r="G53" s="477" t="s">
        <v>1559</v>
      </c>
      <c r="H53" s="477"/>
      <c r="I53" s="477"/>
      <c r="J53" s="477"/>
      <c r="K53" s="477"/>
      <c r="L53" s="477"/>
      <c r="M53" s="515"/>
      <c r="N53" s="515"/>
      <c r="O53" s="477"/>
      <c r="P53" s="477"/>
      <c r="Q53" s="477"/>
      <c r="R53" s="477"/>
      <c r="BS53" s="2045">
        <v>456339</v>
      </c>
      <c r="BT53" s="477" t="s">
        <v>1624</v>
      </c>
      <c r="BU53" s="2064">
        <f t="shared" si="39"/>
        <v>5885214.6000000006</v>
      </c>
      <c r="BV53" s="2064">
        <f t="shared" si="40"/>
        <v>0</v>
      </c>
      <c r="BW53" s="2064">
        <f t="shared" si="41"/>
        <v>5885214.6000000006</v>
      </c>
      <c r="CB53" s="1501">
        <v>11188489.560000001</v>
      </c>
      <c r="CC53" s="1501">
        <v>6584471.8300000001</v>
      </c>
      <c r="CD53" s="1501">
        <f t="shared" si="42"/>
        <v>4604017.7300000004</v>
      </c>
      <c r="CE53" s="1501">
        <v>1281196.8700000001</v>
      </c>
      <c r="CF53" s="916">
        <f t="shared" si="43"/>
        <v>5885214.6000000006</v>
      </c>
    </row>
    <row r="54" spans="1:84" ht="12.5">
      <c r="A54" s="477"/>
      <c r="B54" s="477"/>
      <c r="C54" s="477"/>
      <c r="D54" s="477"/>
      <c r="E54" s="477"/>
      <c r="F54" s="477"/>
      <c r="G54" s="477"/>
      <c r="H54" s="477"/>
      <c r="I54" s="1979" t="s">
        <v>1558</v>
      </c>
      <c r="J54" s="1981">
        <f>D10</f>
        <v>0.95271983997621679</v>
      </c>
      <c r="K54" s="1981">
        <f>J54</f>
        <v>0.95271983997621679</v>
      </c>
      <c r="L54" s="1981">
        <f>D10</f>
        <v>0.95271983997621679</v>
      </c>
      <c r="M54" s="515"/>
      <c r="N54" s="515"/>
      <c r="O54" s="477"/>
      <c r="P54" s="477"/>
      <c r="Q54" s="477"/>
      <c r="R54" s="477"/>
      <c r="BU54" s="916">
        <f>SUM(BU39:BU53)</f>
        <v>-7645205.6800000006</v>
      </c>
      <c r="BV54" s="916">
        <f>SUM(BV39:BV53)</f>
        <v>0</v>
      </c>
      <c r="BW54" s="916">
        <f>SUM(BW39:BW53)</f>
        <v>-7645205.6800000006</v>
      </c>
      <c r="CB54" s="1501"/>
      <c r="CC54" s="1501"/>
      <c r="CD54" s="1501"/>
      <c r="CE54" s="1501"/>
      <c r="CF54" s="916"/>
    </row>
    <row r="55" spans="1:84" ht="12.5">
      <c r="A55" s="477"/>
      <c r="B55" s="477"/>
      <c r="C55" s="477"/>
      <c r="D55" s="477"/>
      <c r="E55" s="477"/>
      <c r="F55" s="477"/>
      <c r="G55" s="477"/>
      <c r="H55" s="477"/>
      <c r="I55" s="1979" t="s">
        <v>1557</v>
      </c>
      <c r="J55" s="1982">
        <v>0.95628183088298646</v>
      </c>
      <c r="K55" s="1982">
        <v>0.95628183088298646</v>
      </c>
      <c r="L55" s="1982">
        <v>0.95628183088298646</v>
      </c>
      <c r="M55" s="515"/>
      <c r="N55" s="515"/>
      <c r="O55" s="477"/>
      <c r="P55" s="477"/>
      <c r="Q55" s="477"/>
      <c r="R55" s="477"/>
    </row>
    <row r="56" spans="1:84" ht="12.5">
      <c r="A56" s="477"/>
      <c r="B56" s="477"/>
      <c r="C56" s="477"/>
      <c r="D56" s="477"/>
      <c r="E56" s="477"/>
      <c r="F56" s="477"/>
      <c r="G56" s="477"/>
      <c r="H56" s="477"/>
      <c r="I56" s="1979" t="s">
        <v>1556</v>
      </c>
      <c r="J56" s="1981">
        <f>J54-J55</f>
        <v>-3.5619909067696742E-3</v>
      </c>
      <c r="K56" s="1981">
        <f>K54-K55</f>
        <v>-3.5619909067696742E-3</v>
      </c>
      <c r="L56" s="1981">
        <f>L54-L55</f>
        <v>-3.5619909067696742E-3</v>
      </c>
      <c r="M56" s="515"/>
      <c r="N56" s="515"/>
      <c r="O56" s="875"/>
      <c r="P56" s="916"/>
      <c r="Q56" s="477"/>
      <c r="R56" s="477"/>
    </row>
    <row r="57" spans="1:84" ht="12.5">
      <c r="A57" s="477"/>
      <c r="B57" s="477"/>
      <c r="C57" s="477"/>
      <c r="D57" s="477"/>
      <c r="E57" s="477"/>
      <c r="F57" s="477"/>
      <c r="G57" s="477"/>
      <c r="H57" s="477"/>
      <c r="I57" s="1979"/>
      <c r="J57" s="1981"/>
      <c r="K57" s="1981"/>
      <c r="L57" s="1981"/>
      <c r="M57" s="515"/>
      <c r="N57" s="515"/>
      <c r="O57" s="477"/>
      <c r="P57" s="875"/>
      <c r="Q57" s="477"/>
      <c r="R57" s="477"/>
    </row>
    <row r="58" spans="1:84" ht="12.5">
      <c r="A58" s="477"/>
      <c r="B58" s="477"/>
      <c r="C58" s="477"/>
      <c r="D58" s="477"/>
      <c r="E58" s="477"/>
      <c r="F58" s="477"/>
      <c r="G58" s="477"/>
      <c r="H58" s="477"/>
      <c r="I58" s="1979" t="s">
        <v>1555</v>
      </c>
      <c r="J58" s="1976">
        <f>J10</f>
        <v>-8881321.9700000007</v>
      </c>
      <c r="K58" s="1976">
        <f>K10</f>
        <v>-51145.87</v>
      </c>
      <c r="L58" s="1976">
        <f>L10</f>
        <v>-3908085.44</v>
      </c>
      <c r="M58" s="515"/>
      <c r="N58" s="515"/>
      <c r="O58" s="477"/>
      <c r="P58" s="477"/>
      <c r="Q58" s="477"/>
      <c r="R58" s="477"/>
      <c r="U58" s="477" t="s">
        <v>1591</v>
      </c>
    </row>
    <row r="59" spans="1:84" ht="12.5">
      <c r="A59" s="477"/>
      <c r="B59" s="477"/>
      <c r="C59" s="477"/>
      <c r="D59" s="477"/>
      <c r="E59" s="477"/>
      <c r="F59" s="477"/>
      <c r="G59" s="477"/>
      <c r="H59" s="477"/>
      <c r="I59" s="1979" t="s">
        <v>1554</v>
      </c>
      <c r="J59" s="1976">
        <f>J56*J58</f>
        <v>31635.188097233731</v>
      </c>
      <c r="K59" s="1976">
        <f>K56*K58</f>
        <v>182.1811238588239</v>
      </c>
      <c r="L59" s="1976">
        <f>L56*L58</f>
        <v>13920.564800158962</v>
      </c>
      <c r="M59" s="875"/>
      <c r="N59" s="875"/>
      <c r="O59" s="477"/>
      <c r="P59" s="477"/>
      <c r="Q59" s="477"/>
      <c r="R59" s="477"/>
      <c r="U59" s="477" t="s">
        <v>1590</v>
      </c>
    </row>
    <row r="60" spans="1:84" ht="12.5">
      <c r="A60" s="477"/>
      <c r="B60" s="477"/>
      <c r="C60" s="477"/>
      <c r="D60" s="477"/>
      <c r="E60" s="477"/>
      <c r="F60" s="477"/>
      <c r="G60" s="477"/>
      <c r="H60" s="477"/>
      <c r="I60" s="1979" t="s">
        <v>1553</v>
      </c>
      <c r="J60" s="1980">
        <f>J59*0.21</f>
        <v>6643.3895004190836</v>
      </c>
      <c r="K60" s="1980">
        <f>K59*0.21</f>
        <v>38.258036010353017</v>
      </c>
      <c r="L60" s="1980">
        <f>L59*0.21</f>
        <v>2923.3186080333817</v>
      </c>
      <c r="M60" s="477"/>
      <c r="N60" s="477"/>
      <c r="O60" s="477"/>
      <c r="P60" s="477"/>
      <c r="Q60" s="477"/>
      <c r="R60" s="477"/>
      <c r="U60" s="477" t="s">
        <v>1589</v>
      </c>
      <c r="Y60" s="477" t="s">
        <v>1588</v>
      </c>
    </row>
    <row r="61" spans="1:84" ht="12.5">
      <c r="A61" s="477"/>
      <c r="B61" s="477"/>
      <c r="C61" s="477"/>
      <c r="D61" s="477"/>
      <c r="E61" s="477"/>
      <c r="F61" s="477"/>
      <c r="G61" s="477"/>
      <c r="H61" s="477"/>
      <c r="I61" s="1979" t="s">
        <v>1552</v>
      </c>
      <c r="J61" s="1976">
        <f>J59-J60</f>
        <v>24991.798596814646</v>
      </c>
      <c r="K61" s="1976">
        <f>K59-K60</f>
        <v>143.92308784847089</v>
      </c>
      <c r="L61" s="1976">
        <f>L59-L60</f>
        <v>10997.24619212558</v>
      </c>
      <c r="M61" s="477"/>
      <c r="N61" s="477"/>
      <c r="O61" s="477"/>
      <c r="P61" s="1501"/>
      <c r="Q61" s="477"/>
      <c r="R61" s="477"/>
    </row>
    <row r="62" spans="1:84" ht="13">
      <c r="A62" s="477"/>
      <c r="B62" s="477"/>
      <c r="C62" s="477"/>
      <c r="D62" s="477"/>
      <c r="E62" s="477"/>
      <c r="F62" s="477"/>
      <c r="G62" s="477"/>
      <c r="H62" s="477"/>
      <c r="I62" s="477"/>
      <c r="J62" s="1976" t="s">
        <v>1551</v>
      </c>
      <c r="K62" s="477"/>
      <c r="L62" s="477"/>
      <c r="M62" s="477"/>
      <c r="N62" s="477"/>
      <c r="O62" s="477"/>
      <c r="P62" s="1501"/>
      <c r="Q62" s="477"/>
      <c r="R62" s="477"/>
      <c r="U62" s="2010" t="s">
        <v>1587</v>
      </c>
    </row>
    <row r="63" spans="1:84" ht="12.5">
      <c r="A63" s="477"/>
      <c r="B63" s="477"/>
      <c r="C63" s="477"/>
      <c r="D63" s="477"/>
      <c r="E63" s="477"/>
      <c r="F63" s="477"/>
      <c r="G63" s="477"/>
      <c r="H63" s="877"/>
      <c r="I63" s="477"/>
      <c r="J63" s="477"/>
      <c r="K63" s="477"/>
      <c r="L63" s="477"/>
      <c r="M63" s="477"/>
      <c r="N63" s="477"/>
      <c r="O63" s="477"/>
      <c r="P63" s="916"/>
      <c r="Q63" s="477"/>
      <c r="R63" s="477"/>
    </row>
    <row r="64" spans="1:84" ht="13">
      <c r="A64" s="477"/>
      <c r="B64" s="477"/>
      <c r="C64" s="477"/>
      <c r="D64" s="477"/>
      <c r="E64" s="477"/>
      <c r="F64" s="477"/>
      <c r="G64" s="477"/>
      <c r="H64" s="877"/>
      <c r="I64" s="477"/>
      <c r="J64" s="477"/>
      <c r="K64" s="477"/>
      <c r="L64" s="477"/>
      <c r="M64" s="477"/>
      <c r="N64" s="477"/>
      <c r="O64" s="477"/>
      <c r="P64" s="916"/>
      <c r="Q64" s="477"/>
      <c r="R64" s="477"/>
      <c r="U64" s="1536"/>
      <c r="V64" s="2018" t="s">
        <v>1586</v>
      </c>
      <c r="W64" s="2018" t="s">
        <v>865</v>
      </c>
      <c r="X64" s="2018" t="s">
        <v>864</v>
      </c>
    </row>
    <row r="65" spans="1:26" ht="13">
      <c r="A65" s="477"/>
      <c r="B65" s="477"/>
      <c r="C65" s="477"/>
      <c r="D65" s="477"/>
      <c r="E65" s="477"/>
      <c r="F65" s="477"/>
      <c r="G65" s="477"/>
      <c r="H65" s="1978"/>
      <c r="I65" s="477"/>
      <c r="J65" s="477"/>
      <c r="K65" s="477"/>
      <c r="L65" s="477"/>
      <c r="M65" s="477"/>
      <c r="N65" s="477"/>
      <c r="O65" s="477"/>
      <c r="P65" s="916"/>
      <c r="Q65" s="477"/>
      <c r="R65" s="477"/>
      <c r="U65" s="1543"/>
    </row>
    <row r="66" spans="1:26" ht="13">
      <c r="A66" s="477"/>
      <c r="B66" s="477"/>
      <c r="C66" s="477"/>
      <c r="D66" s="477"/>
      <c r="E66" s="477"/>
      <c r="F66" s="477"/>
      <c r="G66" s="477"/>
      <c r="H66" s="1978"/>
      <c r="I66" s="477"/>
      <c r="J66" s="477"/>
      <c r="K66" s="477"/>
      <c r="L66" s="477"/>
      <c r="M66" s="477"/>
      <c r="N66" s="477"/>
      <c r="O66" s="477"/>
      <c r="P66" s="477"/>
      <c r="Q66" s="477"/>
      <c r="R66" s="477"/>
      <c r="U66" s="2010" t="s">
        <v>1043</v>
      </c>
      <c r="V66" s="2017"/>
      <c r="W66" s="1542"/>
      <c r="Y66" s="2016" t="s">
        <v>1059</v>
      </c>
      <c r="Z66" s="1832"/>
    </row>
    <row r="67" spans="1:26" ht="13">
      <c r="A67" s="477"/>
      <c r="B67" s="477"/>
      <c r="C67" s="477"/>
      <c r="D67" s="477"/>
      <c r="E67" s="477"/>
      <c r="F67" s="477"/>
      <c r="G67" s="477"/>
      <c r="H67" s="1978"/>
      <c r="I67" s="477"/>
      <c r="J67" s="477"/>
      <c r="K67" s="477"/>
      <c r="L67" s="477"/>
      <c r="M67" s="477"/>
      <c r="N67" s="477"/>
      <c r="O67" s="477"/>
      <c r="P67" s="477"/>
      <c r="Q67" s="477"/>
      <c r="R67" s="477"/>
      <c r="U67" s="2013" t="s">
        <v>1585</v>
      </c>
      <c r="V67" s="2015"/>
      <c r="W67" s="1548"/>
      <c r="Y67" s="2014" t="s">
        <v>24</v>
      </c>
    </row>
    <row r="68" spans="1:26">
      <c r="A68" s="477"/>
      <c r="B68" s="477"/>
      <c r="C68" s="477"/>
      <c r="D68" s="477"/>
      <c r="E68" s="477"/>
      <c r="F68" s="477"/>
      <c r="G68" s="477"/>
      <c r="H68" s="1978"/>
      <c r="I68" s="477"/>
      <c r="J68" s="477"/>
      <c r="K68" s="477"/>
      <c r="L68" s="477"/>
      <c r="M68" s="477"/>
      <c r="N68" s="477"/>
      <c r="O68" s="477"/>
      <c r="P68" s="477"/>
      <c r="Q68" s="477"/>
      <c r="R68" s="477"/>
      <c r="U68" s="2013" t="s">
        <v>1584</v>
      </c>
      <c r="V68" s="1534" t="s">
        <v>1583</v>
      </c>
      <c r="W68" s="2010" t="s">
        <v>679</v>
      </c>
      <c r="Y68" s="2012"/>
    </row>
    <row r="69" spans="1:26">
      <c r="A69" s="477"/>
      <c r="B69" s="477"/>
      <c r="C69" s="477"/>
      <c r="D69" s="477"/>
      <c r="E69" s="477"/>
      <c r="F69" s="477"/>
      <c r="G69" s="477"/>
      <c r="H69" s="1978"/>
      <c r="I69" s="477"/>
      <c r="J69" s="477"/>
      <c r="K69" s="477"/>
      <c r="L69" s="477"/>
      <c r="M69" s="477"/>
      <c r="N69" s="477"/>
      <c r="O69" s="477"/>
      <c r="P69" s="477"/>
      <c r="Q69" s="477"/>
      <c r="R69" s="477"/>
      <c r="U69" s="2011" t="s">
        <v>24</v>
      </c>
      <c r="V69" s="1549" t="s">
        <v>1582</v>
      </c>
      <c r="W69" s="2010" t="s">
        <v>1580</v>
      </c>
      <c r="Y69" s="2007">
        <f>-112787.5+110541.64</f>
        <v>-2245.8600000000006</v>
      </c>
    </row>
    <row r="70" spans="1:26">
      <c r="A70" s="477"/>
      <c r="B70" s="477"/>
      <c r="C70" s="477"/>
      <c r="D70" s="477"/>
      <c r="E70" s="477"/>
      <c r="F70" s="477"/>
      <c r="G70" s="477"/>
      <c r="H70" s="1978"/>
      <c r="I70" s="1977"/>
      <c r="J70" s="477"/>
      <c r="K70" s="477"/>
      <c r="L70" s="477"/>
      <c r="M70" s="477"/>
      <c r="N70" s="477"/>
      <c r="O70" s="477"/>
      <c r="P70" s="477"/>
      <c r="Q70" s="515"/>
      <c r="R70" s="477"/>
      <c r="V70" s="1549" t="s">
        <v>1581</v>
      </c>
      <c r="W70" s="2010" t="s">
        <v>1580</v>
      </c>
      <c r="Y70" s="2007">
        <v>2245.86</v>
      </c>
    </row>
    <row r="71" spans="1:26" ht="13">
      <c r="A71" s="477"/>
      <c r="B71" s="477"/>
      <c r="C71" s="477"/>
      <c r="D71" s="477"/>
      <c r="E71" s="477"/>
      <c r="F71" s="477"/>
      <c r="G71" s="477"/>
      <c r="H71" s="477"/>
      <c r="I71" s="477"/>
      <c r="J71" s="477"/>
      <c r="K71" s="477"/>
      <c r="L71" s="477"/>
      <c r="M71" s="477"/>
      <c r="N71" s="477"/>
      <c r="O71" s="477"/>
      <c r="P71" s="477"/>
      <c r="Q71" s="515"/>
      <c r="R71" s="477"/>
      <c r="V71" s="2009"/>
      <c r="W71" s="2008"/>
      <c r="Y71" s="2007">
        <f>SUM(Y69:Y70)</f>
        <v>0</v>
      </c>
    </row>
    <row r="72" spans="1:26" ht="12.5">
      <c r="A72" s="477"/>
      <c r="B72" s="477"/>
      <c r="C72" s="477"/>
      <c r="D72" s="477"/>
      <c r="E72" s="477"/>
      <c r="F72" s="477"/>
      <c r="G72" s="477"/>
      <c r="H72" s="477"/>
      <c r="I72" s="477"/>
      <c r="J72" s="477"/>
      <c r="K72" s="477"/>
      <c r="L72" s="477"/>
      <c r="M72" s="477"/>
      <c r="N72" s="477"/>
      <c r="O72" s="477"/>
      <c r="P72" s="477"/>
      <c r="Q72" s="515"/>
      <c r="R72" s="477"/>
      <c r="Z72" s="2006"/>
    </row>
    <row r="73" spans="1:26" ht="12.5">
      <c r="A73" s="477"/>
      <c r="B73" s="477"/>
      <c r="C73" s="477"/>
      <c r="D73" s="477"/>
      <c r="E73" s="477"/>
      <c r="F73" s="477"/>
      <c r="G73" s="477"/>
      <c r="H73" s="477"/>
      <c r="I73" s="477"/>
      <c r="J73" s="477"/>
      <c r="K73" s="477"/>
      <c r="L73" s="477"/>
      <c r="M73" s="477"/>
      <c r="N73" s="477"/>
      <c r="O73" s="477"/>
      <c r="P73" s="477"/>
      <c r="Q73" s="515"/>
      <c r="R73" s="477"/>
    </row>
    <row r="74" spans="1:26" ht="12.5">
      <c r="A74" s="477"/>
      <c r="B74" s="477"/>
      <c r="C74" s="477"/>
      <c r="D74" s="477"/>
      <c r="E74" s="477"/>
      <c r="F74" s="477"/>
      <c r="G74" s="477"/>
      <c r="H74" s="477"/>
      <c r="I74" s="477"/>
      <c r="J74" s="477"/>
      <c r="K74" s="477"/>
      <c r="L74" s="477"/>
      <c r="M74" s="477"/>
      <c r="N74" s="477"/>
      <c r="O74" s="477"/>
      <c r="P74" s="477"/>
      <c r="Q74" s="477"/>
      <c r="R74" s="477"/>
    </row>
    <row r="75" spans="1:26" ht="12.5">
      <c r="A75" s="477"/>
      <c r="B75" s="477"/>
      <c r="C75" s="477"/>
      <c r="D75" s="477"/>
      <c r="E75" s="477"/>
      <c r="F75" s="477"/>
      <c r="G75" s="477"/>
      <c r="H75" s="477"/>
      <c r="I75" s="477"/>
      <c r="J75" s="477"/>
      <c r="K75" s="477"/>
      <c r="L75" s="477"/>
      <c r="M75" s="477"/>
      <c r="N75" s="477"/>
      <c r="O75" s="477"/>
      <c r="P75" s="477"/>
      <c r="Q75" s="477"/>
      <c r="R75" s="477"/>
    </row>
    <row r="76" spans="1:26" ht="12.5">
      <c r="A76" s="477"/>
      <c r="B76" s="477"/>
      <c r="C76" s="477"/>
      <c r="D76" s="477"/>
      <c r="E76" s="477"/>
      <c r="F76" s="477"/>
      <c r="G76" s="477"/>
      <c r="H76" s="477"/>
      <c r="I76" s="477"/>
      <c r="J76" s="477"/>
      <c r="K76" s="477"/>
      <c r="L76" s="477"/>
      <c r="M76" s="477"/>
      <c r="N76" s="477"/>
      <c r="O76" s="477"/>
      <c r="P76" s="477"/>
      <c r="Q76" s="477"/>
      <c r="R76" s="477"/>
    </row>
    <row r="77" spans="1:26" ht="12.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tabColor rgb="FFFFC000"/>
  </sheetPr>
  <dimension ref="A1:V40"/>
  <sheetViews>
    <sheetView workbookViewId="0"/>
  </sheetViews>
  <sheetFormatPr defaultColWidth="8.81640625" defaultRowHeight="14.5"/>
  <cols>
    <col min="1" max="1" width="48.26953125" style="2075" bestFit="1" customWidth="1"/>
    <col min="2" max="2" width="7.26953125" style="2075" bestFit="1" customWidth="1"/>
    <col min="3" max="3" width="16.81640625" style="2075" customWidth="1"/>
    <col min="4" max="4" width="7.54296875" style="2075" bestFit="1" customWidth="1"/>
    <col min="5" max="5" width="14.1796875" style="2075" customWidth="1"/>
    <col min="6" max="6" width="25.1796875" bestFit="1" customWidth="1"/>
    <col min="7" max="7" width="1.7265625" style="995" customWidth="1"/>
    <col min="8" max="8" width="8.81640625" style="477"/>
    <col min="9" max="9" width="12" style="1349" bestFit="1" customWidth="1"/>
    <col min="10" max="10" width="14.453125" style="2105" customWidth="1"/>
    <col min="11" max="11" width="16.1796875" style="2105" bestFit="1" customWidth="1"/>
    <col min="12" max="12" width="11" style="2105" bestFit="1" customWidth="1"/>
    <col min="13" max="13" width="16.1796875" style="2105" bestFit="1" customWidth="1"/>
    <col min="14" max="14" width="10" style="1349" bestFit="1" customWidth="1"/>
    <col min="15" max="15" width="14.81640625" style="1349" bestFit="1" customWidth="1"/>
    <col min="16" max="16" width="14.81640625" style="2105" bestFit="1" customWidth="1"/>
    <col min="17" max="17" width="12.81640625" style="1349" customWidth="1"/>
    <col min="18" max="18" width="11.54296875" style="1349" bestFit="1" customWidth="1"/>
    <col min="19" max="19" width="12.54296875" style="1349" bestFit="1" customWidth="1"/>
    <col min="20" max="20" width="18.453125" style="2106" customWidth="1"/>
    <col min="21" max="21" width="9.7265625" style="1349" bestFit="1" customWidth="1"/>
    <col min="22" max="22" width="9.1796875" style="1349" customWidth="1"/>
    <col min="23" max="16384" width="8.81640625" style="477"/>
  </cols>
  <sheetData>
    <row r="1" spans="1:22">
      <c r="A1" s="1217" t="s">
        <v>1282</v>
      </c>
      <c r="I1" s="1326" t="s">
        <v>1733</v>
      </c>
      <c r="J1" s="2122"/>
      <c r="R1" s="1326"/>
    </row>
    <row r="2" spans="1:22" ht="29.5" thickBot="1">
      <c r="A2" s="1217" t="s">
        <v>1703</v>
      </c>
      <c r="B2" s="3678" t="s">
        <v>3405</v>
      </c>
      <c r="I2" s="2121" t="s">
        <v>818</v>
      </c>
      <c r="J2" s="2078" t="s">
        <v>1704</v>
      </c>
      <c r="K2" s="2078" t="s">
        <v>1705</v>
      </c>
      <c r="L2" s="2078" t="s">
        <v>1706</v>
      </c>
      <c r="M2" s="2079" t="s">
        <v>1707</v>
      </c>
      <c r="N2" s="2079" t="s">
        <v>1708</v>
      </c>
      <c r="O2" s="2079" t="s">
        <v>1709</v>
      </c>
      <c r="P2" s="2079" t="s">
        <v>1710</v>
      </c>
      <c r="Q2" s="2121" t="s">
        <v>24</v>
      </c>
      <c r="R2" s="2121" t="s">
        <v>818</v>
      </c>
      <c r="S2" s="2121" t="s">
        <v>1183</v>
      </c>
      <c r="T2" s="2121" t="s">
        <v>1711</v>
      </c>
      <c r="U2" s="2080"/>
      <c r="V2" s="2080"/>
    </row>
    <row r="3" spans="1:22">
      <c r="A3" s="2081" t="s">
        <v>1327</v>
      </c>
      <c r="I3" s="2082">
        <v>935000</v>
      </c>
      <c r="J3" s="2115"/>
      <c r="K3" s="2115"/>
      <c r="L3" s="2115">
        <v>-470.79</v>
      </c>
      <c r="M3" s="2084"/>
      <c r="N3" s="2119"/>
      <c r="O3" s="2115"/>
      <c r="P3" s="2115"/>
      <c r="Q3" s="2085">
        <f>SUM(K3:P3)</f>
        <v>-470.79</v>
      </c>
      <c r="R3" s="2077">
        <f t="shared" ref="R3:R33" si="0">I3</f>
        <v>935000</v>
      </c>
      <c r="S3" s="2076">
        <f>SUM(Q3:Q12)</f>
        <v>-409747.07999999996</v>
      </c>
      <c r="T3" s="1362" t="s">
        <v>1712</v>
      </c>
      <c r="U3" s="3683">
        <f>ROUND(S3/1000,0)</f>
        <v>-410</v>
      </c>
    </row>
    <row r="4" spans="1:22">
      <c r="I4" s="2082">
        <v>931000</v>
      </c>
      <c r="J4" s="2115"/>
      <c r="K4" s="2115"/>
      <c r="L4" s="2115"/>
      <c r="M4" s="2084"/>
      <c r="N4" s="2119"/>
      <c r="O4" s="2115"/>
      <c r="P4" s="2120"/>
      <c r="Q4" s="2086">
        <f>SUM(J4:P4)</f>
        <v>0</v>
      </c>
      <c r="R4" s="1348">
        <f t="shared" si="0"/>
        <v>931000</v>
      </c>
      <c r="S4" s="2087"/>
      <c r="T4" s="1357"/>
    </row>
    <row r="5" spans="1:22">
      <c r="I5" s="2082">
        <v>930200</v>
      </c>
      <c r="J5" s="2115">
        <v>-177863</v>
      </c>
      <c r="K5" s="2115">
        <v>1675</v>
      </c>
      <c r="L5" s="3681">
        <v>-550.47</v>
      </c>
      <c r="M5" s="2084">
        <v>-56.83</v>
      </c>
      <c r="N5" s="2119"/>
      <c r="O5" s="2115">
        <v>-8192</v>
      </c>
      <c r="P5" s="2115"/>
      <c r="Q5" s="2086">
        <f>SUM(J5:P5)</f>
        <v>-184987.3</v>
      </c>
      <c r="R5" s="1348">
        <f t="shared" si="0"/>
        <v>930200</v>
      </c>
      <c r="S5" s="2087"/>
      <c r="T5" s="1357"/>
    </row>
    <row r="6" spans="1:22">
      <c r="I6" s="2082">
        <v>928000</v>
      </c>
      <c r="J6" s="2115"/>
      <c r="K6" s="2115"/>
      <c r="L6" s="2115"/>
      <c r="M6" s="2084"/>
      <c r="N6" s="2119"/>
      <c r="P6" s="2115"/>
      <c r="Q6" s="2086">
        <f t="shared" ref="Q6:Q12" si="1">SUM(K6:P6)</f>
        <v>0</v>
      </c>
      <c r="R6" s="1348">
        <f t="shared" si="0"/>
        <v>928000</v>
      </c>
      <c r="S6" s="2087"/>
      <c r="T6" s="1357"/>
      <c r="U6" s="1387"/>
    </row>
    <row r="7" spans="1:22">
      <c r="C7" s="2070" t="s">
        <v>763</v>
      </c>
      <c r="D7" s="2070"/>
      <c r="E7" s="2070" t="s">
        <v>763</v>
      </c>
      <c r="I7" s="2082">
        <v>926100</v>
      </c>
      <c r="J7" s="2115"/>
      <c r="K7" s="2115"/>
      <c r="L7" s="2115"/>
      <c r="M7" s="2084"/>
      <c r="N7" s="2119"/>
      <c r="O7" s="2115"/>
      <c r="P7" s="2115"/>
      <c r="Q7" s="2086">
        <f t="shared" si="1"/>
        <v>0</v>
      </c>
      <c r="R7" s="1348">
        <f t="shared" si="0"/>
        <v>926100</v>
      </c>
      <c r="S7" s="2087"/>
      <c r="T7" s="1357"/>
    </row>
    <row r="8" spans="1:22">
      <c r="C8" s="2088" t="s">
        <v>729</v>
      </c>
      <c r="D8" s="2070"/>
      <c r="E8" s="2088" t="s">
        <v>1713</v>
      </c>
      <c r="I8" s="2082">
        <v>925100</v>
      </c>
      <c r="J8" s="2115"/>
      <c r="K8" s="2115"/>
      <c r="L8" s="2115"/>
      <c r="M8" s="2084"/>
      <c r="N8" s="2119"/>
      <c r="O8" s="2115"/>
      <c r="P8" s="2115"/>
      <c r="Q8" s="2086">
        <f t="shared" si="1"/>
        <v>0</v>
      </c>
      <c r="R8" s="1348">
        <f t="shared" si="0"/>
        <v>925100</v>
      </c>
      <c r="S8" s="2087"/>
      <c r="T8" s="1357"/>
    </row>
    <row r="9" spans="1:22">
      <c r="I9" s="2082">
        <v>925200</v>
      </c>
      <c r="J9" s="2115"/>
      <c r="K9" s="2115"/>
      <c r="L9" s="2084"/>
      <c r="M9" s="2084"/>
      <c r="N9" s="2119"/>
      <c r="O9" s="2115"/>
      <c r="P9" s="2115">
        <v>-13442</v>
      </c>
      <c r="Q9" s="2086">
        <f t="shared" si="1"/>
        <v>-13442</v>
      </c>
      <c r="R9" s="1348">
        <f t="shared" si="0"/>
        <v>925200</v>
      </c>
      <c r="S9" s="2087"/>
      <c r="T9" s="1357"/>
    </row>
    <row r="10" spans="1:22">
      <c r="A10" s="2089" t="s">
        <v>1714</v>
      </c>
      <c r="C10" s="2070"/>
      <c r="D10" s="2070"/>
      <c r="E10" s="2070"/>
      <c r="I10" s="2116">
        <v>923000</v>
      </c>
      <c r="J10" s="2115"/>
      <c r="K10" s="2115"/>
      <c r="L10" s="2115"/>
      <c r="M10" s="2083"/>
      <c r="N10" s="2115"/>
      <c r="O10" s="2115"/>
      <c r="P10" s="2115"/>
      <c r="Q10" s="2086">
        <f t="shared" si="1"/>
        <v>0</v>
      </c>
      <c r="R10" s="1348">
        <f t="shared" si="0"/>
        <v>923000</v>
      </c>
      <c r="S10" s="2087"/>
      <c r="T10" s="1357"/>
    </row>
    <row r="11" spans="1:22">
      <c r="A11" s="2075" t="s">
        <v>1715</v>
      </c>
      <c r="B11" s="2090" t="s">
        <v>1716</v>
      </c>
      <c r="C11" s="2091">
        <v>5293</v>
      </c>
      <c r="D11" s="2090" t="s">
        <v>1717</v>
      </c>
      <c r="E11" s="2091">
        <f>'G-2.12 Misc'!K34</f>
        <v>1675</v>
      </c>
      <c r="I11" s="2082">
        <v>921000</v>
      </c>
      <c r="J11" s="2115"/>
      <c r="K11" s="2115"/>
      <c r="L11" s="2115">
        <v>-215.26</v>
      </c>
      <c r="M11" s="2083">
        <v>-19.73</v>
      </c>
      <c r="N11" s="2115"/>
      <c r="O11" s="2115"/>
      <c r="P11" s="2115"/>
      <c r="Q11" s="2086">
        <f t="shared" si="1"/>
        <v>-234.98999999999998</v>
      </c>
      <c r="R11" s="1348">
        <f t="shared" si="0"/>
        <v>921000</v>
      </c>
      <c r="S11" s="2087"/>
      <c r="T11" s="1357"/>
    </row>
    <row r="12" spans="1:22" ht="15" thickBot="1">
      <c r="B12" s="2090"/>
      <c r="C12" s="2091"/>
      <c r="D12" s="2090"/>
      <c r="E12" s="2091"/>
      <c r="I12" s="2082">
        <v>920000</v>
      </c>
      <c r="J12" s="2115"/>
      <c r="K12" s="2115"/>
      <c r="L12" s="2115"/>
      <c r="M12" s="2083"/>
      <c r="N12" s="2115">
        <v>-210612</v>
      </c>
      <c r="O12" s="2115"/>
      <c r="P12" s="2115"/>
      <c r="Q12" s="2086">
        <f t="shared" si="1"/>
        <v>-210612</v>
      </c>
      <c r="R12" s="1348">
        <f t="shared" si="0"/>
        <v>920000</v>
      </c>
      <c r="S12" s="2087"/>
      <c r="T12" s="1357"/>
    </row>
    <row r="13" spans="1:22">
      <c r="A13" s="2075" t="s">
        <v>636</v>
      </c>
      <c r="B13" s="2090" t="s">
        <v>1716</v>
      </c>
      <c r="C13" s="2091">
        <v>-561884</v>
      </c>
      <c r="D13" s="2090" t="s">
        <v>1717</v>
      </c>
      <c r="E13" s="2091">
        <f>'G-2.12 Misc'!J34</f>
        <v>-177863</v>
      </c>
      <c r="I13" s="2082">
        <v>910000</v>
      </c>
      <c r="J13" s="2115"/>
      <c r="K13" s="2115"/>
      <c r="L13" s="2115">
        <v>-3.71</v>
      </c>
      <c r="M13" s="2083"/>
      <c r="N13" s="2115"/>
      <c r="O13" s="2115"/>
      <c r="P13" s="2115"/>
      <c r="Q13" s="2085">
        <f>SUM(J13:P13)</f>
        <v>-3.71</v>
      </c>
      <c r="R13" s="2077">
        <f t="shared" si="0"/>
        <v>910000</v>
      </c>
      <c r="S13" s="2076">
        <f>SUM(Q13:Q15)</f>
        <v>-1454.02</v>
      </c>
      <c r="T13" s="1362" t="s">
        <v>1732</v>
      </c>
      <c r="U13" s="3683">
        <f>ROUND(S13/1000,0)</f>
        <v>-1</v>
      </c>
    </row>
    <row r="14" spans="1:22">
      <c r="B14" s="2092"/>
      <c r="D14" s="2092"/>
      <c r="I14" s="2082">
        <v>909000</v>
      </c>
      <c r="J14" s="2115"/>
      <c r="K14" s="2115"/>
      <c r="L14" s="2115">
        <v>-147.58000000000001</v>
      </c>
      <c r="M14" s="2083">
        <v>-1302.73</v>
      </c>
      <c r="N14" s="2115"/>
      <c r="O14" s="2115"/>
      <c r="P14" s="2115"/>
      <c r="Q14" s="2086">
        <f>SUM(K14:P14)</f>
        <v>-1450.31</v>
      </c>
      <c r="R14" s="1348">
        <f t="shared" si="0"/>
        <v>909000</v>
      </c>
      <c r="S14" s="2087"/>
      <c r="T14" s="1357"/>
    </row>
    <row r="15" spans="1:22" ht="15" thickBot="1">
      <c r="A15" s="2075" t="s">
        <v>1706</v>
      </c>
      <c r="B15" s="2090" t="s">
        <v>1716</v>
      </c>
      <c r="C15" s="3680">
        <v>-5975.54</v>
      </c>
      <c r="D15" s="2090" t="s">
        <v>1717</v>
      </c>
      <c r="E15" s="3680">
        <f>'G-2.12 Misc'!L34</f>
        <v>-1591.6</v>
      </c>
      <c r="F15" s="3673" t="s">
        <v>3404</v>
      </c>
      <c r="I15" s="2082">
        <v>908000</v>
      </c>
      <c r="J15" s="2115"/>
      <c r="K15" s="2115"/>
      <c r="L15" s="2115"/>
      <c r="M15" s="2083"/>
      <c r="N15" s="2115"/>
      <c r="O15" s="2115"/>
      <c r="P15" s="2115"/>
      <c r="Q15" s="2093">
        <f>SUM(K15:P15)</f>
        <v>0</v>
      </c>
      <c r="R15" s="2094">
        <f t="shared" si="0"/>
        <v>908000</v>
      </c>
      <c r="S15" s="2095"/>
      <c r="T15" s="1350"/>
    </row>
    <row r="16" spans="1:22">
      <c r="B16" s="2092"/>
      <c r="C16" s="2091"/>
      <c r="D16" s="2092"/>
      <c r="E16" s="2091"/>
      <c r="I16" s="2082">
        <v>905000</v>
      </c>
      <c r="J16" s="2115"/>
      <c r="K16" s="2115"/>
      <c r="L16" s="2115"/>
      <c r="M16" s="2083"/>
      <c r="N16" s="2115"/>
      <c r="O16" s="2115"/>
      <c r="P16" s="2115"/>
      <c r="Q16" s="2086">
        <f>SUM(K16:P16)</f>
        <v>0</v>
      </c>
      <c r="R16" s="1348">
        <f t="shared" si="0"/>
        <v>905000</v>
      </c>
      <c r="S16" s="2087">
        <f>Q16+Q17</f>
        <v>0</v>
      </c>
      <c r="T16" s="1357" t="s">
        <v>1731</v>
      </c>
      <c r="U16" s="3683">
        <f>ROUND(S16/1000,0)</f>
        <v>0</v>
      </c>
    </row>
    <row r="17" spans="1:21" ht="15" thickBot="1">
      <c r="A17" s="2075" t="s">
        <v>1707</v>
      </c>
      <c r="B17" s="2090" t="s">
        <v>1716</v>
      </c>
      <c r="C17" s="2096">
        <v>-11974.699999999999</v>
      </c>
      <c r="D17" s="2090" t="s">
        <v>1717</v>
      </c>
      <c r="E17" s="2096">
        <f>'G-2.12 Misc'!M34</f>
        <v>-5716.91</v>
      </c>
      <c r="I17" s="2082">
        <v>902000</v>
      </c>
      <c r="J17" s="2115"/>
      <c r="K17" s="2115"/>
      <c r="L17" s="2115"/>
      <c r="M17" s="2083"/>
      <c r="N17" s="2115"/>
      <c r="O17" s="2115"/>
      <c r="P17" s="2115"/>
      <c r="Q17" s="2093">
        <f>SUM(K17:P17)</f>
        <v>0</v>
      </c>
      <c r="R17" s="2094">
        <f t="shared" si="0"/>
        <v>902000</v>
      </c>
      <c r="S17" s="2095"/>
      <c r="T17" s="1350"/>
    </row>
    <row r="18" spans="1:21">
      <c r="B18" s="2092"/>
      <c r="C18" s="2091"/>
      <c r="D18" s="2092"/>
      <c r="E18" s="2091"/>
      <c r="I18" s="2082">
        <v>880000</v>
      </c>
      <c r="J18" s="2115"/>
      <c r="K18" s="2115"/>
      <c r="L18" s="2115">
        <v>-203.79</v>
      </c>
      <c r="M18" s="2083"/>
      <c r="N18" s="2115"/>
      <c r="O18" s="2115"/>
      <c r="P18" s="2115"/>
      <c r="Q18" s="2085">
        <f>SUM(K18:P18)</f>
        <v>-203.79</v>
      </c>
      <c r="R18" s="2077">
        <f t="shared" si="0"/>
        <v>880000</v>
      </c>
      <c r="S18" s="2076">
        <f>SUM(Q18:Q27)</f>
        <v>-4565.2299999999996</v>
      </c>
      <c r="T18" s="1362" t="s">
        <v>1730</v>
      </c>
      <c r="U18" s="3683">
        <f>ROUND(S18/1000,0)</f>
        <v>-5</v>
      </c>
    </row>
    <row r="19" spans="1:21">
      <c r="A19" s="2075" t="s">
        <v>1708</v>
      </c>
      <c r="B19" s="2090" t="s">
        <v>1716</v>
      </c>
      <c r="C19" s="2096">
        <v>-665342</v>
      </c>
      <c r="D19" s="2090" t="s">
        <v>1717</v>
      </c>
      <c r="E19" s="2096">
        <f>'G-2.12 Misc'!N34</f>
        <v>-210612</v>
      </c>
      <c r="I19" s="2082">
        <v>881000</v>
      </c>
      <c r="J19" s="2115"/>
      <c r="K19" s="2115"/>
      <c r="L19" s="2115"/>
      <c r="M19" s="2083"/>
      <c r="N19" s="2115"/>
      <c r="O19" s="2115"/>
      <c r="P19" s="2115"/>
      <c r="Q19" s="2086">
        <f t="shared" ref="Q19:Q26" si="2">SUM(J19:P19)</f>
        <v>0</v>
      </c>
      <c r="R19" s="1348">
        <f t="shared" si="0"/>
        <v>881000</v>
      </c>
      <c r="S19" s="2087"/>
      <c r="T19" s="1357"/>
    </row>
    <row r="20" spans="1:21">
      <c r="B20" s="2090"/>
      <c r="C20" s="2096"/>
      <c r="D20" s="2090"/>
      <c r="E20" s="2096"/>
      <c r="I20" s="2082">
        <v>894000</v>
      </c>
      <c r="J20" s="2115"/>
      <c r="K20" s="2115"/>
      <c r="L20" s="2115"/>
      <c r="M20" s="2083"/>
      <c r="N20" s="2115"/>
      <c r="O20" s="2115"/>
      <c r="P20" s="2115"/>
      <c r="Q20" s="2086">
        <f t="shared" si="2"/>
        <v>0</v>
      </c>
      <c r="R20" s="1348">
        <f t="shared" si="0"/>
        <v>894000</v>
      </c>
      <c r="S20" s="2087"/>
      <c r="T20" s="1357"/>
    </row>
    <row r="21" spans="1:21">
      <c r="A21" s="2075" t="s">
        <v>1718</v>
      </c>
      <c r="B21" s="2090" t="s">
        <v>1716</v>
      </c>
      <c r="C21" s="2096">
        <v>-16162</v>
      </c>
      <c r="D21" s="2090" t="s">
        <v>1717</v>
      </c>
      <c r="E21" s="2096">
        <f>'G-2.12 Misc'!O34</f>
        <v>-8192</v>
      </c>
      <c r="I21" s="2082">
        <v>892000</v>
      </c>
      <c r="J21" s="2115"/>
      <c r="K21" s="2115"/>
      <c r="L21" s="2115"/>
      <c r="M21" s="2083">
        <v>-1607.08</v>
      </c>
      <c r="N21" s="2115"/>
      <c r="O21" s="2115"/>
      <c r="P21" s="2115"/>
      <c r="Q21" s="2086">
        <f t="shared" si="2"/>
        <v>-1607.08</v>
      </c>
      <c r="R21" s="1348">
        <f t="shared" si="0"/>
        <v>892000</v>
      </c>
      <c r="S21" s="2087"/>
      <c r="T21" s="1357"/>
    </row>
    <row r="22" spans="1:21">
      <c r="B22" s="2090"/>
      <c r="C22" s="2096"/>
      <c r="D22" s="2090"/>
      <c r="E22" s="2096"/>
      <c r="I22" s="2082">
        <v>889000</v>
      </c>
      <c r="J22" s="2115"/>
      <c r="K22" s="2115"/>
      <c r="L22" s="2115"/>
      <c r="M22" s="2083"/>
      <c r="N22" s="2115"/>
      <c r="O22" s="2115"/>
      <c r="P22" s="2115"/>
      <c r="Q22" s="2086">
        <f t="shared" si="2"/>
        <v>0</v>
      </c>
      <c r="R22" s="1348">
        <f t="shared" si="0"/>
        <v>889000</v>
      </c>
      <c r="S22" s="2087"/>
      <c r="T22" s="1357"/>
    </row>
    <row r="23" spans="1:21">
      <c r="A23" s="2075" t="s">
        <v>1710</v>
      </c>
      <c r="B23" s="2090" t="s">
        <v>1716</v>
      </c>
      <c r="C23" s="2096">
        <v>-42466</v>
      </c>
      <c r="D23" s="2090" t="s">
        <v>1717</v>
      </c>
      <c r="E23" s="2096">
        <f>'G-2.12 Misc'!P34</f>
        <v>-13442</v>
      </c>
      <c r="I23" s="2082">
        <v>880000</v>
      </c>
      <c r="J23" s="2115"/>
      <c r="K23" s="2115"/>
      <c r="L23" s="2115"/>
      <c r="M23" s="2083"/>
      <c r="N23" s="2115"/>
      <c r="O23" s="2115"/>
      <c r="P23" s="2115"/>
      <c r="Q23" s="2086">
        <f t="shared" si="2"/>
        <v>0</v>
      </c>
      <c r="R23" s="1348">
        <f t="shared" si="0"/>
        <v>880000</v>
      </c>
      <c r="S23" s="2087"/>
      <c r="T23" s="1357"/>
    </row>
    <row r="24" spans="1:21">
      <c r="B24" s="2090"/>
      <c r="C24" s="2096"/>
      <c r="D24" s="2090"/>
      <c r="E24" s="2096"/>
      <c r="I24" s="2082">
        <v>887000</v>
      </c>
      <c r="J24" s="2115"/>
      <c r="K24" s="2115"/>
      <c r="L24" s="2115"/>
      <c r="M24" s="2083"/>
      <c r="N24" s="2115"/>
      <c r="O24" s="2115"/>
      <c r="P24" s="2115"/>
      <c r="Q24" s="2086">
        <f t="shared" si="2"/>
        <v>0</v>
      </c>
      <c r="R24" s="1348">
        <f t="shared" si="0"/>
        <v>887000</v>
      </c>
      <c r="S24" s="2087"/>
      <c r="T24" s="1357"/>
    </row>
    <row r="25" spans="1:21">
      <c r="A25" s="1217" t="s">
        <v>1719</v>
      </c>
      <c r="B25" s="1217"/>
      <c r="C25" s="2097">
        <f>SUM(C11:C23)</f>
        <v>-1298511.24</v>
      </c>
      <c r="D25" s="2098"/>
      <c r="E25" s="2097">
        <f>SUM(E11:E23)</f>
        <v>-415742.51</v>
      </c>
      <c r="I25" s="2082">
        <v>878000</v>
      </c>
      <c r="J25" s="2115"/>
      <c r="K25" s="2115"/>
      <c r="L25" s="2115"/>
      <c r="M25" s="2083"/>
      <c r="N25" s="2115"/>
      <c r="O25" s="2115"/>
      <c r="P25" s="2115"/>
      <c r="Q25" s="2086">
        <f t="shared" si="2"/>
        <v>0</v>
      </c>
      <c r="R25" s="1348">
        <f t="shared" si="0"/>
        <v>878000</v>
      </c>
      <c r="S25" s="2087"/>
      <c r="T25" s="1357"/>
    </row>
    <row r="26" spans="1:21">
      <c r="I26" s="2082">
        <v>874000</v>
      </c>
      <c r="J26" s="2115"/>
      <c r="K26" s="2115"/>
      <c r="L26" s="2115"/>
      <c r="M26" s="2083">
        <v>-2754.36</v>
      </c>
      <c r="N26" s="2115"/>
      <c r="O26" s="2115"/>
      <c r="P26" s="2115"/>
      <c r="Q26" s="2086">
        <f t="shared" si="2"/>
        <v>-2754.36</v>
      </c>
      <c r="R26" s="1348">
        <f t="shared" si="0"/>
        <v>874000</v>
      </c>
      <c r="S26" s="2087"/>
      <c r="T26" s="1357"/>
    </row>
    <row r="27" spans="1:21" ht="15" thickBot="1">
      <c r="A27" s="2089" t="s">
        <v>1720</v>
      </c>
      <c r="I27" s="2082">
        <v>870000</v>
      </c>
      <c r="J27" s="2115"/>
      <c r="K27" s="2115"/>
      <c r="L27" s="2115"/>
      <c r="M27" s="2083"/>
      <c r="N27" s="2115"/>
      <c r="O27" s="2115"/>
      <c r="P27" s="2115"/>
      <c r="Q27" s="2093">
        <f t="shared" ref="Q27:Q33" si="3">SUM(K27:P27)</f>
        <v>0</v>
      </c>
      <c r="R27" s="2094">
        <f t="shared" si="0"/>
        <v>870000</v>
      </c>
      <c r="S27" s="2095"/>
      <c r="T27" s="1350"/>
    </row>
    <row r="28" spans="1:21">
      <c r="A28" s="2099"/>
      <c r="B28" s="2090"/>
      <c r="C28" s="2096">
        <v>0</v>
      </c>
      <c r="E28" s="2096">
        <v>0</v>
      </c>
      <c r="I28" s="2116">
        <v>813000</v>
      </c>
      <c r="J28" s="2115"/>
      <c r="K28" s="2115"/>
      <c r="L28" s="2115"/>
      <c r="M28" s="2083"/>
      <c r="N28" s="2115"/>
      <c r="O28" s="2115"/>
      <c r="P28" s="2115"/>
      <c r="Q28" s="2085">
        <f t="shared" si="3"/>
        <v>0</v>
      </c>
      <c r="R28" s="2118">
        <f t="shared" si="0"/>
        <v>813000</v>
      </c>
      <c r="S28" s="2076">
        <f>Q28:Q33</f>
        <v>0</v>
      </c>
      <c r="T28" s="1362" t="s">
        <v>1729</v>
      </c>
      <c r="U28" s="3683">
        <f>ROUND(S28/1000,0)</f>
        <v>0</v>
      </c>
    </row>
    <row r="29" spans="1:21">
      <c r="A29" s="1217" t="s">
        <v>1721</v>
      </c>
      <c r="C29" s="2097">
        <f>SUM(C28)</f>
        <v>0</v>
      </c>
      <c r="E29" s="2097">
        <f>SUM(E28)</f>
        <v>0</v>
      </c>
      <c r="I29" s="2116">
        <v>588000</v>
      </c>
      <c r="J29" s="2115"/>
      <c r="K29" s="2115"/>
      <c r="L29" s="2115"/>
      <c r="M29" s="2083"/>
      <c r="N29" s="2115"/>
      <c r="O29" s="2115"/>
      <c r="P29" s="2115"/>
      <c r="Q29" s="2086">
        <f t="shared" si="3"/>
        <v>0</v>
      </c>
      <c r="R29" s="2117">
        <f t="shared" si="0"/>
        <v>588000</v>
      </c>
      <c r="S29" s="2087"/>
      <c r="T29" s="1357"/>
    </row>
    <row r="30" spans="1:21">
      <c r="I30" s="2116">
        <v>566000</v>
      </c>
      <c r="J30" s="2115"/>
      <c r="K30" s="2115"/>
      <c r="L30" s="2115"/>
      <c r="M30" s="2083"/>
      <c r="N30" s="2115"/>
      <c r="O30" s="2115"/>
      <c r="P30" s="2115"/>
      <c r="Q30" s="2086">
        <f t="shared" si="3"/>
        <v>0</v>
      </c>
      <c r="R30" s="2117">
        <f t="shared" si="0"/>
        <v>566000</v>
      </c>
      <c r="S30" s="2087"/>
      <c r="T30" s="1357"/>
    </row>
    <row r="31" spans="1:21" ht="15" thickBot="1">
      <c r="A31" s="2075" t="s">
        <v>151</v>
      </c>
      <c r="C31" s="2100">
        <f>C29-C25</f>
        <v>1298511.24</v>
      </c>
      <c r="E31" s="2100">
        <f>E29-E25</f>
        <v>415742.51</v>
      </c>
      <c r="I31" s="2116">
        <v>557170</v>
      </c>
      <c r="J31" s="2115"/>
      <c r="K31" s="2115"/>
      <c r="L31" s="2115"/>
      <c r="M31" s="2083"/>
      <c r="N31" s="2115"/>
      <c r="O31" s="2115"/>
      <c r="P31" s="2115"/>
      <c r="Q31" s="2086">
        <f t="shared" si="3"/>
        <v>0</v>
      </c>
      <c r="R31" s="2117">
        <f t="shared" si="0"/>
        <v>557170</v>
      </c>
      <c r="S31" s="2087"/>
      <c r="T31" s="1357"/>
    </row>
    <row r="32" spans="1:21" ht="15.5" thickTop="1" thickBot="1">
      <c r="I32" s="2116">
        <v>535000</v>
      </c>
      <c r="J32" s="2115"/>
      <c r="K32" s="2115"/>
      <c r="L32" s="2115"/>
      <c r="M32" s="2083">
        <v>23.82</v>
      </c>
      <c r="N32" s="2115"/>
      <c r="O32" s="2115"/>
      <c r="P32" s="2115"/>
      <c r="Q32" s="2086">
        <f t="shared" si="3"/>
        <v>23.82</v>
      </c>
      <c r="R32" s="2117">
        <f t="shared" si="0"/>
        <v>535000</v>
      </c>
      <c r="S32" s="2087"/>
      <c r="T32" s="1357"/>
    </row>
    <row r="33" spans="2:21" ht="15" thickBot="1">
      <c r="B33" s="877" t="s">
        <v>3406</v>
      </c>
      <c r="C33" s="1565">
        <v>1296760.98</v>
      </c>
      <c r="D33" s="3682"/>
      <c r="E33" s="1565">
        <v>415188.47</v>
      </c>
      <c r="I33" s="2116">
        <v>426500</v>
      </c>
      <c r="J33" s="2115"/>
      <c r="K33" s="2115"/>
      <c r="L33" s="2115"/>
      <c r="M33" s="2083"/>
      <c r="N33" s="2115"/>
      <c r="O33" s="2115"/>
      <c r="P33" s="2115"/>
      <c r="Q33" s="2093">
        <f t="shared" si="3"/>
        <v>0</v>
      </c>
      <c r="R33" s="2114">
        <f t="shared" si="0"/>
        <v>426500</v>
      </c>
      <c r="S33" s="2095"/>
      <c r="T33" s="1350"/>
    </row>
    <row r="34" spans="2:21" ht="15" thickBot="1">
      <c r="B34" s="877" t="s">
        <v>3407</v>
      </c>
      <c r="C34" s="1069">
        <f>C33-C31</f>
        <v>-1750.2600000000093</v>
      </c>
      <c r="D34" s="3682"/>
      <c r="E34" s="1069">
        <f>E33-E31</f>
        <v>-554.04000000003725</v>
      </c>
      <c r="I34" s="2101"/>
      <c r="J34" s="2113">
        <f>SUM(J3:J33)</f>
        <v>-177863</v>
      </c>
      <c r="K34" s="2112">
        <f>SUM(K3:K30)</f>
        <v>1675</v>
      </c>
      <c r="L34" s="2112">
        <f>SUM(L3:L33)</f>
        <v>-1591.6</v>
      </c>
      <c r="M34" s="2112">
        <f>SUM(M3:M33)</f>
        <v>-5716.91</v>
      </c>
      <c r="N34" s="2112">
        <f>SUM(N3:N30)</f>
        <v>-210612</v>
      </c>
      <c r="O34" s="2112">
        <f>SUM(O3:O30)</f>
        <v>-8192</v>
      </c>
      <c r="P34" s="2112">
        <f>SUM(P3:P30)</f>
        <v>-13442</v>
      </c>
      <c r="Q34" s="2111">
        <f>SUM(Q3:Q33)</f>
        <v>-415742.50999999995</v>
      </c>
      <c r="R34" s="2110"/>
      <c r="S34" s="2095">
        <f>SUM(S3:S33)</f>
        <v>-415766.32999999996</v>
      </c>
      <c r="T34" s="2109"/>
      <c r="U34" s="3683">
        <f>ROUND(S34/1000,0)</f>
        <v>-416</v>
      </c>
    </row>
    <row r="35" spans="2:21">
      <c r="J35" s="2102" t="s">
        <v>1722</v>
      </c>
      <c r="K35" s="2102" t="s">
        <v>1723</v>
      </c>
      <c r="L35" s="2102" t="s">
        <v>1724</v>
      </c>
      <c r="M35" s="2102" t="s">
        <v>1725</v>
      </c>
      <c r="N35" s="2102" t="s">
        <v>1726</v>
      </c>
      <c r="O35" s="2102" t="s">
        <v>1727</v>
      </c>
      <c r="P35" s="2102" t="s">
        <v>1728</v>
      </c>
      <c r="Q35" s="2104"/>
      <c r="S35" s="2091"/>
      <c r="T35" s="2108"/>
    </row>
    <row r="36" spans="2:21">
      <c r="K36" s="2103"/>
      <c r="L36" s="2107"/>
      <c r="M36" s="2103"/>
      <c r="N36" s="2104"/>
      <c r="O36" s="2104"/>
      <c r="P36" s="2103"/>
      <c r="Q36" s="2104"/>
      <c r="S36" s="2104"/>
      <c r="T36" s="2108"/>
    </row>
    <row r="37" spans="2:21">
      <c r="L37" s="2107"/>
    </row>
    <row r="38" spans="2:21">
      <c r="L38" s="2107"/>
    </row>
    <row r="39" spans="2:21">
      <c r="L39" s="2107"/>
    </row>
    <row r="40" spans="2:21">
      <c r="L40" s="2107"/>
    </row>
  </sheetData>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1640625" defaultRowHeight="14.5"/>
  <cols>
    <col min="1" max="1" width="30.1796875" style="2126" customWidth="1"/>
    <col min="2" max="2" width="12.54296875" style="2124" bestFit="1" customWidth="1"/>
    <col min="3" max="3" width="13.54296875" style="2125" customWidth="1"/>
    <col min="4" max="4" width="12.54296875" style="2126" bestFit="1" customWidth="1"/>
    <col min="5" max="5" width="12.54296875" style="2124" bestFit="1" customWidth="1"/>
    <col min="6" max="6" width="14.26953125" style="2124" bestFit="1" customWidth="1"/>
    <col min="7" max="7" width="12.54296875" style="2124" bestFit="1" customWidth="1"/>
    <col min="8" max="8" width="5.1796875" style="2124" customWidth="1"/>
    <col min="9" max="9" width="16.1796875" style="2127" customWidth="1"/>
    <col min="10" max="10" width="15.26953125" style="2127" bestFit="1" customWidth="1"/>
    <col min="11" max="11" width="15.26953125" style="2127" customWidth="1"/>
    <col min="12" max="12" width="8.81640625" style="2128"/>
    <col min="13" max="13" width="1.7265625" style="2129" customWidth="1"/>
    <col min="14" max="14" width="8.81640625" style="2128"/>
    <col min="15" max="15" width="32.26953125" style="2130" customWidth="1"/>
    <col min="16" max="16" width="30.26953125" style="2130" customWidth="1"/>
    <col min="17" max="17" width="17.54296875" style="2130" customWidth="1"/>
    <col min="18" max="18" width="19" style="2130" customWidth="1"/>
    <col min="19" max="19" width="8.81640625" style="2128"/>
    <col min="20" max="20" width="1.7265625" style="2129" customWidth="1"/>
    <col min="21" max="21" width="8.81640625" style="2128"/>
    <col min="22" max="22" width="47.7265625" style="2130" bestFit="1" customWidth="1"/>
    <col min="23" max="28" width="20.26953125" style="2130" customWidth="1"/>
    <col min="29" max="29" width="9.453125" style="2130" customWidth="1"/>
    <col min="30" max="16384" width="8.81640625" style="2128"/>
  </cols>
  <sheetData>
    <row r="1" spans="1:29">
      <c r="A1" s="2123" t="s">
        <v>1734</v>
      </c>
      <c r="O1" s="3959" t="s">
        <v>1735</v>
      </c>
      <c r="P1" s="3960"/>
      <c r="Q1" s="3960"/>
      <c r="R1" s="3960"/>
      <c r="V1" s="2130" t="s">
        <v>1736</v>
      </c>
    </row>
    <row r="2" spans="1:29">
      <c r="A2" s="2123" t="s">
        <v>1737</v>
      </c>
      <c r="O2" s="3959" t="s">
        <v>1738</v>
      </c>
      <c r="P2" s="3960"/>
      <c r="Q2" s="3960"/>
      <c r="R2" s="3960"/>
    </row>
    <row r="3" spans="1:29">
      <c r="A3" s="2123"/>
      <c r="O3" s="2127"/>
      <c r="P3" s="2127"/>
      <c r="Q3" s="2127"/>
      <c r="V3" s="2127" t="s">
        <v>1251</v>
      </c>
      <c r="W3" s="2127" t="s">
        <v>1252</v>
      </c>
      <c r="X3" s="2127"/>
      <c r="Y3" s="2127"/>
      <c r="Z3" s="2127"/>
      <c r="AA3" s="2127"/>
      <c r="AB3" s="2127"/>
    </row>
    <row r="4" spans="1:29">
      <c r="A4" s="2131" t="s">
        <v>1739</v>
      </c>
      <c r="B4" s="2127"/>
      <c r="C4" s="2127"/>
      <c r="D4" s="2127"/>
      <c r="E4" s="2127"/>
      <c r="F4" s="2132"/>
      <c r="G4" s="2132" t="s">
        <v>1740</v>
      </c>
      <c r="H4" s="2127"/>
      <c r="J4" s="2132" t="s">
        <v>1740</v>
      </c>
      <c r="O4" s="2127" t="s">
        <v>1741</v>
      </c>
      <c r="P4" s="2127"/>
      <c r="Q4" s="2127"/>
      <c r="V4" s="2133" t="s">
        <v>1170</v>
      </c>
      <c r="W4" s="2133" t="s">
        <v>1742</v>
      </c>
      <c r="X4" s="2133" t="s">
        <v>1743</v>
      </c>
      <c r="Y4" s="2133" t="s">
        <v>1744</v>
      </c>
      <c r="Z4" s="2133" t="s">
        <v>1745</v>
      </c>
      <c r="AA4" s="2133" t="s">
        <v>377</v>
      </c>
      <c r="AB4" s="2133" t="s">
        <v>978</v>
      </c>
    </row>
    <row r="5" spans="1:29" ht="29">
      <c r="A5" s="2134" t="s">
        <v>1736</v>
      </c>
      <c r="B5" s="2134">
        <v>2017</v>
      </c>
      <c r="C5" s="2134">
        <v>2018</v>
      </c>
      <c r="D5" s="2134">
        <v>2019</v>
      </c>
      <c r="E5" s="2134">
        <v>2020</v>
      </c>
      <c r="F5" s="2134">
        <v>2021</v>
      </c>
      <c r="G5" s="2134">
        <v>2022</v>
      </c>
      <c r="H5" s="2135"/>
      <c r="I5" s="2136" t="s">
        <v>1746</v>
      </c>
      <c r="J5" s="2136" t="s">
        <v>1747</v>
      </c>
      <c r="K5" s="2136" t="s">
        <v>1748</v>
      </c>
      <c r="O5" s="2137" t="s">
        <v>1251</v>
      </c>
      <c r="P5" s="2137"/>
      <c r="Q5" s="2137"/>
      <c r="V5" s="2138">
        <v>202207</v>
      </c>
      <c r="W5" s="2139">
        <f t="shared" ref="W5:AB5" si="0">SUM(W6:W7)</f>
        <v>148156.82999999999</v>
      </c>
      <c r="X5" s="2139">
        <f t="shared" si="0"/>
        <v>2274.9899999999998</v>
      </c>
      <c r="Y5" s="2139">
        <f t="shared" si="0"/>
        <v>2978.96</v>
      </c>
      <c r="Z5" s="2139">
        <f t="shared" si="0"/>
        <v>324134.11</v>
      </c>
      <c r="AA5" s="2139">
        <f t="shared" si="0"/>
        <v>36312.31</v>
      </c>
      <c r="AB5" s="2139">
        <f t="shared" si="0"/>
        <v>513857.19999999995</v>
      </c>
      <c r="AC5" s="2123"/>
    </row>
    <row r="6" spans="1:29">
      <c r="A6" s="2140" t="s">
        <v>1749</v>
      </c>
      <c r="B6" s="2141">
        <v>8907284.0899999999</v>
      </c>
      <c r="C6" s="2141">
        <v>8939222</v>
      </c>
      <c r="D6" s="2141">
        <v>9560785</v>
      </c>
      <c r="E6" s="2141">
        <v>11027927</v>
      </c>
      <c r="F6" s="2142">
        <v>11636327</v>
      </c>
      <c r="G6" s="2142">
        <v>11677040</v>
      </c>
      <c r="H6" s="2127"/>
      <c r="I6" s="2143"/>
      <c r="J6" s="2140"/>
      <c r="K6" s="2140"/>
      <c r="O6" s="2137" t="s">
        <v>1750</v>
      </c>
      <c r="P6" s="2144" t="s">
        <v>1751</v>
      </c>
      <c r="Q6" s="2144" t="s">
        <v>1752</v>
      </c>
      <c r="V6" s="2145" t="s">
        <v>1753</v>
      </c>
      <c r="W6" s="2146">
        <v>132012.03</v>
      </c>
      <c r="X6" s="2146">
        <v>2274.9899999999998</v>
      </c>
      <c r="Y6" s="2146">
        <v>2975.29</v>
      </c>
      <c r="Z6" s="2146">
        <v>309011.84999999998</v>
      </c>
      <c r="AA6" s="2146">
        <v>35210.86</v>
      </c>
      <c r="AB6" s="2146">
        <f>SUM(W6:AA6)</f>
        <v>481485.01999999996</v>
      </c>
    </row>
    <row r="7" spans="1:29">
      <c r="A7" s="2140"/>
      <c r="B7" s="2141"/>
      <c r="C7" s="2141"/>
      <c r="D7" s="2141"/>
      <c r="E7" s="2141"/>
      <c r="F7" s="2141"/>
      <c r="G7" s="2141"/>
      <c r="H7" s="2127"/>
      <c r="I7" s="2140"/>
      <c r="J7" s="2140"/>
      <c r="K7" s="2140"/>
      <c r="O7" s="2137" t="s">
        <v>1754</v>
      </c>
      <c r="P7" s="2144" t="s">
        <v>1755</v>
      </c>
      <c r="Q7" s="2144" t="s">
        <v>1756</v>
      </c>
      <c r="V7" s="2145" t="s">
        <v>1757</v>
      </c>
      <c r="W7" s="2146">
        <v>16144.8</v>
      </c>
      <c r="X7" s="2146"/>
      <c r="Y7" s="2146">
        <v>3.67</v>
      </c>
      <c r="Z7" s="2146">
        <v>15122.26</v>
      </c>
      <c r="AA7" s="2146">
        <v>1101.45</v>
      </c>
      <c r="AB7" s="2146">
        <f>SUM(W7:AA7)</f>
        <v>32372.18</v>
      </c>
    </row>
    <row r="8" spans="1:29">
      <c r="A8" s="2140" t="s">
        <v>128</v>
      </c>
      <c r="B8" s="2141">
        <v>3024645.6942000003</v>
      </c>
      <c r="C8" s="2141">
        <v>2763400.8181698681</v>
      </c>
      <c r="D8" s="2141">
        <v>1915430.404649351</v>
      </c>
      <c r="E8" s="2141">
        <v>1301158.3403929451</v>
      </c>
      <c r="F8" s="2141">
        <v>4674952.357970004</v>
      </c>
      <c r="G8" s="2141">
        <v>797795.87000000034</v>
      </c>
      <c r="H8" s="2147">
        <f>G8/$G$12</f>
        <v>9.9802450921696831E-2</v>
      </c>
      <c r="I8" s="2143">
        <f>AVERAGE(B8:G8)</f>
        <v>2412897.2475636951</v>
      </c>
      <c r="J8" s="2143">
        <f>'G-2.13 Incentives'!W50</f>
        <v>1282277.4099999999</v>
      </c>
      <c r="K8" s="2143"/>
      <c r="O8" s="2137" t="s">
        <v>1758</v>
      </c>
      <c r="P8" s="2144" t="s">
        <v>1745</v>
      </c>
      <c r="Q8" s="2144" t="s">
        <v>1744</v>
      </c>
      <c r="V8" s="2138">
        <f>+V5+1</f>
        <v>202208</v>
      </c>
      <c r="W8" s="2139">
        <f t="shared" ref="W8:AB8" si="1">SUM(W9:W10)</f>
        <v>159034.56999999998</v>
      </c>
      <c r="X8" s="2139">
        <f t="shared" si="1"/>
        <v>-963.88</v>
      </c>
      <c r="Y8" s="2139">
        <f t="shared" si="1"/>
        <v>6995.6</v>
      </c>
      <c r="Z8" s="2139">
        <f t="shared" si="1"/>
        <v>581574.43999999994</v>
      </c>
      <c r="AA8" s="2139">
        <f t="shared" si="1"/>
        <v>122883.91</v>
      </c>
      <c r="AB8" s="2139">
        <f t="shared" si="1"/>
        <v>869524.6399999999</v>
      </c>
      <c r="AC8" s="2123"/>
    </row>
    <row r="9" spans="1:29">
      <c r="A9" s="2140" t="s">
        <v>938</v>
      </c>
      <c r="B9" s="2141">
        <v>232665.0534</v>
      </c>
      <c r="C9" s="2141">
        <v>227418.58825925156</v>
      </c>
      <c r="D9" s="2141">
        <v>157633.47671826064</v>
      </c>
      <c r="E9" s="2141">
        <v>107080.95290710905</v>
      </c>
      <c r="F9" s="2141">
        <v>44962.698830913003</v>
      </c>
      <c r="G9" s="2141">
        <v>3228217</v>
      </c>
      <c r="H9" s="2147">
        <f>G9/$G$12</f>
        <v>0.40384261290684198</v>
      </c>
      <c r="I9" s="2143">
        <f>AVERAGE(B9:G9)</f>
        <v>666329.62835258909</v>
      </c>
      <c r="J9" s="2143">
        <f>'G-2.13 Incentives'!Y50</f>
        <v>3218450.4099999997</v>
      </c>
      <c r="K9" s="2143"/>
      <c r="O9" s="2148" t="s">
        <v>679</v>
      </c>
      <c r="P9" s="2149"/>
      <c r="Q9" s="2149"/>
      <c r="V9" s="2145" t="s">
        <v>1753</v>
      </c>
      <c r="W9" s="2146">
        <v>142358.60999999999</v>
      </c>
      <c r="X9" s="2146">
        <v>-963.88</v>
      </c>
      <c r="Y9" s="2146">
        <v>6976.83</v>
      </c>
      <c r="Z9" s="2146">
        <v>559445.81999999995</v>
      </c>
      <c r="AA9" s="2146">
        <v>116297.47</v>
      </c>
      <c r="AB9" s="2146">
        <f>SUM(W9:AA9)</f>
        <v>824114.84999999986</v>
      </c>
    </row>
    <row r="10" spans="1:29">
      <c r="A10" s="2140" t="s">
        <v>933</v>
      </c>
      <c r="B10" s="2141">
        <v>6747286.5485999994</v>
      </c>
      <c r="C10" s="2141">
        <v>6703033.547677394</v>
      </c>
      <c r="D10" s="2141">
        <v>4646157.0743504977</v>
      </c>
      <c r="E10" s="2141">
        <v>3156150.1860849573</v>
      </c>
      <c r="F10" s="2141">
        <v>7980128.549638628</v>
      </c>
      <c r="G10" s="2141">
        <v>3109772</v>
      </c>
      <c r="H10" s="2147">
        <f>G10/$G$12</f>
        <v>0.38902541248761652</v>
      </c>
      <c r="I10" s="2143">
        <f>AVERAGE(B10:G10)</f>
        <v>5390421.3177252458</v>
      </c>
      <c r="J10" s="2143">
        <f>'G-2.13 Incentives'!Z50</f>
        <v>3915750.5500000007</v>
      </c>
      <c r="K10" s="2143">
        <f>I10-J10</f>
        <v>1474670.7677252451</v>
      </c>
      <c r="O10" s="2128">
        <v>202207</v>
      </c>
      <c r="P10" s="2150">
        <v>66368.75</v>
      </c>
      <c r="Q10" s="2150">
        <v>71899.48</v>
      </c>
      <c r="V10" s="2145" t="s">
        <v>1757</v>
      </c>
      <c r="W10" s="2146">
        <v>16675.96</v>
      </c>
      <c r="X10" s="2146"/>
      <c r="Y10" s="2146">
        <v>18.77</v>
      </c>
      <c r="Z10" s="2146">
        <v>22128.62</v>
      </c>
      <c r="AA10" s="2146">
        <v>6586.44</v>
      </c>
      <c r="AB10" s="2146">
        <f>SUM(W10:AA10)</f>
        <v>45409.79</v>
      </c>
    </row>
    <row r="11" spans="1:29" ht="16">
      <c r="A11" s="2140" t="s">
        <v>471</v>
      </c>
      <c r="B11" s="2151">
        <v>1628655.3738000002</v>
      </c>
      <c r="C11" s="2151">
        <v>1636727.1251204626</v>
      </c>
      <c r="D11" s="2151">
        <v>1134485.0442818908</v>
      </c>
      <c r="E11" s="2151">
        <v>770659.52061498829</v>
      </c>
      <c r="F11" s="2151">
        <v>568140.39356045367</v>
      </c>
      <c r="G11" s="2151">
        <v>857965.4099999998</v>
      </c>
      <c r="H11" s="2147">
        <f>G11/$G$12</f>
        <v>0.10732952368384464</v>
      </c>
      <c r="I11" s="2143">
        <f>AVERAGE(B11:G11)</f>
        <v>1099438.8112296325</v>
      </c>
      <c r="J11" s="2143">
        <f>'G-2.13 Incentives'!AA50+'G-2.13 Incentives'!X50</f>
        <v>989534.47999999986</v>
      </c>
      <c r="K11" s="2152"/>
      <c r="O11" s="2128">
        <v>202208</v>
      </c>
      <c r="P11" s="2150">
        <v>66368.75</v>
      </c>
      <c r="Q11" s="2150">
        <v>71899.48</v>
      </c>
      <c r="V11" s="2138">
        <f>+V8+1</f>
        <v>202209</v>
      </c>
      <c r="W11" s="2139">
        <f t="shared" ref="W11:AB11" si="2">SUM(W12:W13)</f>
        <v>228965.57</v>
      </c>
      <c r="X11" s="2139">
        <f t="shared" si="2"/>
        <v>1571.28</v>
      </c>
      <c r="Y11" s="2139">
        <f t="shared" si="2"/>
        <v>4737.9699999999993</v>
      </c>
      <c r="Z11" s="2139">
        <f t="shared" si="2"/>
        <v>344232.96000000002</v>
      </c>
      <c r="AA11" s="2139">
        <f t="shared" si="2"/>
        <v>19846.439999999999</v>
      </c>
      <c r="AB11" s="2139">
        <f t="shared" si="2"/>
        <v>599354.22000000009</v>
      </c>
      <c r="AC11" s="2123"/>
    </row>
    <row r="12" spans="1:29">
      <c r="A12" s="2153" t="s">
        <v>1740</v>
      </c>
      <c r="B12" s="2154">
        <f t="shared" ref="B12:G12" si="3">SUM(B8:B11)</f>
        <v>11633252.67</v>
      </c>
      <c r="C12" s="2154">
        <f t="shared" si="3"/>
        <v>11330580.079226976</v>
      </c>
      <c r="D12" s="2154">
        <f t="shared" si="3"/>
        <v>7853706</v>
      </c>
      <c r="E12" s="2154">
        <f t="shared" si="3"/>
        <v>5335048.9999999991</v>
      </c>
      <c r="F12" s="2154">
        <f t="shared" si="3"/>
        <v>13268184</v>
      </c>
      <c r="G12" s="2154">
        <f t="shared" si="3"/>
        <v>7993750.2800000003</v>
      </c>
      <c r="H12" s="2127"/>
      <c r="I12" s="2143">
        <f>SUM(I8:I11)</f>
        <v>9569087.0048711635</v>
      </c>
      <c r="J12" s="2143">
        <f>SUM(J8:J11)</f>
        <v>9406012.8500000015</v>
      </c>
      <c r="K12" s="2143">
        <f>SUM(K8:K11)</f>
        <v>1474670.7677252451</v>
      </c>
      <c r="O12" s="2128">
        <v>202209</v>
      </c>
      <c r="P12" s="2150">
        <v>122978.75</v>
      </c>
      <c r="Q12" s="2150">
        <v>133226.98000000001</v>
      </c>
      <c r="V12" s="2145" t="s">
        <v>1753</v>
      </c>
      <c r="W12" s="2146">
        <v>204946.89</v>
      </c>
      <c r="X12" s="2146">
        <v>1571.28</v>
      </c>
      <c r="Y12" s="2146">
        <v>4496.9799999999996</v>
      </c>
      <c r="Z12" s="2146">
        <v>324989.77</v>
      </c>
      <c r="AA12" s="2146">
        <v>23267.87</v>
      </c>
      <c r="AB12" s="2146">
        <f>SUM(W12:AA12)</f>
        <v>559272.79</v>
      </c>
    </row>
    <row r="13" spans="1:29">
      <c r="A13" s="2140"/>
      <c r="B13" s="2140"/>
      <c r="C13" s="2140"/>
      <c r="D13" s="2140"/>
      <c r="E13" s="2140"/>
      <c r="F13" s="2140"/>
      <c r="G13" s="2140"/>
      <c r="H13" s="2127"/>
      <c r="I13" s="2140"/>
      <c r="J13" s="2140"/>
      <c r="K13" s="2140"/>
      <c r="O13" s="2128">
        <v>202210</v>
      </c>
      <c r="P13" s="2150">
        <v>-169537.08</v>
      </c>
      <c r="Q13" s="2150">
        <v>78713.649999999994</v>
      </c>
      <c r="V13" s="2145" t="s">
        <v>1757</v>
      </c>
      <c r="W13" s="2146">
        <v>24018.68</v>
      </c>
      <c r="X13" s="2146"/>
      <c r="Y13" s="2146">
        <v>240.99</v>
      </c>
      <c r="Z13" s="2146">
        <v>19243.189999999999</v>
      </c>
      <c r="AA13" s="2146">
        <v>-3421.43</v>
      </c>
      <c r="AB13" s="2146">
        <f>SUM(W13:AA13)</f>
        <v>40081.43</v>
      </c>
    </row>
    <row r="14" spans="1:29" ht="29">
      <c r="A14" s="2155" t="s">
        <v>1759</v>
      </c>
      <c r="B14" s="2155">
        <f t="shared" ref="B14:G14" si="4">+B5</f>
        <v>2017</v>
      </c>
      <c r="C14" s="2155">
        <f t="shared" si="4"/>
        <v>2018</v>
      </c>
      <c r="D14" s="2155">
        <f t="shared" si="4"/>
        <v>2019</v>
      </c>
      <c r="E14" s="2155">
        <f t="shared" si="4"/>
        <v>2020</v>
      </c>
      <c r="F14" s="2155">
        <f t="shared" si="4"/>
        <v>2021</v>
      </c>
      <c r="G14" s="2155">
        <f t="shared" si="4"/>
        <v>2022</v>
      </c>
      <c r="H14" s="2127"/>
      <c r="I14" s="2156" t="s">
        <v>1746</v>
      </c>
      <c r="J14" s="2136" t="str">
        <f>+J5</f>
        <v>12 ME 06.2023 Expense</v>
      </c>
      <c r="K14" s="2136" t="s">
        <v>1748</v>
      </c>
      <c r="O14" s="2128">
        <v>202211</v>
      </c>
      <c r="P14" s="2150">
        <v>48439.17</v>
      </c>
      <c r="Q14" s="2150">
        <v>78713.649999999994</v>
      </c>
      <c r="V14" s="2138">
        <f>+V11+1</f>
        <v>202210</v>
      </c>
      <c r="W14" s="2139">
        <f t="shared" ref="W14:AB14" si="5">SUM(W15:W16)</f>
        <v>71162.39</v>
      </c>
      <c r="X14" s="2139">
        <f t="shared" si="5"/>
        <v>639.84</v>
      </c>
      <c r="Y14" s="2139">
        <f t="shared" si="5"/>
        <v>1585.9599999999998</v>
      </c>
      <c r="Z14" s="2139">
        <f t="shared" si="5"/>
        <v>181213.06</v>
      </c>
      <c r="AA14" s="2139">
        <f t="shared" si="5"/>
        <v>15868.83</v>
      </c>
      <c r="AB14" s="2139">
        <f t="shared" si="5"/>
        <v>270470.08</v>
      </c>
      <c r="AC14" s="2123"/>
    </row>
    <row r="15" spans="1:29">
      <c r="A15" s="2140" t="s">
        <v>1749</v>
      </c>
      <c r="B15" s="2141">
        <v>2645970</v>
      </c>
      <c r="C15" s="2141">
        <v>2786099</v>
      </c>
      <c r="D15" s="2141">
        <v>2981115</v>
      </c>
      <c r="E15" s="2141">
        <v>2486258</v>
      </c>
      <c r="F15" s="2142">
        <v>2461365</v>
      </c>
      <c r="G15" s="2142">
        <v>2461365</v>
      </c>
      <c r="H15" s="2127"/>
      <c r="I15" s="2143"/>
      <c r="J15" s="2140"/>
      <c r="K15" s="2140"/>
      <c r="O15" s="2128">
        <v>202212</v>
      </c>
      <c r="P15" s="2150">
        <v>48439.17</v>
      </c>
      <c r="Q15" s="2150">
        <v>1851587.15</v>
      </c>
      <c r="V15" s="2145" t="s">
        <v>1753</v>
      </c>
      <c r="W15" s="2146">
        <v>62546.04</v>
      </c>
      <c r="X15" s="2146">
        <v>639.84</v>
      </c>
      <c r="Y15" s="2146">
        <v>1584.6</v>
      </c>
      <c r="Z15" s="2146">
        <v>173727.95</v>
      </c>
      <c r="AA15" s="2146">
        <v>16183.75</v>
      </c>
      <c r="AB15" s="2146">
        <f>SUM(W15:AA15)</f>
        <v>254682.18</v>
      </c>
    </row>
    <row r="16" spans="1:29">
      <c r="A16" s="2140"/>
      <c r="B16" s="2141"/>
      <c r="C16" s="2141"/>
      <c r="D16" s="2141"/>
      <c r="E16" s="2141"/>
      <c r="F16" s="2141"/>
      <c r="G16" s="2141"/>
      <c r="H16" s="2127"/>
      <c r="I16" s="2143"/>
      <c r="J16" s="2140"/>
      <c r="K16" s="2140"/>
      <c r="O16" s="2128">
        <v>202301</v>
      </c>
      <c r="P16" s="2150">
        <v>96878.33</v>
      </c>
      <c r="Q16" s="2150">
        <v>145317.5</v>
      </c>
      <c r="V16" s="2145" t="s">
        <v>1757</v>
      </c>
      <c r="W16" s="2146">
        <v>8616.35</v>
      </c>
      <c r="X16" s="2146"/>
      <c r="Y16" s="2146">
        <v>1.36</v>
      </c>
      <c r="Z16" s="2146">
        <v>7485.11</v>
      </c>
      <c r="AA16" s="2146">
        <v>-314.92</v>
      </c>
      <c r="AB16" s="2146">
        <f>SUM(W16:AA16)</f>
        <v>15787.9</v>
      </c>
    </row>
    <row r="17" spans="1:29">
      <c r="A17" s="2140" t="s">
        <v>933</v>
      </c>
      <c r="B17" s="2141">
        <v>1298642</v>
      </c>
      <c r="C17" s="2141">
        <v>1246174</v>
      </c>
      <c r="D17" s="2141">
        <v>979535</v>
      </c>
      <c r="E17" s="2141">
        <v>497252</v>
      </c>
      <c r="F17" s="2141">
        <v>695450</v>
      </c>
      <c r="G17" s="2141">
        <v>581270.01000000013</v>
      </c>
      <c r="H17" s="2127"/>
      <c r="I17" s="2143">
        <f>AVERAGE(B17:G17)</f>
        <v>883053.83499999996</v>
      </c>
      <c r="J17" s="2143">
        <f>'G-2.13 Incentives'!P24</f>
        <v>673132.33000000007</v>
      </c>
      <c r="K17" s="2143">
        <f>I17-J17</f>
        <v>209921.50499999989</v>
      </c>
      <c r="O17" s="2128">
        <v>202302</v>
      </c>
      <c r="P17" s="2150">
        <v>94251.67</v>
      </c>
      <c r="Q17" s="2150">
        <v>141377.5</v>
      </c>
      <c r="V17" s="2138">
        <f>+V14+1</f>
        <v>202211</v>
      </c>
      <c r="W17" s="2139">
        <f t="shared" ref="W17:AB17" si="6">SUM(W18:W19)</f>
        <v>86220.650000000009</v>
      </c>
      <c r="X17" s="2139">
        <f t="shared" si="6"/>
        <v>835.8</v>
      </c>
      <c r="Y17" s="2139">
        <f t="shared" si="6"/>
        <v>3220.7999999999997</v>
      </c>
      <c r="Z17" s="2139">
        <f t="shared" si="6"/>
        <v>242869.87</v>
      </c>
      <c r="AA17" s="2139">
        <f t="shared" si="6"/>
        <v>49788.579999999994</v>
      </c>
      <c r="AB17" s="2139">
        <f t="shared" si="6"/>
        <v>382935.69999999995</v>
      </c>
      <c r="AC17" s="2123"/>
    </row>
    <row r="18" spans="1:29" ht="16">
      <c r="A18" s="2140" t="s">
        <v>938</v>
      </c>
      <c r="B18" s="2151">
        <v>1111307</v>
      </c>
      <c r="C18" s="2151">
        <v>1539925</v>
      </c>
      <c r="D18" s="2151">
        <v>2861870</v>
      </c>
      <c r="E18" s="2151">
        <v>124312</v>
      </c>
      <c r="F18" s="2151">
        <v>2042921</v>
      </c>
      <c r="G18" s="2151">
        <v>2717437.26</v>
      </c>
      <c r="H18" s="2127"/>
      <c r="I18" s="2152">
        <f>AVERAGE(B18:G18)</f>
        <v>1732962.0433333332</v>
      </c>
      <c r="J18" s="2152">
        <f>'G-2.13 Incentives'!Q24</f>
        <v>2811524.76</v>
      </c>
      <c r="K18" s="2152"/>
      <c r="O18" s="2128">
        <v>202303</v>
      </c>
      <c r="P18" s="2150">
        <v>112265</v>
      </c>
      <c r="Q18" s="2150">
        <v>259416</v>
      </c>
      <c r="V18" s="2145" t="s">
        <v>1753</v>
      </c>
      <c r="W18" s="2146">
        <v>77658.350000000006</v>
      </c>
      <c r="X18" s="2146">
        <v>835.8</v>
      </c>
      <c r="Y18" s="2146">
        <v>3205.43</v>
      </c>
      <c r="Z18" s="2146">
        <v>232234.29</v>
      </c>
      <c r="AA18" s="2146">
        <v>47171.09</v>
      </c>
      <c r="AB18" s="2146">
        <f>SUM(W18:AA18)</f>
        <v>361104.95999999996</v>
      </c>
    </row>
    <row r="19" spans="1:29">
      <c r="A19" s="2153" t="s">
        <v>1740</v>
      </c>
      <c r="B19" s="2154">
        <f t="shared" ref="B19:G19" si="7">SUM(B17:B18)</f>
        <v>2409949</v>
      </c>
      <c r="C19" s="2154">
        <f t="shared" si="7"/>
        <v>2786099</v>
      </c>
      <c r="D19" s="2154">
        <f t="shared" si="7"/>
        <v>3841405</v>
      </c>
      <c r="E19" s="2154">
        <f t="shared" si="7"/>
        <v>621564</v>
      </c>
      <c r="F19" s="2154">
        <f t="shared" si="7"/>
        <v>2738371</v>
      </c>
      <c r="G19" s="2154">
        <f t="shared" si="7"/>
        <v>3298707.27</v>
      </c>
      <c r="H19" s="2127"/>
      <c r="I19" s="2143">
        <f>SUM(I17:I18)</f>
        <v>2616015.8783333329</v>
      </c>
      <c r="J19" s="2143">
        <f>SUM(J17:J18)</f>
        <v>3484657.09</v>
      </c>
      <c r="K19" s="2143">
        <f>SUM(K17:K18)</f>
        <v>209921.50499999989</v>
      </c>
      <c r="O19" s="2128">
        <v>202304</v>
      </c>
      <c r="P19" s="2150">
        <v>101131.67</v>
      </c>
      <c r="Q19" s="2150">
        <v>182037</v>
      </c>
      <c r="V19" s="2145" t="s">
        <v>1757</v>
      </c>
      <c r="W19" s="2146">
        <v>8562.2999999999993</v>
      </c>
      <c r="X19" s="2146"/>
      <c r="Y19" s="2146">
        <v>15.37</v>
      </c>
      <c r="Z19" s="2146">
        <v>10635.58</v>
      </c>
      <c r="AA19" s="2146">
        <v>2617.4899999999998</v>
      </c>
      <c r="AB19" s="2146">
        <f>SUM(W19:AA19)</f>
        <v>21830.739999999998</v>
      </c>
    </row>
    <row r="20" spans="1:29">
      <c r="A20" s="2143"/>
      <c r="B20" s="2140"/>
      <c r="C20" s="2140"/>
      <c r="D20" s="2140"/>
      <c r="E20" s="2140"/>
      <c r="F20" s="2140"/>
      <c r="G20" s="2140"/>
      <c r="H20" s="2127"/>
      <c r="I20" s="2140"/>
      <c r="J20" s="2140"/>
      <c r="K20" s="2140"/>
      <c r="O20" s="2128">
        <v>202305</v>
      </c>
      <c r="P20" s="2150">
        <v>101131.67</v>
      </c>
      <c r="Q20" s="2150">
        <v>182037</v>
      </c>
      <c r="V20" s="2138">
        <f>+V17+1</f>
        <v>202212</v>
      </c>
      <c r="W20" s="2139">
        <f t="shared" ref="W20:AB20" si="8">SUM(W21:W22)</f>
        <v>77892.17</v>
      </c>
      <c r="X20" s="2139">
        <f t="shared" si="8"/>
        <v>840.88</v>
      </c>
      <c r="Y20" s="2139">
        <f t="shared" si="8"/>
        <v>2553.64</v>
      </c>
      <c r="Z20" s="2139">
        <f t="shared" si="8"/>
        <v>202467.31</v>
      </c>
      <c r="AA20" s="2139">
        <f t="shared" si="8"/>
        <v>47521.63</v>
      </c>
      <c r="AB20" s="2139">
        <f t="shared" si="8"/>
        <v>331275.62999999995</v>
      </c>
      <c r="AC20" s="2123"/>
    </row>
    <row r="21" spans="1:29">
      <c r="A21" s="2157" t="s">
        <v>24</v>
      </c>
      <c r="B21" s="2155">
        <f t="shared" ref="B21:G21" si="9">+B14</f>
        <v>2017</v>
      </c>
      <c r="C21" s="2155">
        <f t="shared" si="9"/>
        <v>2018</v>
      </c>
      <c r="D21" s="2155">
        <f t="shared" si="9"/>
        <v>2019</v>
      </c>
      <c r="E21" s="2155">
        <f t="shared" si="9"/>
        <v>2020</v>
      </c>
      <c r="F21" s="2155">
        <f t="shared" si="9"/>
        <v>2021</v>
      </c>
      <c r="G21" s="2155">
        <f t="shared" si="9"/>
        <v>2022</v>
      </c>
      <c r="H21" s="2127"/>
      <c r="I21" s="3961" t="s">
        <v>1760</v>
      </c>
      <c r="J21" s="3962"/>
      <c r="K21" s="2158">
        <f>K12+K19</f>
        <v>1684592.272725245</v>
      </c>
      <c r="O21" s="2128">
        <v>202306</v>
      </c>
      <c r="P21" s="2150">
        <v>-15583.52</v>
      </c>
      <c r="Q21" s="2150">
        <v>189290</v>
      </c>
      <c r="V21" s="2145" t="s">
        <v>1753</v>
      </c>
      <c r="W21" s="2146">
        <v>71026.509999999995</v>
      </c>
      <c r="X21" s="2146">
        <v>840.88</v>
      </c>
      <c r="Y21" s="2146">
        <v>2515.6999999999998</v>
      </c>
      <c r="Z21" s="2146">
        <v>192437.76000000001</v>
      </c>
      <c r="AA21" s="2146">
        <v>45293.43</v>
      </c>
      <c r="AB21" s="2146">
        <f>SUM(W21:AA21)</f>
        <v>312114.27999999997</v>
      </c>
    </row>
    <row r="22" spans="1:29">
      <c r="A22" s="2140" t="s">
        <v>1761</v>
      </c>
      <c r="B22" s="2143">
        <f t="shared" ref="B22:G22" si="10">B6+B15</f>
        <v>11553254.09</v>
      </c>
      <c r="C22" s="2143">
        <f t="shared" si="10"/>
        <v>11725321</v>
      </c>
      <c r="D22" s="2143">
        <f t="shared" si="10"/>
        <v>12541900</v>
      </c>
      <c r="E22" s="2143">
        <f t="shared" si="10"/>
        <v>13514185</v>
      </c>
      <c r="F22" s="2143">
        <f t="shared" si="10"/>
        <v>14097692</v>
      </c>
      <c r="G22" s="2143">
        <f t="shared" si="10"/>
        <v>14138405</v>
      </c>
      <c r="H22" s="2127"/>
      <c r="I22" s="2140"/>
      <c r="J22" s="2140"/>
      <c r="K22" s="2140"/>
      <c r="O22" s="2128"/>
      <c r="P22" s="2150"/>
      <c r="Q22" s="2150"/>
      <c r="V22" s="2145" t="s">
        <v>1757</v>
      </c>
      <c r="W22" s="2146">
        <v>6865.66</v>
      </c>
      <c r="X22" s="2146"/>
      <c r="Y22" s="2146">
        <v>37.94</v>
      </c>
      <c r="Z22" s="2146">
        <v>10029.549999999999</v>
      </c>
      <c r="AA22" s="2146">
        <v>2228.1999999999998</v>
      </c>
      <c r="AB22" s="2146">
        <f>SUM(W22:AA22)</f>
        <v>19161.349999999999</v>
      </c>
    </row>
    <row r="23" spans="1:29" ht="15" thickBot="1">
      <c r="A23" s="2159" t="s">
        <v>1762</v>
      </c>
      <c r="B23" s="2160">
        <f t="shared" ref="B23:G23" si="11">B12+B19</f>
        <v>14043201.67</v>
      </c>
      <c r="C23" s="2160">
        <f t="shared" si="11"/>
        <v>14116679.079226976</v>
      </c>
      <c r="D23" s="2160">
        <f t="shared" si="11"/>
        <v>11695111</v>
      </c>
      <c r="E23" s="2160">
        <f t="shared" si="11"/>
        <v>5956612.9999999991</v>
      </c>
      <c r="F23" s="2160">
        <f t="shared" si="11"/>
        <v>16006555</v>
      </c>
      <c r="G23" s="2160">
        <f t="shared" si="11"/>
        <v>11292457.550000001</v>
      </c>
      <c r="H23" s="2127"/>
      <c r="I23" s="2161" t="s">
        <v>538</v>
      </c>
      <c r="J23" s="2162">
        <v>0.70111999999999997</v>
      </c>
      <c r="K23" s="2163"/>
      <c r="O23" s="2128" t="s">
        <v>1763</v>
      </c>
      <c r="P23" s="2150">
        <v>0</v>
      </c>
      <c r="Q23" s="2150">
        <v>-573990.63</v>
      </c>
      <c r="V23" s="2138">
        <v>202301</v>
      </c>
      <c r="W23" s="2139">
        <f t="shared" ref="W23:AB23" si="12">SUM(W24:W25)</f>
        <v>60270.590000000004</v>
      </c>
      <c r="X23" s="2139">
        <f t="shared" si="12"/>
        <v>500.3</v>
      </c>
      <c r="Y23" s="2139">
        <f t="shared" si="12"/>
        <v>1433.35</v>
      </c>
      <c r="Z23" s="2139">
        <f t="shared" si="12"/>
        <v>156611.59</v>
      </c>
      <c r="AA23" s="2139">
        <f t="shared" si="12"/>
        <v>35275.22</v>
      </c>
      <c r="AB23" s="2139">
        <f t="shared" si="12"/>
        <v>254091.05000000002</v>
      </c>
      <c r="AC23" s="2123"/>
    </row>
    <row r="24" spans="1:29" ht="15.5" thickTop="1" thickBot="1">
      <c r="A24" s="2159"/>
      <c r="B24" s="2141"/>
      <c r="C24" s="2164"/>
      <c r="D24" s="2159"/>
      <c r="E24" s="2141"/>
      <c r="F24" s="2141"/>
      <c r="G24" s="2141"/>
      <c r="H24" s="2127"/>
      <c r="I24" s="2165" t="s">
        <v>1764</v>
      </c>
      <c r="J24" s="2166">
        <v>0.66942999999999997</v>
      </c>
      <c r="K24" s="2167">
        <f>K21*J23*J24</f>
        <v>790664.66618906858</v>
      </c>
      <c r="O24" s="2168" t="s">
        <v>978</v>
      </c>
      <c r="P24" s="2169">
        <f>SUM(P10:P23)</f>
        <v>673132.33000000007</v>
      </c>
      <c r="Q24" s="2169">
        <f>SUM(Q10:Q23)</f>
        <v>2811524.76</v>
      </c>
      <c r="R24" s="2170">
        <f>P24+Q24</f>
        <v>3484657.09</v>
      </c>
      <c r="V24" s="2145" t="s">
        <v>1757</v>
      </c>
      <c r="W24" s="2146">
        <v>11747.47</v>
      </c>
      <c r="X24" s="2146"/>
      <c r="Y24" s="2146">
        <v>-4.38</v>
      </c>
      <c r="Z24" s="2146">
        <v>20488.23</v>
      </c>
      <c r="AA24" s="2146">
        <v>8386.5</v>
      </c>
      <c r="AB24" s="2146">
        <f>SUM(W24:AA24)</f>
        <v>40617.82</v>
      </c>
    </row>
    <row r="25" spans="1:29" ht="15.5" thickTop="1" thickBot="1">
      <c r="B25" s="2171"/>
      <c r="C25" s="2172"/>
      <c r="E25" s="2171"/>
      <c r="F25" s="2171"/>
      <c r="G25" s="2171"/>
      <c r="H25" s="2127"/>
      <c r="I25" s="2165"/>
      <c r="J25" s="2162"/>
      <c r="K25" s="2173"/>
      <c r="P25" s="2174" t="s">
        <v>1765</v>
      </c>
      <c r="V25" s="2145" t="s">
        <v>1753</v>
      </c>
      <c r="W25" s="2146">
        <v>48523.12</v>
      </c>
      <c r="X25" s="2146">
        <v>500.3</v>
      </c>
      <c r="Y25" s="2146">
        <v>1437.73</v>
      </c>
      <c r="Z25" s="2146">
        <v>136123.35999999999</v>
      </c>
      <c r="AA25" s="2146">
        <v>26888.720000000001</v>
      </c>
      <c r="AB25" s="2146">
        <f>SUM(W25:AA25)</f>
        <v>213473.23</v>
      </c>
    </row>
    <row r="26" spans="1:29" ht="15.5" thickTop="1" thickBot="1">
      <c r="A26" s="2125"/>
      <c r="B26" s="2171"/>
      <c r="C26" s="2172"/>
      <c r="E26" s="2171"/>
      <c r="F26" s="2171"/>
      <c r="G26" s="2171"/>
      <c r="H26" s="2127"/>
      <c r="I26" s="2165" t="s">
        <v>1104</v>
      </c>
      <c r="J26" s="2162">
        <v>0.20707999999999999</v>
      </c>
      <c r="K26" s="2163"/>
      <c r="V26" s="2138">
        <f>+V23+1</f>
        <v>202302</v>
      </c>
      <c r="W26" s="2139">
        <f t="shared" ref="W26:AB26" si="13">SUM(W27:W28)</f>
        <v>133690.04999999999</v>
      </c>
      <c r="X26" s="2139">
        <f t="shared" si="13"/>
        <v>2128.41</v>
      </c>
      <c r="Y26" s="2139">
        <f t="shared" si="13"/>
        <v>6722.28</v>
      </c>
      <c r="Z26" s="2139">
        <f t="shared" si="13"/>
        <v>545937.14</v>
      </c>
      <c r="AA26" s="2139">
        <f t="shared" si="13"/>
        <v>186479.36000000002</v>
      </c>
      <c r="AB26" s="2139">
        <f t="shared" si="13"/>
        <v>874957.24</v>
      </c>
      <c r="AC26" s="2123"/>
    </row>
    <row r="27" spans="1:29" ht="15.5" thickTop="1" thickBot="1">
      <c r="A27" s="2125"/>
      <c r="B27" s="2171"/>
      <c r="C27" s="2172"/>
      <c r="E27" s="2171"/>
      <c r="F27" s="2171"/>
      <c r="G27" s="2171"/>
      <c r="H27" s="2127"/>
      <c r="I27" s="2165" t="s">
        <v>1764</v>
      </c>
      <c r="J27" s="2166">
        <v>0.71745999999999999</v>
      </c>
      <c r="K27" s="2167">
        <f>K21*J26*J27</f>
        <v>250282.59760757617</v>
      </c>
      <c r="V27" s="2145" t="s">
        <v>1753</v>
      </c>
      <c r="W27" s="2146">
        <v>117237.53</v>
      </c>
      <c r="X27" s="2146">
        <v>2128.41</v>
      </c>
      <c r="Y27" s="2146">
        <v>6725.13</v>
      </c>
      <c r="Z27" s="2146">
        <v>521592.61</v>
      </c>
      <c r="AA27" s="2146">
        <v>179909.13</v>
      </c>
      <c r="AB27" s="2146">
        <f>SUM(W27:AA27)</f>
        <v>827592.80999999994</v>
      </c>
    </row>
    <row r="28" spans="1:29" ht="15" thickTop="1">
      <c r="A28" s="2126" t="s">
        <v>1766</v>
      </c>
      <c r="B28" s="2171"/>
      <c r="C28" s="2172"/>
      <c r="E28" s="2171"/>
      <c r="F28" s="2171"/>
      <c r="G28" s="2171"/>
      <c r="H28" s="2127"/>
      <c r="I28" s="2175"/>
      <c r="J28" s="2176"/>
      <c r="K28" s="2177"/>
      <c r="V28" s="2145" t="s">
        <v>1757</v>
      </c>
      <c r="W28" s="2146">
        <v>16452.52</v>
      </c>
      <c r="X28" s="2146"/>
      <c r="Y28" s="2146">
        <v>-2.85</v>
      </c>
      <c r="Z28" s="2146">
        <v>24344.53</v>
      </c>
      <c r="AA28" s="2146">
        <v>6570.23</v>
      </c>
      <c r="AB28" s="2146">
        <f>SUM(W28:AA28)</f>
        <v>47364.429999999993</v>
      </c>
    </row>
    <row r="29" spans="1:29">
      <c r="A29" s="2126" t="s">
        <v>1767</v>
      </c>
      <c r="B29" s="2171"/>
      <c r="C29" s="2172"/>
      <c r="E29" s="2171"/>
      <c r="F29" s="2171"/>
      <c r="G29" s="2171"/>
      <c r="H29" s="2127"/>
      <c r="I29" s="2178"/>
      <c r="J29" s="2179"/>
      <c r="K29" s="2179"/>
      <c r="V29" s="2138">
        <f>+V26+1</f>
        <v>202303</v>
      </c>
      <c r="W29" s="2139">
        <f t="shared" ref="W29:AB29" si="14">SUM(W30:W31)</f>
        <v>313683.96000000002</v>
      </c>
      <c r="X29" s="2139">
        <f t="shared" si="14"/>
        <v>1766.98</v>
      </c>
      <c r="Y29" s="2139">
        <f t="shared" si="14"/>
        <v>10444.57</v>
      </c>
      <c r="Z29" s="2139">
        <f t="shared" si="14"/>
        <v>605639.43000000005</v>
      </c>
      <c r="AA29" s="2139">
        <f t="shared" si="14"/>
        <v>51667.24</v>
      </c>
      <c r="AB29" s="2139">
        <f t="shared" si="14"/>
        <v>983202.17999999993</v>
      </c>
      <c r="AC29" s="2123"/>
    </row>
    <row r="30" spans="1:29">
      <c r="A30" s="2126" t="s">
        <v>1768</v>
      </c>
      <c r="H30" s="2127"/>
      <c r="I30" s="2178"/>
      <c r="J30" s="2179"/>
      <c r="K30" s="2179"/>
      <c r="V30" s="2145" t="s">
        <v>1753</v>
      </c>
      <c r="W30" s="2146">
        <v>283946.87</v>
      </c>
      <c r="X30" s="2146">
        <v>1766.98</v>
      </c>
      <c r="Y30" s="2146">
        <v>10405.19</v>
      </c>
      <c r="Z30" s="2146">
        <v>578317.17000000004</v>
      </c>
      <c r="AA30" s="2146">
        <v>53558.65</v>
      </c>
      <c r="AB30" s="2146">
        <f>SUM(W30:AA30)</f>
        <v>927994.86</v>
      </c>
    </row>
    <row r="31" spans="1:29">
      <c r="I31" s="2178"/>
      <c r="J31" s="2179"/>
      <c r="K31" s="2179"/>
      <c r="V31" s="2145" t="s">
        <v>1757</v>
      </c>
      <c r="W31" s="2146">
        <v>29737.09</v>
      </c>
      <c r="X31" s="2146"/>
      <c r="Y31" s="2146">
        <v>39.380000000000003</v>
      </c>
      <c r="Z31" s="2146">
        <v>27322.26</v>
      </c>
      <c r="AA31" s="2146">
        <v>-1891.41</v>
      </c>
      <c r="AB31" s="2146">
        <f>SUM(W31:AA31)</f>
        <v>55207.319999999992</v>
      </c>
    </row>
    <row r="32" spans="1:29">
      <c r="I32" s="2178"/>
      <c r="J32" s="2179"/>
      <c r="K32" s="2179"/>
      <c r="V32" s="2138">
        <f>+V29+1</f>
        <v>202304</v>
      </c>
      <c r="W32" s="2139">
        <f t="shared" ref="W32:AB32" si="15">SUM(W33:W34)</f>
        <v>214344.41</v>
      </c>
      <c r="X32" s="2139">
        <f t="shared" si="15"/>
        <v>2146.67</v>
      </c>
      <c r="Y32" s="2139">
        <f t="shared" si="15"/>
        <v>6670.92</v>
      </c>
      <c r="Z32" s="2139">
        <f t="shared" si="15"/>
        <v>516951.36</v>
      </c>
      <c r="AA32" s="2139">
        <f t="shared" si="15"/>
        <v>108953.73</v>
      </c>
      <c r="AB32" s="2139">
        <f t="shared" si="15"/>
        <v>849067.09000000008</v>
      </c>
    </row>
    <row r="33" spans="9:29">
      <c r="I33" s="2178"/>
      <c r="J33" s="2179"/>
      <c r="K33" s="2179"/>
      <c r="V33" s="2145" t="s">
        <v>1753</v>
      </c>
      <c r="W33" s="2146">
        <v>191854.92</v>
      </c>
      <c r="X33" s="2146">
        <v>2146.67</v>
      </c>
      <c r="Y33" s="2146">
        <v>6662.36</v>
      </c>
      <c r="Z33" s="2146">
        <v>494342.37</v>
      </c>
      <c r="AA33" s="2146">
        <v>104447.64</v>
      </c>
      <c r="AB33" s="2146">
        <f>SUM(W33:AA33)</f>
        <v>799453.96000000008</v>
      </c>
    </row>
    <row r="34" spans="9:29">
      <c r="I34" s="2178"/>
      <c r="J34" s="2179"/>
      <c r="K34" s="2179"/>
      <c r="V34" s="2145" t="s">
        <v>1757</v>
      </c>
      <c r="W34" s="2146">
        <v>22489.49</v>
      </c>
      <c r="X34" s="2146"/>
      <c r="Y34" s="2146">
        <v>8.56</v>
      </c>
      <c r="Z34" s="2146">
        <v>22608.99</v>
      </c>
      <c r="AA34" s="2146">
        <v>4506.09</v>
      </c>
      <c r="AB34" s="2146">
        <f>SUM(W34:AA34)</f>
        <v>49613.130000000005</v>
      </c>
    </row>
    <row r="35" spans="9:29">
      <c r="I35" s="2125"/>
      <c r="V35" s="2138">
        <f>+V32+1</f>
        <v>202305</v>
      </c>
      <c r="W35" s="2139">
        <f t="shared" ref="W35:AB35" si="16">SUM(W36:W37)</f>
        <v>224729.11</v>
      </c>
      <c r="X35" s="2139">
        <f t="shared" si="16"/>
        <v>2420.83</v>
      </c>
      <c r="Y35" s="2139">
        <f t="shared" si="16"/>
        <v>7252.42</v>
      </c>
      <c r="Z35" s="2139">
        <f t="shared" si="16"/>
        <v>626406.25999999989</v>
      </c>
      <c r="AA35" s="2139">
        <f t="shared" si="16"/>
        <v>164441.04</v>
      </c>
      <c r="AB35" s="2139">
        <f t="shared" si="16"/>
        <v>1025249.66</v>
      </c>
    </row>
    <row r="36" spans="9:29">
      <c r="V36" s="2145" t="s">
        <v>1753</v>
      </c>
      <c r="W36" s="2146">
        <v>201097.55</v>
      </c>
      <c r="X36" s="2146">
        <v>2420.83</v>
      </c>
      <c r="Y36" s="2146">
        <v>7252.42</v>
      </c>
      <c r="Z36" s="2146">
        <v>600514.43999999994</v>
      </c>
      <c r="AA36" s="2146">
        <v>156397.5</v>
      </c>
      <c r="AB36" s="2146">
        <f>SUM(W36:AA36)</f>
        <v>967682.74</v>
      </c>
    </row>
    <row r="37" spans="9:29">
      <c r="V37" s="2145" t="s">
        <v>1757</v>
      </c>
      <c r="W37" s="2146">
        <v>23631.56</v>
      </c>
      <c r="X37" s="2146"/>
      <c r="Y37" s="2146"/>
      <c r="Z37" s="2146">
        <v>25891.82</v>
      </c>
      <c r="AA37" s="2146">
        <v>8043.54</v>
      </c>
      <c r="AB37" s="2146">
        <f>SUM(W37:AA37)</f>
        <v>57566.920000000006</v>
      </c>
    </row>
    <row r="38" spans="9:29">
      <c r="I38" s="2125"/>
      <c r="V38" s="2138">
        <f>+V35+1</f>
        <v>202306</v>
      </c>
      <c r="W38" s="2139">
        <f t="shared" ref="W38:AB38" si="17">SUM(W39:W40)</f>
        <v>213391.28</v>
      </c>
      <c r="X38" s="2139">
        <f t="shared" si="17"/>
        <v>1049.78</v>
      </c>
      <c r="Y38" s="2139">
        <f t="shared" si="17"/>
        <v>9139.369999999999</v>
      </c>
      <c r="Z38" s="2139">
        <f t="shared" si="17"/>
        <v>561609.27</v>
      </c>
      <c r="AA38" s="2139">
        <f t="shared" si="17"/>
        <v>135284.31</v>
      </c>
      <c r="AB38" s="2139">
        <f t="shared" si="17"/>
        <v>920474.01</v>
      </c>
    </row>
    <row r="39" spans="9:29">
      <c r="V39" s="2145" t="s">
        <v>1753</v>
      </c>
      <c r="W39" s="2146">
        <v>191396.35</v>
      </c>
      <c r="X39" s="2146">
        <v>1049.78</v>
      </c>
      <c r="Y39" s="2146">
        <v>9129.8799999999992</v>
      </c>
      <c r="Z39" s="2146">
        <v>538442.71</v>
      </c>
      <c r="AA39" s="2146">
        <v>128838.42</v>
      </c>
      <c r="AB39" s="2146">
        <f>SUM(W39:AA39)</f>
        <v>868857.14</v>
      </c>
    </row>
    <row r="40" spans="9:29">
      <c r="V40" s="2145" t="s">
        <v>1757</v>
      </c>
      <c r="W40" s="2146">
        <v>21994.93</v>
      </c>
      <c r="X40" s="2146"/>
      <c r="Y40" s="2146">
        <v>9.49</v>
      </c>
      <c r="Z40" s="2146">
        <v>23166.560000000001</v>
      </c>
      <c r="AA40" s="2146">
        <v>6445.89</v>
      </c>
      <c r="AB40" s="2146">
        <f>SUM(W40:AA40)</f>
        <v>51616.87</v>
      </c>
    </row>
    <row r="41" spans="9:29">
      <c r="V41" s="2145"/>
      <c r="W41" s="2146"/>
      <c r="X41" s="2146"/>
      <c r="Y41" s="2146"/>
      <c r="Z41" s="2146"/>
      <c r="AA41" s="2146"/>
      <c r="AB41" s="2146"/>
    </row>
    <row r="42" spans="9:29">
      <c r="V42" s="2138" t="s">
        <v>1769</v>
      </c>
      <c r="W42" s="2139"/>
      <c r="X42" s="2139"/>
      <c r="Y42" s="2139"/>
      <c r="Z42" s="2139"/>
      <c r="AA42" s="2139"/>
      <c r="AB42" s="2139"/>
    </row>
    <row r="43" spans="9:29">
      <c r="V43" s="2145" t="s">
        <v>1770</v>
      </c>
      <c r="W43" s="2146">
        <v>103236.8</v>
      </c>
      <c r="X43" s="2146"/>
      <c r="Y43" s="2146"/>
      <c r="Z43" s="2146">
        <v>154855.19</v>
      </c>
      <c r="AA43" s="2146"/>
      <c r="AB43" s="2146">
        <f t="shared" ref="AB43:AB48" si="18">SUM(W43:AA43)</f>
        <v>258091.99</v>
      </c>
    </row>
    <row r="44" spans="9:29">
      <c r="V44" s="2145" t="s">
        <v>1771</v>
      </c>
      <c r="W44" s="2146">
        <v>-802293.54</v>
      </c>
      <c r="X44" s="2146"/>
      <c r="Y44" s="2146"/>
      <c r="Z44" s="2146">
        <v>-1203440.31</v>
      </c>
      <c r="AA44" s="2146"/>
      <c r="AB44" s="2146">
        <f t="shared" si="18"/>
        <v>-2005733.85</v>
      </c>
    </row>
    <row r="45" spans="9:29">
      <c r="V45" s="2145" t="s">
        <v>1772</v>
      </c>
      <c r="W45" s="2146">
        <v>52329.3</v>
      </c>
      <c r="X45" s="2146"/>
      <c r="Y45" s="2146"/>
      <c r="Z45" s="2146">
        <v>78493.960000000006</v>
      </c>
      <c r="AA45" s="2146"/>
      <c r="AB45" s="2146">
        <f t="shared" si="18"/>
        <v>130823.26000000001</v>
      </c>
      <c r="AC45" s="2123"/>
    </row>
    <row r="46" spans="9:29">
      <c r="V46" s="2145" t="s">
        <v>1773</v>
      </c>
      <c r="W46" s="2146"/>
      <c r="X46" s="2146"/>
      <c r="Y46" s="2146">
        <v>3154714.57</v>
      </c>
      <c r="Z46" s="2180"/>
      <c r="AA46" s="2146"/>
      <c r="AB46" s="2146">
        <f t="shared" si="18"/>
        <v>3154714.57</v>
      </c>
      <c r="AC46" s="2123"/>
    </row>
    <row r="47" spans="9:29">
      <c r="V47" s="2145" t="s">
        <v>1774</v>
      </c>
      <c r="W47" s="2146">
        <v>409500.33</v>
      </c>
      <c r="X47" s="2146"/>
      <c r="Y47" s="2146"/>
      <c r="Z47" s="2146">
        <v>614250.5</v>
      </c>
      <c r="AA47" s="2146"/>
      <c r="AB47" s="2146">
        <f t="shared" si="18"/>
        <v>1023750.8300000001</v>
      </c>
      <c r="AC47" s="2123"/>
    </row>
    <row r="48" spans="9:29">
      <c r="V48" s="2145" t="s">
        <v>1775</v>
      </c>
      <c r="W48" s="2146">
        <v>-412037.06</v>
      </c>
      <c r="X48" s="2146"/>
      <c r="Y48" s="2146"/>
      <c r="Z48" s="2146">
        <v>-618055.59</v>
      </c>
      <c r="AA48" s="2146"/>
      <c r="AB48" s="2146">
        <f t="shared" si="18"/>
        <v>-1030092.6499999999</v>
      </c>
      <c r="AC48" s="2123"/>
    </row>
    <row r="49" spans="22:29" ht="15" thickBot="1">
      <c r="V49" s="2145"/>
      <c r="W49" s="2146"/>
      <c r="X49" s="2146"/>
      <c r="Y49" s="2146"/>
      <c r="Z49" s="2146"/>
      <c r="AA49" s="2146"/>
      <c r="AB49" s="2146"/>
    </row>
    <row r="50" spans="22:29" ht="15.5" thickTop="1" thickBot="1">
      <c r="V50" s="2138" t="s">
        <v>978</v>
      </c>
      <c r="W50" s="2139">
        <f t="shared" ref="W50:AB50" si="19">+W5+W8+W11+W14+W17+W20+W23+W26+W29+W32+W35+W38+W43+W44+W45+W46+W47+W48</f>
        <v>1282277.4099999999</v>
      </c>
      <c r="X50" s="2139">
        <f t="shared" si="19"/>
        <v>15211.880000000001</v>
      </c>
      <c r="Y50" s="2139">
        <f t="shared" si="19"/>
        <v>3218450.4099999997</v>
      </c>
      <c r="Z50" s="2139">
        <f t="shared" si="19"/>
        <v>3915750.5500000007</v>
      </c>
      <c r="AA50" s="2139">
        <f t="shared" si="19"/>
        <v>974322.59999999986</v>
      </c>
      <c r="AB50" s="2139">
        <f t="shared" si="19"/>
        <v>9406012.8499999996</v>
      </c>
      <c r="AC50" s="2181" t="s">
        <v>1765</v>
      </c>
    </row>
    <row r="51" spans="22:29" ht="15" thickTop="1">
      <c r="V51" s="2127"/>
      <c r="W51" s="2182">
        <f t="shared" ref="W51:AB51" si="20">W50/$AB$50</f>
        <v>0.13632528792473422</v>
      </c>
      <c r="X51" s="2182">
        <f t="shared" si="20"/>
        <v>1.6172506079448958E-3</v>
      </c>
      <c r="Y51" s="2182">
        <f t="shared" si="20"/>
        <v>0.34216946769321072</v>
      </c>
      <c r="Z51" s="2182">
        <f t="shared" si="20"/>
        <v>0.41630291308819561</v>
      </c>
      <c r="AA51" s="2182">
        <f t="shared" si="20"/>
        <v>0.10358508068591464</v>
      </c>
      <c r="AB51" s="2182">
        <f t="shared" si="20"/>
        <v>1</v>
      </c>
    </row>
    <row r="52" spans="22:29">
      <c r="V52" s="2127"/>
      <c r="W52" s="2182"/>
      <c r="X52" s="2182"/>
      <c r="Y52" s="2182"/>
      <c r="Z52" s="2182"/>
      <c r="AA52" s="2182"/>
      <c r="AB52" s="2182"/>
    </row>
    <row r="53" spans="22:29">
      <c r="V53" s="2127"/>
      <c r="W53" s="2127"/>
      <c r="X53" s="2127"/>
      <c r="Y53" s="2127"/>
      <c r="AA53" s="2183" t="s">
        <v>1776</v>
      </c>
      <c r="AB53" s="2184">
        <f>'G-2.13 Incentives'!R24</f>
        <v>3484657.09</v>
      </c>
    </row>
    <row r="54" spans="22:29">
      <c r="V54" s="2127"/>
      <c r="W54" s="2185"/>
      <c r="X54" s="2185"/>
      <c r="Y54" s="2127"/>
      <c r="AA54" s="2183"/>
      <c r="AB54" s="2184"/>
    </row>
    <row r="55" spans="22:29">
      <c r="V55" s="2127"/>
      <c r="W55" s="2127"/>
      <c r="X55" s="2127"/>
      <c r="Y55" s="2127"/>
      <c r="AA55" s="2183" t="s">
        <v>1777</v>
      </c>
      <c r="AB55" s="2184">
        <f>12260559.43-SUM(AB5,AB8,AB11,AB14,AB17,AB20,AB43,AB44,AB45,AB46,SUM('G-2.13 Incentives'!P10:Q15))</f>
        <v>5286148.09</v>
      </c>
    </row>
    <row r="56" spans="22:29">
      <c r="V56" s="2127"/>
      <c r="W56" s="2127"/>
      <c r="X56" s="2127"/>
      <c r="Y56" s="2127"/>
      <c r="AA56" s="2183" t="s">
        <v>1778</v>
      </c>
      <c r="AB56" s="2184">
        <v>-12227436.220000001</v>
      </c>
    </row>
    <row r="57" spans="22:29">
      <c r="V57" s="2127"/>
      <c r="W57" s="2127"/>
      <c r="X57" s="2127"/>
      <c r="Y57" s="2127"/>
      <c r="AA57" s="2183" t="s">
        <v>1779</v>
      </c>
      <c r="AB57" s="2184">
        <f>15000*6</f>
        <v>90000</v>
      </c>
    </row>
    <row r="58" spans="22:29">
      <c r="V58" s="2127"/>
      <c r="W58" s="2127"/>
      <c r="X58" s="2127"/>
      <c r="Y58" s="2127"/>
      <c r="AA58" s="2183"/>
      <c r="AB58" s="2184"/>
    </row>
    <row r="59" spans="22:29">
      <c r="V59" s="2127"/>
      <c r="W59" s="2127"/>
      <c r="X59" s="2127"/>
      <c r="Y59" s="2127"/>
      <c r="Z59" s="2127"/>
      <c r="AA59" s="2183"/>
      <c r="AB59" s="2184">
        <f>AB50+AB53+AB55+AB56+AB57</f>
        <v>6039381.8100000005</v>
      </c>
    </row>
    <row r="60" spans="22:29">
      <c r="V60" s="2127"/>
      <c r="W60" s="2127"/>
      <c r="X60" s="2127"/>
      <c r="Y60" s="2127"/>
      <c r="Z60" s="2127"/>
      <c r="AA60" s="2183"/>
      <c r="AB60" s="2184"/>
    </row>
    <row r="61" spans="22:29">
      <c r="AA61" s="2186" t="s">
        <v>1780</v>
      </c>
      <c r="AB61" s="2184">
        <v>6039381.8099999996</v>
      </c>
    </row>
    <row r="62" spans="22:29">
      <c r="AA62" s="2187" t="s">
        <v>82</v>
      </c>
      <c r="AB62" s="2184">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4296875" defaultRowHeight="13" outlineLevelRow="1"/>
  <cols>
    <col min="1" max="1" width="8.453125" style="147" customWidth="1"/>
    <col min="2" max="2" width="18.54296875" style="148" customWidth="1"/>
    <col min="3" max="4" width="10.54296875" style="141" customWidth="1"/>
    <col min="5" max="5" width="10.26953125" style="141" customWidth="1"/>
    <col min="6" max="6" width="14.54296875" style="149" customWidth="1"/>
    <col min="7" max="7" width="11.26953125" style="141" bestFit="1" customWidth="1"/>
    <col min="8" max="8" width="2.26953125" style="141" customWidth="1"/>
    <col min="9" max="9" width="14.26953125" style="141" customWidth="1"/>
    <col min="10" max="10" width="19.26953125" style="141" customWidth="1"/>
    <col min="11" max="16384" width="10.54296875" style="141"/>
  </cols>
  <sheetData>
    <row r="1" spans="1:9">
      <c r="A1" s="3966" t="s">
        <v>111</v>
      </c>
      <c r="B1" s="3966"/>
      <c r="C1" s="3966"/>
      <c r="D1" s="3966"/>
      <c r="E1" s="3966"/>
      <c r="F1" s="3966"/>
      <c r="G1" s="3966"/>
      <c r="H1" s="3966"/>
    </row>
    <row r="2" spans="1:9">
      <c r="A2" s="3966" t="s">
        <v>122</v>
      </c>
      <c r="B2" s="3966"/>
      <c r="C2" s="3966"/>
      <c r="D2" s="3966"/>
      <c r="E2" s="3966"/>
      <c r="F2" s="3966"/>
      <c r="G2" s="3966"/>
      <c r="H2" s="3966"/>
    </row>
    <row r="3" spans="1:9">
      <c r="A3" s="3966" t="s">
        <v>200</v>
      </c>
      <c r="B3" s="3966"/>
      <c r="C3" s="3966"/>
      <c r="D3" s="3966"/>
      <c r="E3" s="3966"/>
      <c r="F3" s="3966"/>
      <c r="G3" s="3966"/>
      <c r="H3" s="3966"/>
    </row>
    <row r="4" spans="1:9">
      <c r="A4" s="3967" t="str">
        <f>'ROO INPUT 1.00'!A5:C5</f>
        <v>TWELVE MONTHS ENDED JUNE 30, 2023</v>
      </c>
      <c r="B4" s="3967"/>
      <c r="C4" s="3967"/>
      <c r="D4" s="3967"/>
      <c r="E4" s="3967"/>
      <c r="F4" s="3967"/>
      <c r="G4" s="3967"/>
      <c r="H4" s="3967"/>
    </row>
    <row r="5" spans="1:9">
      <c r="A5" s="3968" t="s">
        <v>114</v>
      </c>
      <c r="B5" s="3968"/>
      <c r="C5" s="3968"/>
      <c r="D5" s="3968"/>
      <c r="E5" s="3968"/>
      <c r="F5" s="3968"/>
      <c r="G5" s="3968"/>
      <c r="H5" s="3968"/>
    </row>
    <row r="6" spans="1:9" ht="13.5" thickBot="1">
      <c r="A6" s="142"/>
      <c r="B6" s="143"/>
      <c r="C6" s="144"/>
      <c r="D6" s="145"/>
      <c r="E6" s="145"/>
      <c r="F6" s="145"/>
      <c r="I6" s="146" t="s">
        <v>194</v>
      </c>
    </row>
    <row r="7" spans="1:9" ht="13.5" thickBot="1">
      <c r="C7" s="149"/>
      <c r="D7" s="149"/>
      <c r="E7" s="3963" t="s">
        <v>122</v>
      </c>
      <c r="F7" s="3964"/>
      <c r="G7" s="396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565</v>
      </c>
      <c r="G12" s="160">
        <f t="shared" ref="G12:G31" si="0">SUM(F12:F12)</f>
        <v>565</v>
      </c>
      <c r="H12" s="160"/>
      <c r="I12" s="154">
        <f t="shared" ref="I12:I45" si="1">ROUND(F12*$E$57*-$F$64,0)</f>
        <v>-3</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19123.900000000001</v>
      </c>
      <c r="G45" s="160">
        <f t="shared" si="3"/>
        <v>19123.900000000001</v>
      </c>
      <c r="H45" s="160"/>
      <c r="I45" s="154">
        <f t="shared" si="1"/>
        <v>-103</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25392.3</v>
      </c>
      <c r="G47" s="160">
        <f t="shared" si="6"/>
        <v>25392.3</v>
      </c>
      <c r="H47" s="160"/>
      <c r="I47" s="154">
        <f t="shared" si="7"/>
        <v>-137</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2878.7000000000007</v>
      </c>
      <c r="G51" s="160">
        <f t="shared" si="8"/>
        <v>2878.7000000000007</v>
      </c>
      <c r="H51" s="160"/>
      <c r="I51" s="154">
        <f t="shared" si="9"/>
        <v>-16</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57578.899999999994</v>
      </c>
      <c r="G53" s="336">
        <f>SUM(G11:G52)</f>
        <v>591008.29999999993</v>
      </c>
      <c r="H53" s="161"/>
      <c r="I53" s="336">
        <f>SUM(I11:I52)</f>
        <v>-253.99000000000024</v>
      </c>
      <c r="J53" s="543">
        <f>G53-'ADJ SUMMARY'!E53</f>
        <v>0</v>
      </c>
      <c r="K53" s="542"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1479.7777299999998</v>
      </c>
      <c r="G59" s="161">
        <f>SUM(E59:F59)</f>
        <v>15188.913309999998</v>
      </c>
      <c r="H59" s="160"/>
      <c r="I59" s="161">
        <f>SUM(I11:I52)</f>
        <v>-253.99000000000024</v>
      </c>
    </row>
    <row r="60" spans="1:11">
      <c r="C60" s="149"/>
      <c r="D60" s="149"/>
      <c r="E60" s="161"/>
      <c r="F60" s="161"/>
      <c r="G60" s="161"/>
      <c r="H60" s="160"/>
      <c r="I60" s="161"/>
    </row>
    <row r="61" spans="1:11">
      <c r="B61" s="148" t="s">
        <v>201</v>
      </c>
      <c r="C61" s="149"/>
      <c r="D61" s="412" t="s">
        <v>524</v>
      </c>
      <c r="E61" s="541">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1479.7777299999998</v>
      </c>
      <c r="G63" s="161">
        <f>SUM(E63:F63)</f>
        <v>1207.9133099999981</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-311</v>
      </c>
      <c r="G66" s="166">
        <f>SUM(E66:F66)</f>
        <v>-254</v>
      </c>
      <c r="H66" s="160"/>
      <c r="I66" s="166">
        <f>I59</f>
        <v>-253.99000000000024</v>
      </c>
      <c r="J66" s="332" t="s">
        <v>379</v>
      </c>
    </row>
    <row r="67" spans="2:10">
      <c r="E67" s="413">
        <f>'ADJ DETAIL INPUT'!V10</f>
        <v>2.139999999999997</v>
      </c>
      <c r="F67" s="156"/>
      <c r="J67" s="540">
        <f>I66-'ADJ DETAIL INPUT'!V53-'ADJ DETAIL INPUT'!AW54</f>
        <v>-0.2366767000002028</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sheetPr>
    <tabColor rgb="FFFFC000"/>
  </sheetPr>
  <dimension ref="A1:AV46"/>
  <sheetViews>
    <sheetView zoomScale="85" zoomScaleNormal="85" workbookViewId="0"/>
  </sheetViews>
  <sheetFormatPr defaultRowHeight="12.5" outlineLevelCol="1"/>
  <cols>
    <col min="1" max="1" width="38.1796875" style="2188" customWidth="1"/>
    <col min="2" max="2" width="15.81640625" style="2188" customWidth="1" outlineLevel="1"/>
    <col min="3" max="3" width="14.453125" style="2188" customWidth="1"/>
    <col min="4" max="4" width="1" style="2188" customWidth="1"/>
    <col min="5" max="5" width="17.453125" style="2188" customWidth="1" outlineLevel="1"/>
    <col min="6" max="6" width="1.1796875" style="2188" customWidth="1"/>
    <col min="7" max="7" width="14.453125" style="2188" customWidth="1" outlineLevel="1"/>
    <col min="8" max="8" width="17.7265625" style="2188" customWidth="1" outlineLevel="1"/>
    <col min="9" max="9" width="14.453125" style="2188" customWidth="1" outlineLevel="1"/>
    <col min="10" max="10" width="14.453125" style="2188" customWidth="1"/>
    <col min="11" max="11" width="1" style="2188" customWidth="1" outlineLevel="1"/>
    <col min="12" max="12" width="17.453125" style="2188" customWidth="1" outlineLevel="1"/>
    <col min="13" max="13" width="1.1796875" style="2188" customWidth="1"/>
    <col min="14" max="16" width="15.1796875" style="2188" customWidth="1" outlineLevel="1"/>
    <col min="17" max="17" width="19.1796875" style="2188" customWidth="1"/>
    <col min="18" max="18" width="1" style="2188" customWidth="1"/>
    <col min="19" max="19" width="14.453125" style="2188" customWidth="1" outlineLevel="1"/>
    <col min="20" max="20" width="17.7265625" style="2188" customWidth="1" outlineLevel="1"/>
    <col min="21" max="21" width="14.453125" style="2188" customWidth="1" outlineLevel="1"/>
    <col min="22" max="22" width="14.453125" style="2188" customWidth="1"/>
    <col min="23" max="23" width="1.1796875" style="2188" customWidth="1" outlineLevel="1"/>
    <col min="24" max="24" width="17.453125" style="2188" customWidth="1" outlineLevel="1"/>
    <col min="25" max="25" width="1.1796875" style="2188" customWidth="1"/>
    <col min="26" max="26" width="14.453125" style="2188" customWidth="1" outlineLevel="1"/>
    <col min="27" max="27" width="17.7265625" style="2188" customWidth="1" outlineLevel="1"/>
    <col min="28" max="28" width="14.453125" style="2188" customWidth="1" outlineLevel="1"/>
    <col min="29" max="29" width="17.453125" style="2188" customWidth="1"/>
    <col min="30" max="30" width="2.26953125" style="2188" customWidth="1"/>
    <col min="31" max="31" width="17.453125" style="2188" customWidth="1" outlineLevel="1"/>
    <col min="32" max="32" width="2.26953125" style="2188" customWidth="1"/>
    <col min="33" max="33" width="14.453125" style="2188" customWidth="1" outlineLevel="1"/>
    <col min="34" max="34" width="17.7265625" style="2188" customWidth="1" outlineLevel="1"/>
    <col min="35" max="35" width="14.453125" style="2188" customWidth="1" outlineLevel="1"/>
    <col min="36" max="36" width="17.453125" style="2188" customWidth="1"/>
    <col min="37" max="37" width="2.26953125" style="2188" customWidth="1"/>
    <col min="38" max="38" width="17.453125" style="2188" customWidth="1" outlineLevel="1"/>
    <col min="39" max="39" width="2.26953125" style="2188" customWidth="1"/>
    <col min="40" max="40" width="10" style="2188" customWidth="1"/>
    <col min="41" max="41" width="8.54296875" style="2188" customWidth="1"/>
    <col min="42" max="48" width="8.81640625" style="2188"/>
  </cols>
  <sheetData>
    <row r="1" spans="1:48">
      <c r="A1" s="2250" t="s">
        <v>1834</v>
      </c>
      <c r="B1" s="2188" t="s">
        <v>1833</v>
      </c>
      <c r="E1" s="2239" t="s">
        <v>1835</v>
      </c>
      <c r="G1" s="2247"/>
      <c r="H1" s="2247"/>
      <c r="I1" s="2247"/>
      <c r="J1" s="2247"/>
      <c r="L1" s="2247"/>
      <c r="Q1" s="2247"/>
      <c r="S1" s="2247"/>
      <c r="T1" s="2247"/>
      <c r="U1" s="2247"/>
      <c r="V1" s="2247"/>
      <c r="X1" s="2247"/>
      <c r="Z1" s="2247"/>
      <c r="AA1" s="2247"/>
      <c r="AB1" s="2247"/>
      <c r="AC1" s="2247"/>
      <c r="AE1" s="2247"/>
      <c r="AG1" s="2247"/>
      <c r="AH1" s="2247"/>
      <c r="AI1" s="2247"/>
      <c r="AJ1" s="2247"/>
      <c r="AL1" s="2247"/>
    </row>
    <row r="2" spans="1:48" ht="13">
      <c r="A2" s="2239" t="s">
        <v>1832</v>
      </c>
      <c r="B2" s="2249">
        <v>0.21</v>
      </c>
      <c r="E2" s="4189" t="s">
        <v>3438</v>
      </c>
      <c r="G2" s="2247"/>
      <c r="H2" s="2247"/>
      <c r="I2" s="2247"/>
      <c r="J2" s="2247"/>
      <c r="L2" s="2247"/>
      <c r="Q2" s="2247"/>
      <c r="S2" s="2247"/>
      <c r="T2" s="2247"/>
      <c r="U2" s="2247"/>
      <c r="V2" s="2247"/>
      <c r="X2" s="2247"/>
      <c r="Z2" s="2247"/>
      <c r="AA2" s="2247"/>
      <c r="AB2" s="2247"/>
      <c r="AC2" s="2247"/>
      <c r="AE2" s="2247"/>
      <c r="AG2" s="2247"/>
      <c r="AH2" s="2247"/>
      <c r="AI2" s="2247"/>
      <c r="AJ2" s="2247"/>
      <c r="AL2" s="2247"/>
    </row>
    <row r="3" spans="1:48" ht="13" thickBot="1">
      <c r="A3" s="2248" t="s">
        <v>1831</v>
      </c>
      <c r="G3" s="2247"/>
      <c r="H3" s="2247"/>
      <c r="I3" s="2247"/>
      <c r="J3" s="2247"/>
      <c r="L3" s="2247"/>
      <c r="Q3" s="2247"/>
      <c r="S3" s="2247"/>
      <c r="T3" s="2247"/>
      <c r="U3" s="2247"/>
      <c r="V3" s="2247"/>
      <c r="X3" s="2247"/>
      <c r="Z3" s="2247"/>
      <c r="AA3" s="2247"/>
      <c r="AB3" s="2247"/>
      <c r="AC3" s="2247"/>
      <c r="AE3" s="2247"/>
      <c r="AG3" s="2247"/>
      <c r="AH3" s="2247"/>
      <c r="AI3" s="2247"/>
      <c r="AJ3" s="2247"/>
      <c r="AL3" s="2247"/>
    </row>
    <row r="4" spans="1:48" ht="13" thickBot="1">
      <c r="B4" s="3973" t="s">
        <v>1830</v>
      </c>
      <c r="C4" s="3974"/>
      <c r="E4" s="2246" t="s">
        <v>1824</v>
      </c>
      <c r="G4" s="3970" t="s">
        <v>1829</v>
      </c>
      <c r="H4" s="3971"/>
      <c r="I4" s="3971"/>
      <c r="J4" s="3972"/>
      <c r="L4" s="2245" t="s">
        <v>1824</v>
      </c>
      <c r="N4" s="3970" t="s">
        <v>1828</v>
      </c>
      <c r="O4" s="3971"/>
      <c r="P4" s="3971"/>
      <c r="Q4" s="3972"/>
      <c r="S4" s="3970" t="s">
        <v>1827</v>
      </c>
      <c r="T4" s="3971"/>
      <c r="U4" s="3971"/>
      <c r="V4" s="3972"/>
      <c r="X4" s="2245" t="s">
        <v>1824</v>
      </c>
      <c r="Z4" s="3970" t="s">
        <v>1826</v>
      </c>
      <c r="AA4" s="3971"/>
      <c r="AB4" s="3971"/>
      <c r="AC4" s="3972"/>
      <c r="AE4" s="2245" t="s">
        <v>1824</v>
      </c>
      <c r="AG4" s="3970" t="s">
        <v>1825</v>
      </c>
      <c r="AH4" s="3971"/>
      <c r="AI4" s="3971"/>
      <c r="AJ4" s="3972"/>
      <c r="AL4" s="2245" t="s">
        <v>1824</v>
      </c>
    </row>
    <row r="5" spans="1:48">
      <c r="A5" s="2239"/>
      <c r="B5" s="2238"/>
      <c r="C5" s="2238"/>
      <c r="E5" s="2238"/>
      <c r="G5" s="2236"/>
      <c r="H5" s="2236"/>
      <c r="I5" s="2236"/>
      <c r="J5" s="2238"/>
      <c r="L5" s="2236"/>
      <c r="Q5" s="2238"/>
      <c r="S5" s="2236"/>
      <c r="T5" s="2236"/>
      <c r="U5" s="2236"/>
      <c r="V5" s="2238"/>
      <c r="X5" s="2236"/>
      <c r="Z5" s="2236"/>
      <c r="AA5" s="2236"/>
      <c r="AB5" s="2236"/>
      <c r="AC5" s="2238"/>
      <c r="AE5" s="2236"/>
      <c r="AG5" s="2236"/>
      <c r="AH5" s="2236"/>
      <c r="AI5" s="2236"/>
      <c r="AJ5" s="2238"/>
      <c r="AL5" s="2236"/>
    </row>
    <row r="6" spans="1:48">
      <c r="A6" s="2243" t="s">
        <v>1823</v>
      </c>
      <c r="B6" s="2216"/>
      <c r="C6" s="2242">
        <v>2.15</v>
      </c>
      <c r="D6" s="2234"/>
      <c r="E6" s="2216"/>
      <c r="F6" s="2234"/>
      <c r="G6" s="2203"/>
      <c r="H6" s="2203"/>
      <c r="I6" s="2203"/>
      <c r="J6" s="2242">
        <v>3.15</v>
      </c>
      <c r="K6" s="2234"/>
      <c r="L6" s="2203"/>
      <c r="M6" s="2234"/>
      <c r="N6" s="2234"/>
      <c r="O6" s="2234"/>
      <c r="P6" s="2234"/>
      <c r="Q6" s="2242">
        <v>3.16</v>
      </c>
      <c r="R6" s="2234"/>
      <c r="S6" s="2203"/>
      <c r="T6" s="2203"/>
      <c r="U6" s="2203"/>
      <c r="V6" s="2244">
        <v>3.17</v>
      </c>
      <c r="W6" s="2234"/>
      <c r="X6" s="2203"/>
      <c r="Y6" s="2234"/>
      <c r="Z6" s="2203"/>
      <c r="AA6" s="2203"/>
      <c r="AB6" s="2203"/>
      <c r="AC6" s="2240">
        <v>4.01</v>
      </c>
      <c r="AD6" s="2234"/>
      <c r="AE6" s="2203"/>
      <c r="AF6" s="2234"/>
      <c r="AG6" s="2203"/>
      <c r="AH6" s="2203"/>
      <c r="AI6" s="2203"/>
      <c r="AJ6" s="2240">
        <v>5.07</v>
      </c>
      <c r="AK6" s="2234"/>
      <c r="AL6" s="2203"/>
      <c r="AM6" s="2234"/>
      <c r="AN6" s="2234"/>
      <c r="AO6" s="2234"/>
      <c r="AP6" s="2234"/>
      <c r="AQ6" s="2234"/>
      <c r="AR6" s="2234"/>
      <c r="AS6" s="2234"/>
      <c r="AT6" s="2234"/>
      <c r="AU6" s="2234"/>
      <c r="AV6" s="2234"/>
    </row>
    <row r="7" spans="1:48">
      <c r="A7" s="2243" t="s">
        <v>1822</v>
      </c>
      <c r="B7" s="2234"/>
      <c r="C7" s="2242" t="s">
        <v>628</v>
      </c>
      <c r="D7" s="2234"/>
      <c r="E7" s="2216"/>
      <c r="F7" s="2234"/>
      <c r="G7" s="2241"/>
      <c r="H7" s="2236" t="s">
        <v>14</v>
      </c>
      <c r="I7" s="2236" t="s">
        <v>14</v>
      </c>
      <c r="J7" s="2242" t="s">
        <v>630</v>
      </c>
      <c r="K7" s="2234"/>
      <c r="L7" s="2203"/>
      <c r="M7" s="2234"/>
      <c r="N7" s="2234"/>
      <c r="O7" s="2234"/>
      <c r="P7" s="2234"/>
      <c r="Q7" s="2242" t="s">
        <v>607</v>
      </c>
      <c r="R7" s="2234"/>
      <c r="S7" s="2241"/>
      <c r="T7" s="2236" t="s">
        <v>14</v>
      </c>
      <c r="U7" s="2236" t="s">
        <v>14</v>
      </c>
      <c r="V7" s="2240" t="s">
        <v>632</v>
      </c>
      <c r="W7" s="2234"/>
      <c r="X7" s="2203"/>
      <c r="Y7" s="2234"/>
      <c r="Z7" s="2241"/>
      <c r="AA7" s="2236" t="s">
        <v>609</v>
      </c>
      <c r="AB7" s="2236" t="s">
        <v>609</v>
      </c>
      <c r="AC7" s="2240" t="s">
        <v>611</v>
      </c>
      <c r="AD7" s="2234"/>
      <c r="AE7" s="2203"/>
      <c r="AF7" s="2234"/>
      <c r="AG7" s="2241"/>
      <c r="AH7" s="2236" t="s">
        <v>609</v>
      </c>
      <c r="AI7" s="2236" t="s">
        <v>609</v>
      </c>
      <c r="AJ7" s="2240" t="s">
        <v>616</v>
      </c>
      <c r="AK7" s="2234"/>
      <c r="AL7" s="2203"/>
      <c r="AM7" s="2234"/>
      <c r="AN7" s="2234"/>
      <c r="AO7" s="2234"/>
      <c r="AP7" s="2234"/>
      <c r="AQ7" s="2234"/>
      <c r="AR7" s="2234"/>
      <c r="AS7" s="2234"/>
      <c r="AT7" s="2234"/>
      <c r="AU7" s="2234"/>
      <c r="AV7" s="2234"/>
    </row>
    <row r="8" spans="1:48">
      <c r="A8" s="2239"/>
      <c r="B8" s="2238" t="s">
        <v>663</v>
      </c>
      <c r="C8" s="2235" t="s">
        <v>1813</v>
      </c>
      <c r="D8" s="2234"/>
      <c r="E8" s="2238" t="s">
        <v>1821</v>
      </c>
      <c r="F8" s="2234"/>
      <c r="G8" s="2237" t="s">
        <v>1816</v>
      </c>
      <c r="H8" s="2236">
        <v>2023</v>
      </c>
      <c r="I8" s="2236">
        <v>2023</v>
      </c>
      <c r="J8" s="2235" t="s">
        <v>1820</v>
      </c>
      <c r="K8" s="2234"/>
      <c r="L8" s="2227" t="s">
        <v>1818</v>
      </c>
      <c r="M8" s="2234"/>
      <c r="N8" s="2237" t="s">
        <v>1816</v>
      </c>
      <c r="O8" s="2236"/>
      <c r="P8" s="2236"/>
      <c r="Q8" s="2235">
        <v>12.202299999999999</v>
      </c>
      <c r="R8" s="2234"/>
      <c r="S8" s="2237" t="s">
        <v>1816</v>
      </c>
      <c r="T8" s="2236">
        <v>2024</v>
      </c>
      <c r="U8" s="2236">
        <v>2024</v>
      </c>
      <c r="V8" s="2235" t="s">
        <v>1819</v>
      </c>
      <c r="W8" s="2234"/>
      <c r="X8" s="2227" t="s">
        <v>1818</v>
      </c>
      <c r="Y8" s="2234"/>
      <c r="Z8" s="2237" t="s">
        <v>1816</v>
      </c>
      <c r="AA8" s="2236">
        <v>2025</v>
      </c>
      <c r="AB8" s="2236">
        <v>2025</v>
      </c>
      <c r="AC8" s="2235" t="s">
        <v>1817</v>
      </c>
      <c r="AD8" s="2234"/>
      <c r="AE8" s="2227" t="s">
        <v>1814</v>
      </c>
      <c r="AF8" s="2234"/>
      <c r="AG8" s="2237" t="s">
        <v>1816</v>
      </c>
      <c r="AH8" s="2236">
        <v>2026</v>
      </c>
      <c r="AI8" s="2236">
        <v>2026</v>
      </c>
      <c r="AJ8" s="2235" t="s">
        <v>1815</v>
      </c>
      <c r="AK8" s="2234"/>
      <c r="AL8" s="2227" t="s">
        <v>1814</v>
      </c>
      <c r="AM8" s="2234"/>
      <c r="AN8" s="2227" t="s">
        <v>24</v>
      </c>
      <c r="AO8" s="2227" t="s">
        <v>24</v>
      </c>
      <c r="AP8" s="2234"/>
      <c r="AQ8" s="2234"/>
      <c r="AR8" s="2234"/>
      <c r="AS8" s="2234"/>
      <c r="AT8" s="2234"/>
      <c r="AU8" s="2234"/>
      <c r="AV8" s="2234"/>
    </row>
    <row r="9" spans="1:48" ht="38" thickBot="1">
      <c r="B9" s="2233" t="s">
        <v>1813</v>
      </c>
      <c r="C9" s="2231" t="s">
        <v>19</v>
      </c>
      <c r="D9" s="2222"/>
      <c r="E9" s="2233" t="s">
        <v>1813</v>
      </c>
      <c r="F9" s="2222"/>
      <c r="G9" s="2230" t="s">
        <v>1812</v>
      </c>
      <c r="H9" s="2230" t="s">
        <v>1804</v>
      </c>
      <c r="I9" s="2230" t="s">
        <v>1803</v>
      </c>
      <c r="J9" s="2231" t="s">
        <v>19</v>
      </c>
      <c r="K9" s="2222"/>
      <c r="L9" s="2228" t="s">
        <v>1811</v>
      </c>
      <c r="M9" s="2222"/>
      <c r="N9" s="2230" t="s">
        <v>1806</v>
      </c>
      <c r="O9" s="2232" t="s">
        <v>1803</v>
      </c>
      <c r="P9" s="2230" t="s">
        <v>1810</v>
      </c>
      <c r="Q9" s="2231" t="s">
        <v>1809</v>
      </c>
      <c r="R9" s="2222"/>
      <c r="S9" s="2230" t="s">
        <v>1806</v>
      </c>
      <c r="T9" s="2230" t="s">
        <v>1804</v>
      </c>
      <c r="U9" s="2230" t="s">
        <v>1803</v>
      </c>
      <c r="V9" s="2229" t="s">
        <v>19</v>
      </c>
      <c r="W9" s="2222"/>
      <c r="X9" s="2228" t="s">
        <v>1808</v>
      </c>
      <c r="Y9" s="2222"/>
      <c r="Z9" s="2230" t="s">
        <v>1806</v>
      </c>
      <c r="AA9" s="2230" t="s">
        <v>1804</v>
      </c>
      <c r="AB9" s="2230" t="s">
        <v>1803</v>
      </c>
      <c r="AC9" s="2229" t="s">
        <v>19</v>
      </c>
      <c r="AD9" s="2222"/>
      <c r="AE9" s="2228" t="s">
        <v>1807</v>
      </c>
      <c r="AF9" s="2222"/>
      <c r="AG9" s="2230" t="s">
        <v>1806</v>
      </c>
      <c r="AH9" s="2230" t="s">
        <v>1804</v>
      </c>
      <c r="AI9" s="2230" t="s">
        <v>1803</v>
      </c>
      <c r="AJ9" s="2229" t="s">
        <v>19</v>
      </c>
      <c r="AK9" s="2222"/>
      <c r="AL9" s="2228" t="s">
        <v>1805</v>
      </c>
      <c r="AM9" s="2222"/>
      <c r="AN9" s="2227" t="s">
        <v>1804</v>
      </c>
      <c r="AO9" s="2227" t="s">
        <v>1803</v>
      </c>
      <c r="AP9" s="2222"/>
      <c r="AQ9" s="2222"/>
      <c r="AR9" s="2222"/>
      <c r="AS9" s="2222"/>
      <c r="AT9" s="2222"/>
      <c r="AU9" s="2222"/>
      <c r="AV9" s="2222"/>
    </row>
    <row r="10" spans="1:48">
      <c r="A10" s="2226" t="s">
        <v>1802</v>
      </c>
      <c r="B10" s="2225"/>
      <c r="C10" s="2223"/>
      <c r="D10" s="2222"/>
      <c r="E10" s="2224"/>
      <c r="F10" s="2222"/>
      <c r="G10" s="2222"/>
      <c r="H10" s="2222"/>
      <c r="I10" s="2222"/>
      <c r="J10" s="2223"/>
      <c r="K10" s="2222"/>
      <c r="L10" s="2222"/>
      <c r="M10" s="2222"/>
      <c r="N10" s="2222"/>
      <c r="O10" s="2222"/>
      <c r="P10" s="2222"/>
      <c r="Q10" s="2223"/>
      <c r="R10" s="2222"/>
      <c r="S10" s="2222"/>
      <c r="T10" s="2222"/>
      <c r="U10" s="2222"/>
      <c r="V10" s="2223"/>
      <c r="W10" s="2222"/>
      <c r="X10" s="2222"/>
      <c r="Y10" s="2222"/>
      <c r="Z10" s="2222"/>
      <c r="AA10" s="2222"/>
      <c r="AB10" s="2222"/>
      <c r="AC10" s="2223"/>
      <c r="AD10" s="2222"/>
      <c r="AE10" s="2222"/>
      <c r="AF10" s="2222"/>
      <c r="AG10" s="2222"/>
      <c r="AH10" s="2222"/>
      <c r="AI10" s="2222"/>
      <c r="AJ10" s="2223"/>
      <c r="AK10" s="2222"/>
      <c r="AL10" s="2222"/>
      <c r="AM10" s="2222"/>
      <c r="AN10" s="2222"/>
      <c r="AO10" s="2222"/>
      <c r="AP10" s="2222"/>
      <c r="AQ10" s="2222"/>
      <c r="AR10" s="2222"/>
      <c r="AS10" s="2222"/>
      <c r="AT10" s="2222"/>
      <c r="AU10" s="2222"/>
      <c r="AV10" s="2222"/>
    </row>
    <row r="11" spans="1:48">
      <c r="A11" s="2195" t="s">
        <v>672</v>
      </c>
      <c r="B11" s="2192">
        <v>7658.6916500000007</v>
      </c>
      <c r="C11" s="2210">
        <f>+E11-B11</f>
        <v>0</v>
      </c>
      <c r="E11" s="2212">
        <v>7658.6916500000007</v>
      </c>
      <c r="G11" s="2192">
        <v>430.78370095954278</v>
      </c>
      <c r="H11" s="3750">
        <v>-111</v>
      </c>
      <c r="I11" s="3750">
        <v>192</v>
      </c>
      <c r="J11" s="2210">
        <f>SUM(G11:I11)</f>
        <v>511.78370095954278</v>
      </c>
      <c r="L11" s="2209">
        <f>SUM(E11,J11)</f>
        <v>8170.475350959543</v>
      </c>
      <c r="N11" s="2192">
        <v>0</v>
      </c>
      <c r="O11" s="3750">
        <v>1</v>
      </c>
      <c r="P11" s="2192">
        <v>0</v>
      </c>
      <c r="Q11" s="2210">
        <f>SUM(N11:P11)</f>
        <v>1</v>
      </c>
      <c r="S11" s="2192">
        <v>169.37348957390705</v>
      </c>
      <c r="T11" s="3750">
        <v>-759</v>
      </c>
      <c r="U11" s="3750">
        <v>1512</v>
      </c>
      <c r="V11" s="2210">
        <f>SUM(S11:U11)</f>
        <v>922.37348957390702</v>
      </c>
      <c r="X11" s="2209">
        <f>SUM(L11,Q11,V11)</f>
        <v>9093.8488405334501</v>
      </c>
      <c r="Z11" s="2213">
        <v>0</v>
      </c>
      <c r="AA11" s="3750">
        <v>-818</v>
      </c>
      <c r="AB11" s="3750">
        <v>1495</v>
      </c>
      <c r="AC11" s="2210">
        <f>SUM(Z11:AB11)</f>
        <v>677</v>
      </c>
      <c r="AE11" s="2209">
        <f>SUM(X11,AC11)</f>
        <v>9770.8488405334501</v>
      </c>
      <c r="AG11" s="2213">
        <v>0</v>
      </c>
      <c r="AH11" s="3750">
        <v>-624</v>
      </c>
      <c r="AI11" s="3750">
        <v>1156</v>
      </c>
      <c r="AJ11" s="2210">
        <f>SUM(AG11:AI11)</f>
        <v>532</v>
      </c>
      <c r="AL11" s="2209">
        <f>SUM(AE11,AJ11)</f>
        <v>10302.84884053345</v>
      </c>
      <c r="AN11" s="2212">
        <f>+AH11+AA11+T11+H11</f>
        <v>-2312</v>
      </c>
      <c r="AO11" s="2212">
        <f>AI11+AB11+U11+I11</f>
        <v>4355</v>
      </c>
    </row>
    <row r="12" spans="1:48">
      <c r="A12" s="2195" t="s">
        <v>1788</v>
      </c>
      <c r="B12" s="2192">
        <v>511.82413000000003</v>
      </c>
      <c r="C12" s="2210">
        <f>+E12-B12</f>
        <v>0</v>
      </c>
      <c r="E12" s="2212">
        <v>511.82413000000003</v>
      </c>
      <c r="G12" s="2192">
        <v>8.3258642598565089</v>
      </c>
      <c r="H12" s="3750">
        <v>0</v>
      </c>
      <c r="I12" s="3750">
        <v>4</v>
      </c>
      <c r="J12" s="2210">
        <f>SUM(G12:I12)</f>
        <v>12.325864259856509</v>
      </c>
      <c r="L12" s="2209">
        <f>SUM(E12,J12)</f>
        <v>524.1499942598565</v>
      </c>
      <c r="N12" s="2192">
        <v>-6.8036179775199708</v>
      </c>
      <c r="O12" s="3750">
        <v>0</v>
      </c>
      <c r="P12" s="2192">
        <v>0</v>
      </c>
      <c r="Q12" s="2210">
        <f>SUM(N12:P12)</f>
        <v>-6.8036179775199708</v>
      </c>
      <c r="S12" s="2192">
        <v>2.8846984648565068</v>
      </c>
      <c r="T12" s="3750">
        <v>0</v>
      </c>
      <c r="U12" s="3750">
        <v>17</v>
      </c>
      <c r="V12" s="2210">
        <f>SUM(S12:U12)</f>
        <v>19.884698464856505</v>
      </c>
      <c r="X12" s="2209">
        <f>SUM(L12,Q12,V12)</f>
        <v>537.23107474719302</v>
      </c>
      <c r="Z12" s="2213">
        <v>0</v>
      </c>
      <c r="AA12" s="3750">
        <v>0</v>
      </c>
      <c r="AB12" s="3750">
        <v>24</v>
      </c>
      <c r="AC12" s="2210">
        <f>SUM(Z12:AB12)</f>
        <v>24</v>
      </c>
      <c r="AE12" s="2209">
        <f>SUM(X12,AC12)</f>
        <v>561.23107474719302</v>
      </c>
      <c r="AG12" s="2213">
        <v>0</v>
      </c>
      <c r="AH12" s="3750">
        <v>0</v>
      </c>
      <c r="AI12" s="3750">
        <v>23</v>
      </c>
      <c r="AJ12" s="2210">
        <f>SUM(AG12:AI12)</f>
        <v>23</v>
      </c>
      <c r="AL12" s="2209">
        <f>SUM(AE12,AJ12)</f>
        <v>584.23107474719302</v>
      </c>
      <c r="AN12" s="2212">
        <f>+AH12+AA12+T12+H12</f>
        <v>0</v>
      </c>
      <c r="AO12" s="2212">
        <f>AI12+AB12+U12+I12</f>
        <v>68</v>
      </c>
    </row>
    <row r="13" spans="1:48">
      <c r="A13" s="2195" t="s">
        <v>45</v>
      </c>
      <c r="B13" s="2192">
        <v>16440.377049999999</v>
      </c>
      <c r="C13" s="2210">
        <f>+E13-B13</f>
        <v>0</v>
      </c>
      <c r="E13" s="2212">
        <v>16440.377049999999</v>
      </c>
      <c r="G13" s="2192">
        <v>481.25396456205794</v>
      </c>
      <c r="H13" s="3750">
        <v>-6</v>
      </c>
      <c r="I13" s="3750">
        <v>168</v>
      </c>
      <c r="J13" s="2210">
        <f>SUM(G13:I13)</f>
        <v>643.25396456205794</v>
      </c>
      <c r="L13" s="2209">
        <f>SUM(E13,J13)</f>
        <v>17083.631014562055</v>
      </c>
      <c r="N13" s="2192">
        <v>-429.74413633927622</v>
      </c>
      <c r="O13" s="3750">
        <v>-4</v>
      </c>
      <c r="P13" s="2192">
        <v>0</v>
      </c>
      <c r="Q13" s="2210">
        <f>SUM(N13:P13)</f>
        <v>-433.74413633927622</v>
      </c>
      <c r="S13" s="2192">
        <v>157.64138456205629</v>
      </c>
      <c r="T13" s="3750">
        <v>-31</v>
      </c>
      <c r="U13" s="3750">
        <v>919</v>
      </c>
      <c r="V13" s="2210">
        <f>SUM(S13:U13)</f>
        <v>1045.6413845620564</v>
      </c>
      <c r="X13" s="2209">
        <f>SUM(L13,Q13,V13)</f>
        <v>17695.528262784836</v>
      </c>
      <c r="Z13" s="2213">
        <v>0</v>
      </c>
      <c r="AA13" s="3750">
        <v>-30</v>
      </c>
      <c r="AB13" s="3750">
        <v>909</v>
      </c>
      <c r="AC13" s="2210">
        <f>SUM(Z13:AB13)</f>
        <v>879</v>
      </c>
      <c r="AE13" s="2209">
        <f>SUM(X13,AC13)</f>
        <v>18574.528262784836</v>
      </c>
      <c r="AG13" s="2213">
        <v>0</v>
      </c>
      <c r="AH13" s="3750">
        <v>-28</v>
      </c>
      <c r="AI13" s="3750">
        <v>851</v>
      </c>
      <c r="AJ13" s="2210">
        <f>SUM(AG13:AI13)</f>
        <v>823</v>
      </c>
      <c r="AL13" s="2209">
        <f>SUM(AE13,AJ13)</f>
        <v>19397.528262784836</v>
      </c>
      <c r="AN13" s="2212">
        <f>+AH13+AA13+T13+H13</f>
        <v>-95</v>
      </c>
      <c r="AO13" s="2212">
        <f>AI13+AB13+U13+I13</f>
        <v>2847</v>
      </c>
    </row>
    <row r="14" spans="1:48">
      <c r="A14" s="2195" t="s">
        <v>654</v>
      </c>
      <c r="B14" s="2192">
        <v>5143.2857899999999</v>
      </c>
      <c r="C14" s="2210">
        <f>+E14-B14</f>
        <v>0</v>
      </c>
      <c r="E14" s="2212">
        <v>5143.2857899999999</v>
      </c>
      <c r="G14" s="2192">
        <v>97.671243184776841</v>
      </c>
      <c r="H14" s="3750">
        <v>-69</v>
      </c>
      <c r="I14" s="3750">
        <v>93</v>
      </c>
      <c r="J14" s="2210">
        <f>SUM(G14:I14)</f>
        <v>121.67124318477684</v>
      </c>
      <c r="L14" s="2209">
        <f>SUM(E14,J14)</f>
        <v>5264.9570331847772</v>
      </c>
      <c r="N14" s="2192">
        <v>-222.7470185019906</v>
      </c>
      <c r="O14" s="3750">
        <v>1</v>
      </c>
      <c r="P14" s="2192">
        <v>-241</v>
      </c>
      <c r="Q14" s="2210">
        <f>SUM(N14:P14)</f>
        <v>-462.74701850199062</v>
      </c>
      <c r="S14" s="2192">
        <v>81.863251455766616</v>
      </c>
      <c r="T14" s="3750">
        <v>-427</v>
      </c>
      <c r="U14" s="3750">
        <v>721</v>
      </c>
      <c r="V14" s="2210">
        <f>SUM(S14:U14)</f>
        <v>375.8632514557666</v>
      </c>
      <c r="X14" s="2209">
        <f>SUM(L14,Q14,V14)</f>
        <v>5178.0732661385537</v>
      </c>
      <c r="Z14" s="2213">
        <v>0</v>
      </c>
      <c r="AA14" s="3750">
        <v>-104</v>
      </c>
      <c r="AB14" s="3750">
        <v>670</v>
      </c>
      <c r="AC14" s="2210">
        <f>SUM(Z14:AB14)</f>
        <v>566</v>
      </c>
      <c r="AE14" s="2209">
        <f>SUM(X14,AC14)</f>
        <v>5744.0732661385537</v>
      </c>
      <c r="AG14" s="2213">
        <v>0</v>
      </c>
      <c r="AH14" s="3750">
        <v>-181</v>
      </c>
      <c r="AI14" s="3750">
        <v>527</v>
      </c>
      <c r="AJ14" s="2210">
        <f>SUM(AG14:AI14)</f>
        <v>346</v>
      </c>
      <c r="AL14" s="2209">
        <f>SUM(AE14,AJ14)</f>
        <v>6090.0732661385537</v>
      </c>
      <c r="AN14" s="2221">
        <f>+AH14+AA14+T14+H14</f>
        <v>-781</v>
      </c>
      <c r="AO14" s="2221">
        <f>AI14+AB14+U14+I14</f>
        <v>2011</v>
      </c>
    </row>
    <row r="15" spans="1:48">
      <c r="A15" s="2195" t="s">
        <v>1801</v>
      </c>
      <c r="B15" s="2207">
        <f>SUM(B11:B14)</f>
        <v>29754.178619999999</v>
      </c>
      <c r="C15" s="2208">
        <f>SUM(C11:C14)</f>
        <v>0</v>
      </c>
      <c r="D15" s="2196">
        <f>SUM(D11:D14)</f>
        <v>0</v>
      </c>
      <c r="E15" s="2207">
        <f>SUM(E11:E14)</f>
        <v>29754.178619999999</v>
      </c>
      <c r="F15" s="2196"/>
      <c r="G15" s="2207">
        <f>SUM(G11:G14)</f>
        <v>1018.0347729662341</v>
      </c>
      <c r="H15" s="2207">
        <f>SUM(H11:H14)</f>
        <v>-186</v>
      </c>
      <c r="I15" s="2207">
        <f>SUM(I11:I14)</f>
        <v>457</v>
      </c>
      <c r="J15" s="2208">
        <f>SUM(J11:J14)</f>
        <v>1289.034772966234</v>
      </c>
      <c r="K15" s="2196"/>
      <c r="L15" s="2207">
        <f>SUM(L10:L14)</f>
        <v>31043.21339296623</v>
      </c>
      <c r="M15" s="2196"/>
      <c r="N15" s="2207">
        <f>SUM(N10:N14)</f>
        <v>-659.29477281878678</v>
      </c>
      <c r="O15" s="2207">
        <f>SUM(O10:O14)</f>
        <v>-2</v>
      </c>
      <c r="P15" s="2207">
        <f>SUM(P10:P14)</f>
        <v>-241</v>
      </c>
      <c r="Q15" s="2208">
        <f>SUM(Q11:Q14)</f>
        <v>-902.2947728187869</v>
      </c>
      <c r="R15" s="2196"/>
      <c r="S15" s="2207">
        <f>SUM(S11:S14)</f>
        <v>411.76282405658645</v>
      </c>
      <c r="T15" s="2207">
        <f>SUM(T11:T14)</f>
        <v>-1217</v>
      </c>
      <c r="U15" s="2207">
        <f>SUM(U11:U14)</f>
        <v>3169</v>
      </c>
      <c r="V15" s="2208">
        <f>SUM(V11:V14)</f>
        <v>2363.7628240565864</v>
      </c>
      <c r="W15" s="2196"/>
      <c r="X15" s="2207">
        <f>SUM(X10:X14)</f>
        <v>32504.681444204034</v>
      </c>
      <c r="Y15" s="2196"/>
      <c r="Z15" s="2207">
        <f>SUM(Z10:Z14)</f>
        <v>0</v>
      </c>
      <c r="AA15" s="2207">
        <f>SUM(AA11:AA14)</f>
        <v>-952</v>
      </c>
      <c r="AB15" s="2207">
        <f>SUM(AB11:AB14)</f>
        <v>3098</v>
      </c>
      <c r="AC15" s="2208">
        <f>SUM(AC11:AC14)</f>
        <v>2146</v>
      </c>
      <c r="AD15" s="2196"/>
      <c r="AE15" s="2207">
        <f>SUM(AE10:AE14)</f>
        <v>34650.681444204034</v>
      </c>
      <c r="AF15" s="2196"/>
      <c r="AG15" s="2207">
        <f>SUM(AG11:AG14)</f>
        <v>0</v>
      </c>
      <c r="AH15" s="2207">
        <f>SUM(AH11:AH14)</f>
        <v>-833</v>
      </c>
      <c r="AI15" s="2207">
        <f>SUM(AI11:AI14)</f>
        <v>2557</v>
      </c>
      <c r="AJ15" s="2208">
        <f>SUM(AJ11:AJ14)</f>
        <v>1724</v>
      </c>
      <c r="AK15" s="2196"/>
      <c r="AL15" s="2207">
        <f>SUM(AL11:AL14)</f>
        <v>36374.681444204034</v>
      </c>
      <c r="AM15" s="2196"/>
      <c r="AN15" s="2212">
        <f>SUM(AN11:AN14)</f>
        <v>-3188</v>
      </c>
      <c r="AO15" s="2212">
        <f>SUM(AO11:AO14)</f>
        <v>9281</v>
      </c>
    </row>
    <row r="16" spans="1:48">
      <c r="A16" s="2199"/>
      <c r="B16" s="2216" t="s">
        <v>197</v>
      </c>
      <c r="C16" s="2202"/>
      <c r="D16" s="2201"/>
      <c r="E16" s="2216" t="s">
        <v>197</v>
      </c>
      <c r="F16" s="2199"/>
      <c r="G16" s="2220" t="s">
        <v>1791</v>
      </c>
      <c r="H16" s="2203" t="s">
        <v>1790</v>
      </c>
      <c r="I16" s="2203" t="s">
        <v>1782</v>
      </c>
      <c r="J16" s="2202"/>
      <c r="K16" s="2201"/>
      <c r="L16" s="2206"/>
      <c r="M16" s="2199"/>
      <c r="N16" s="2220" t="s">
        <v>1791</v>
      </c>
      <c r="O16" s="2203" t="s">
        <v>1782</v>
      </c>
      <c r="P16" s="2204" t="s">
        <v>1800</v>
      </c>
      <c r="Q16" s="2202"/>
      <c r="R16" s="2199"/>
      <c r="S16" s="2220" t="s">
        <v>1791</v>
      </c>
      <c r="T16" s="2203" t="s">
        <v>1790</v>
      </c>
      <c r="U16" s="2203" t="s">
        <v>1782</v>
      </c>
      <c r="V16" s="2202"/>
      <c r="W16" s="2201"/>
      <c r="X16" s="2200"/>
      <c r="Y16" s="2199"/>
      <c r="Z16" s="2220"/>
      <c r="AA16" s="2203" t="s">
        <v>1790</v>
      </c>
      <c r="AB16" s="2203" t="s">
        <v>1782</v>
      </c>
      <c r="AC16" s="2202"/>
      <c r="AD16" s="2201"/>
      <c r="AE16" s="2206"/>
      <c r="AF16" s="2199"/>
      <c r="AG16" s="2220"/>
      <c r="AH16" s="2203"/>
      <c r="AI16" s="2203"/>
      <c r="AJ16" s="2202"/>
      <c r="AK16" s="2201"/>
      <c r="AL16" s="2200"/>
      <c r="AM16" s="2199"/>
      <c r="AN16" s="2199" t="s">
        <v>1799</v>
      </c>
      <c r="AO16" s="2219">
        <f>+AN15/AO15</f>
        <v>-0.34349746794526453</v>
      </c>
      <c r="AP16" s="2199"/>
      <c r="AQ16" s="2199"/>
      <c r="AR16" s="2199"/>
      <c r="AS16" s="2199"/>
      <c r="AT16" s="2199"/>
      <c r="AU16" s="2199"/>
      <c r="AV16" s="2199"/>
    </row>
    <row r="17" spans="1:48">
      <c r="A17" s="2188" t="s">
        <v>151</v>
      </c>
      <c r="B17" s="2217">
        <f>-B15</f>
        <v>-29754.178619999999</v>
      </c>
      <c r="C17" s="2210">
        <f>+E17-B17</f>
        <v>0</v>
      </c>
      <c r="D17" s="2192"/>
      <c r="E17" s="2217">
        <f>-E15</f>
        <v>-29754.178619999999</v>
      </c>
      <c r="G17" s="2192">
        <f>-G15</f>
        <v>-1018.0347729662341</v>
      </c>
      <c r="H17" s="2192">
        <f>-H15</f>
        <v>186</v>
      </c>
      <c r="I17" s="2192">
        <f>-I15</f>
        <v>-457</v>
      </c>
      <c r="J17" s="2218">
        <f>SUM(G17:I17)</f>
        <v>-1289.034772966234</v>
      </c>
      <c r="K17" s="2192"/>
      <c r="L17" s="2217">
        <f>-L15</f>
        <v>-31043.21339296623</v>
      </c>
      <c r="N17" s="2192">
        <f>-N15</f>
        <v>659.29477281878678</v>
      </c>
      <c r="O17" s="2192">
        <f>-O15</f>
        <v>2</v>
      </c>
      <c r="P17" s="2192">
        <f>-P15</f>
        <v>241</v>
      </c>
      <c r="Q17" s="2218">
        <f>-Q15</f>
        <v>902.2947728187869</v>
      </c>
      <c r="S17" s="2192">
        <f>-S15</f>
        <v>-411.76282405658645</v>
      </c>
      <c r="T17" s="2192">
        <f>-T15</f>
        <v>1217</v>
      </c>
      <c r="U17" s="2192">
        <f>-U15</f>
        <v>-3169</v>
      </c>
      <c r="V17" s="2218">
        <f>SUM(S17:U17)</f>
        <v>-2363.7628240565864</v>
      </c>
      <c r="W17" s="2192"/>
      <c r="X17" s="2192">
        <f>-X15</f>
        <v>-32504.681444204034</v>
      </c>
      <c r="Z17" s="2192">
        <f>-Z15</f>
        <v>0</v>
      </c>
      <c r="AA17" s="2192">
        <f>-AA15</f>
        <v>952</v>
      </c>
      <c r="AB17" s="2192">
        <f>-AB15</f>
        <v>-3098</v>
      </c>
      <c r="AC17" s="2210">
        <f>SUM(Z17:AB17)</f>
        <v>-2146</v>
      </c>
      <c r="AD17" s="2192"/>
      <c r="AE17" s="2217">
        <f>SUM(X17,Q17,AC17)</f>
        <v>-33748.386671385248</v>
      </c>
      <c r="AG17" s="2192">
        <f>-AG15</f>
        <v>0</v>
      </c>
      <c r="AH17" s="2192">
        <f>-AH15</f>
        <v>833</v>
      </c>
      <c r="AI17" s="2192">
        <f>-AI15</f>
        <v>-2557</v>
      </c>
      <c r="AJ17" s="2210">
        <f>SUM(AG17:AI17)</f>
        <v>-1724</v>
      </c>
      <c r="AK17" s="2192"/>
      <c r="AL17" s="2192">
        <f>-AL15</f>
        <v>-36374.681444204034</v>
      </c>
    </row>
    <row r="18" spans="1:48">
      <c r="A18" s="2188" t="s">
        <v>1798</v>
      </c>
      <c r="B18" s="2192">
        <f>(B15)*$B$2</f>
        <v>6248.3775102</v>
      </c>
      <c r="C18" s="2210">
        <f>+E18-B18</f>
        <v>0</v>
      </c>
      <c r="D18" s="2192"/>
      <c r="E18" s="2192">
        <f>(E15)*$B$2</f>
        <v>6248.3775102</v>
      </c>
      <c r="G18" s="2192">
        <f>(G15)*$B$2</f>
        <v>213.78730232290914</v>
      </c>
      <c r="H18" s="2192">
        <f>(H15)*$B$2</f>
        <v>-39.059999999999995</v>
      </c>
      <c r="I18" s="2192">
        <f>(I15)*$B$2</f>
        <v>95.97</v>
      </c>
      <c r="J18" s="2210">
        <f>SUM(G18:I18)</f>
        <v>270.69730232290914</v>
      </c>
      <c r="K18" s="2192"/>
      <c r="L18" s="2192">
        <f>(L15)*$B$2</f>
        <v>6519.0748125229084</v>
      </c>
      <c r="N18" s="2192">
        <f>(N15)*$B$2</f>
        <v>-138.45190229194523</v>
      </c>
      <c r="O18" s="2192">
        <f>(O15)*$B$2</f>
        <v>-0.42</v>
      </c>
      <c r="P18" s="2192">
        <f>(P15)*$B$2</f>
        <v>-50.61</v>
      </c>
      <c r="Q18" s="2210">
        <f>(Q15)*$B$2</f>
        <v>-189.48190229194523</v>
      </c>
      <c r="S18" s="2192">
        <f>(S15)*$B$2</f>
        <v>86.470193051883157</v>
      </c>
      <c r="T18" s="2192">
        <f>(T15)*$B$2</f>
        <v>-255.57</v>
      </c>
      <c r="U18" s="2192">
        <f>(U15)*$B$2</f>
        <v>665.49</v>
      </c>
      <c r="V18" s="2210">
        <f>SUM(S18:U18)</f>
        <v>496.39019305188316</v>
      </c>
      <c r="W18" s="2192"/>
      <c r="X18" s="2192">
        <f>(X15)*$B$2</f>
        <v>6825.983103282847</v>
      </c>
      <c r="Z18" s="2192">
        <f>(Z15)*$B$2</f>
        <v>0</v>
      </c>
      <c r="AA18" s="2192">
        <f>(AA15)*$B$2</f>
        <v>-199.92</v>
      </c>
      <c r="AB18" s="2192">
        <f>(AB15)*$B$2</f>
        <v>650.57999999999993</v>
      </c>
      <c r="AC18" s="2210">
        <f>SUM(Z18:AB18)</f>
        <v>450.65999999999997</v>
      </c>
      <c r="AD18" s="2192"/>
      <c r="AE18" s="2192">
        <f>SUM(X18,Q18,AC18)</f>
        <v>7087.1612009909013</v>
      </c>
      <c r="AG18" s="2192">
        <f>(AG15)*$B$2</f>
        <v>0</v>
      </c>
      <c r="AH18" s="2192">
        <f>(AH15)*$B$2</f>
        <v>-174.93</v>
      </c>
      <c r="AI18" s="2192">
        <f>(AI15)*$B$2</f>
        <v>536.97</v>
      </c>
      <c r="AJ18" s="2210">
        <f>SUM(AG18:AI18)</f>
        <v>362.04</v>
      </c>
      <c r="AK18" s="2192"/>
      <c r="AL18" s="2192">
        <f>(AL15)*$B$2</f>
        <v>7638.6831032828468</v>
      </c>
    </row>
    <row r="19" spans="1:48" ht="13" thickBot="1">
      <c r="A19" s="2188" t="s">
        <v>1797</v>
      </c>
      <c r="B19" s="2197">
        <f>SUM(B17:B18)</f>
        <v>-23505.801109799999</v>
      </c>
      <c r="C19" s="2198">
        <f>SUM(C17:C18)</f>
        <v>0</v>
      </c>
      <c r="D19" s="2196"/>
      <c r="E19" s="2197">
        <f>SUM(E17:E18)</f>
        <v>-23505.801109799999</v>
      </c>
      <c r="F19" s="2196"/>
      <c r="G19" s="2197">
        <f>SUM(G17:G18)</f>
        <v>-804.24747064332496</v>
      </c>
      <c r="H19" s="2197">
        <f>SUM(H17:H18)</f>
        <v>146.94</v>
      </c>
      <c r="I19" s="2197">
        <f>SUM(I17:I18)</f>
        <v>-361.03</v>
      </c>
      <c r="J19" s="2208">
        <f>SUM(J17:J18)</f>
        <v>-1018.3374706433249</v>
      </c>
      <c r="K19" s="2196"/>
      <c r="L19" s="2197">
        <f>SUM(L17:L18)</f>
        <v>-24524.138580443323</v>
      </c>
      <c r="M19" s="2196"/>
      <c r="N19" s="2197">
        <f>SUM(N17:N18)</f>
        <v>520.84287052684158</v>
      </c>
      <c r="O19" s="2197">
        <f>SUM(O17:O18)</f>
        <v>1.58</v>
      </c>
      <c r="P19" s="2197">
        <f>SUM(P17:P18)</f>
        <v>190.39</v>
      </c>
      <c r="Q19" s="2198">
        <f>SUM(Q17:Q18)</f>
        <v>712.81287052684161</v>
      </c>
      <c r="R19" s="2196"/>
      <c r="S19" s="2197">
        <f>SUM(S17:S18)</f>
        <v>-325.29263100470331</v>
      </c>
      <c r="T19" s="2197">
        <f>SUM(T17:T18)</f>
        <v>961.43000000000006</v>
      </c>
      <c r="U19" s="2197">
        <f>SUM(U17:U18)</f>
        <v>-2503.5100000000002</v>
      </c>
      <c r="V19" s="2208">
        <f>SUM(V17:V18)</f>
        <v>-1867.3726310047032</v>
      </c>
      <c r="W19" s="2196"/>
      <c r="X19" s="2197">
        <f>SUM(X17:X18)</f>
        <v>-25678.698340921186</v>
      </c>
      <c r="Y19" s="2196"/>
      <c r="Z19" s="2197">
        <f>SUM(Z17:Z18)</f>
        <v>0</v>
      </c>
      <c r="AA19" s="2197">
        <f>SUM(AA17:AA18)</f>
        <v>752.08</v>
      </c>
      <c r="AB19" s="2197">
        <f>SUM(AB17:AB18)</f>
        <v>-2447.42</v>
      </c>
      <c r="AC19" s="2208">
        <f>SUM(AC17:AC18)</f>
        <v>-1695.3400000000001</v>
      </c>
      <c r="AD19" s="2196"/>
      <c r="AE19" s="2197">
        <f>SUM(AE17:AE18)</f>
        <v>-26661.225470394347</v>
      </c>
      <c r="AF19" s="2196"/>
      <c r="AG19" s="2197">
        <f>SUM(AG17:AG18)</f>
        <v>0</v>
      </c>
      <c r="AH19" s="2197">
        <f>SUM(AH17:AH18)</f>
        <v>658.06999999999994</v>
      </c>
      <c r="AI19" s="2197">
        <f>SUM(AI17:AI18)</f>
        <v>-2020.03</v>
      </c>
      <c r="AJ19" s="2208">
        <f>SUM(AJ17:AJ18)</f>
        <v>-1361.96</v>
      </c>
      <c r="AK19" s="2196"/>
      <c r="AL19" s="2197">
        <f>SUM(AL17:AL18)</f>
        <v>-28735.998340921185</v>
      </c>
      <c r="AM19" s="2196"/>
    </row>
    <row r="20" spans="1:48">
      <c r="C20" s="2210"/>
      <c r="E20" s="2212"/>
      <c r="H20" s="2192"/>
      <c r="I20" s="2192"/>
      <c r="J20" s="2210"/>
      <c r="L20" s="2212"/>
      <c r="Q20" s="2210"/>
      <c r="T20" s="2192"/>
      <c r="U20" s="2192"/>
      <c r="V20" s="2210"/>
      <c r="X20" s="2212"/>
      <c r="AA20" s="2192"/>
      <c r="AB20" s="2192"/>
      <c r="AC20" s="2210"/>
      <c r="AE20" s="2212"/>
      <c r="AH20" s="2192"/>
      <c r="AI20" s="2192"/>
      <c r="AJ20" s="2210"/>
      <c r="AL20" s="2212"/>
    </row>
    <row r="21" spans="1:48">
      <c r="B21" s="2192"/>
      <c r="C21" s="2210"/>
      <c r="E21" s="2212"/>
      <c r="G21" s="2192"/>
      <c r="H21" s="2192"/>
      <c r="I21" s="2192"/>
      <c r="J21" s="2210"/>
      <c r="L21" s="2212"/>
      <c r="N21" s="2192"/>
      <c r="O21" s="2192"/>
      <c r="P21" s="2192"/>
      <c r="Q21" s="2210"/>
      <c r="S21" s="2192"/>
      <c r="T21" s="2192"/>
      <c r="U21" s="2192"/>
      <c r="V21" s="2210"/>
      <c r="X21" s="2212"/>
      <c r="Z21" s="2192"/>
      <c r="AA21" s="2192"/>
      <c r="AB21" s="2192"/>
      <c r="AC21" s="2210"/>
      <c r="AE21" s="2212"/>
      <c r="AG21" s="2192"/>
      <c r="AH21" s="2192"/>
      <c r="AI21" s="2192"/>
      <c r="AJ21" s="2210"/>
      <c r="AL21" s="2212"/>
    </row>
    <row r="22" spans="1:48">
      <c r="A22" s="2188" t="s">
        <v>1796</v>
      </c>
      <c r="C22" s="2210"/>
      <c r="E22" s="2212"/>
      <c r="G22" s="2192"/>
      <c r="H22" s="2192"/>
      <c r="I22" s="2192"/>
      <c r="J22" s="2210"/>
      <c r="L22" s="2212"/>
      <c r="N22" s="2192"/>
      <c r="O22" s="2192"/>
      <c r="P22" s="2192"/>
      <c r="Q22" s="2210"/>
      <c r="S22" s="2192"/>
      <c r="T22" s="2192"/>
      <c r="U22" s="2192"/>
      <c r="V22" s="2210"/>
      <c r="X22" s="2212"/>
      <c r="Z22" s="2192"/>
      <c r="AA22" s="2192"/>
      <c r="AB22" s="2192"/>
      <c r="AC22" s="2210"/>
      <c r="AE22" s="2212"/>
      <c r="AG22" s="2192"/>
      <c r="AH22" s="2192"/>
      <c r="AI22" s="2192"/>
      <c r="AJ22" s="2210"/>
      <c r="AL22" s="2212"/>
    </row>
    <row r="23" spans="1:48">
      <c r="A23" s="2195" t="s">
        <v>672</v>
      </c>
      <c r="B23" s="2192">
        <v>49301.635190000001</v>
      </c>
      <c r="C23" s="2210">
        <f>+E23-B23</f>
        <v>1183.5549399999945</v>
      </c>
      <c r="E23" s="2212">
        <v>50485.190129999995</v>
      </c>
      <c r="G23" s="2213">
        <v>0</v>
      </c>
      <c r="H23" s="3750">
        <v>-5004</v>
      </c>
      <c r="I23" s="3750">
        <v>3316</v>
      </c>
      <c r="J23" s="2210">
        <f>SUM(G23:I23)</f>
        <v>-1688</v>
      </c>
      <c r="L23" s="2212">
        <f>SUM(E23,J23)</f>
        <v>48797.190129999995</v>
      </c>
      <c r="N23" s="2213">
        <v>0</v>
      </c>
      <c r="O23" s="2213">
        <v>0</v>
      </c>
      <c r="P23" s="2213">
        <v>0</v>
      </c>
      <c r="Q23" s="2210">
        <v>0</v>
      </c>
      <c r="S23" s="2213">
        <v>0</v>
      </c>
      <c r="T23" s="3750">
        <v>-6718</v>
      </c>
      <c r="U23" s="3750">
        <v>6635</v>
      </c>
      <c r="V23" s="2210">
        <f>SUM(S23:U23)</f>
        <v>-83</v>
      </c>
      <c r="X23" s="2209">
        <f>SUM(L23,Q23,V23)</f>
        <v>48714.190129999995</v>
      </c>
      <c r="Z23" s="2213">
        <v>0</v>
      </c>
      <c r="AA23" s="3750">
        <v>-3033</v>
      </c>
      <c r="AB23" s="3750">
        <v>1924</v>
      </c>
      <c r="AC23" s="2210">
        <f>SUM(Z23:AB23)</f>
        <v>-1109</v>
      </c>
      <c r="AE23" s="2209">
        <f>SUM(X23,AC23)</f>
        <v>47605.190129999995</v>
      </c>
      <c r="AG23" s="2213">
        <v>0</v>
      </c>
      <c r="AH23" s="3750">
        <v>-6178</v>
      </c>
      <c r="AI23" s="3750">
        <v>4903</v>
      </c>
      <c r="AJ23" s="3753">
        <f>SUM(AG23:AI23)</f>
        <v>-1275</v>
      </c>
      <c r="AL23" s="2212">
        <f>SUM(AE23,AJ23)</f>
        <v>46330.190129999995</v>
      </c>
    </row>
    <row r="24" spans="1:48">
      <c r="A24" s="2195" t="s">
        <v>1788</v>
      </c>
      <c r="B24" s="2192">
        <v>34499.717659999995</v>
      </c>
      <c r="C24" s="2210">
        <f>+E24-B24</f>
        <v>550.07410000000527</v>
      </c>
      <c r="E24" s="2212">
        <v>35049.79176</v>
      </c>
      <c r="G24" s="2213">
        <v>0</v>
      </c>
      <c r="H24" s="3750">
        <v>-1</v>
      </c>
      <c r="I24" s="3750">
        <v>798</v>
      </c>
      <c r="J24" s="2210">
        <f>SUM(G24:I24)</f>
        <v>797</v>
      </c>
      <c r="L24" s="2212">
        <f>SUM(E24,J24)</f>
        <v>35846.79176</v>
      </c>
      <c r="N24" s="2213">
        <v>0</v>
      </c>
      <c r="O24" s="2213">
        <v>0</v>
      </c>
      <c r="P24" s="2213">
        <v>0</v>
      </c>
      <c r="Q24" s="2210">
        <v>0</v>
      </c>
      <c r="S24" s="2213">
        <v>0</v>
      </c>
      <c r="T24" s="3750">
        <v>-3</v>
      </c>
      <c r="U24" s="3750">
        <v>1525</v>
      </c>
      <c r="V24" s="2210">
        <f>SUM(S24:U24)</f>
        <v>1522</v>
      </c>
      <c r="X24" s="2209">
        <f>SUM(L24,Q24,V24)</f>
        <v>37368.79176</v>
      </c>
      <c r="Z24" s="2213">
        <v>0</v>
      </c>
      <c r="AA24" s="3750">
        <v>-1</v>
      </c>
      <c r="AB24" s="3750">
        <v>755</v>
      </c>
      <c r="AC24" s="2210">
        <f>SUM(Z24:AB24)</f>
        <v>754</v>
      </c>
      <c r="AE24" s="2209">
        <f>SUM(X24,AC24)</f>
        <v>38122.79176</v>
      </c>
      <c r="AG24" s="2213">
        <v>0</v>
      </c>
      <c r="AH24" s="3750">
        <v>-2</v>
      </c>
      <c r="AI24" s="3750">
        <v>1508</v>
      </c>
      <c r="AJ24" s="2210">
        <f>SUM(AG24:AI24)</f>
        <v>1506</v>
      </c>
      <c r="AL24" s="2212">
        <f>SUM(AE24,AJ24)</f>
        <v>39628.79176</v>
      </c>
    </row>
    <row r="25" spans="1:48">
      <c r="A25" s="2195" t="s">
        <v>45</v>
      </c>
      <c r="B25" s="2192">
        <v>650522.55955999997</v>
      </c>
      <c r="C25" s="2210">
        <f>+E25-B25</f>
        <v>21260.071480000042</v>
      </c>
      <c r="E25" s="2212">
        <v>671782.63104000001</v>
      </c>
      <c r="G25" s="2213">
        <v>0</v>
      </c>
      <c r="H25" s="3750">
        <v>-1689</v>
      </c>
      <c r="I25" s="3750">
        <v>25520</v>
      </c>
      <c r="J25" s="2210">
        <f>SUM(G25:I25)</f>
        <v>23831</v>
      </c>
      <c r="L25" s="2212">
        <f>SUM(E25,J25)</f>
        <v>695613.63104000001</v>
      </c>
      <c r="N25" s="2213">
        <v>0</v>
      </c>
      <c r="O25" s="2213">
        <v>0</v>
      </c>
      <c r="P25" s="2213">
        <v>0</v>
      </c>
      <c r="Q25" s="2210">
        <v>0</v>
      </c>
      <c r="S25" s="2213">
        <v>0</v>
      </c>
      <c r="T25" s="3750">
        <v>-2598</v>
      </c>
      <c r="U25" s="3750">
        <v>39232</v>
      </c>
      <c r="V25" s="2210">
        <f>SUM(S25:U25)</f>
        <v>36634</v>
      </c>
      <c r="X25" s="2209">
        <f>SUM(L25,Q25,V25)</f>
        <v>732247.63104000001</v>
      </c>
      <c r="Z25" s="2213">
        <v>0</v>
      </c>
      <c r="AA25" s="3750">
        <v>-1045</v>
      </c>
      <c r="AB25" s="3750">
        <v>15792</v>
      </c>
      <c r="AC25" s="2210">
        <f>SUM(Z25:AB25)</f>
        <v>14747</v>
      </c>
      <c r="AE25" s="2209">
        <f>SUM(X25,AC25)</f>
        <v>746994.63104000001</v>
      </c>
      <c r="AG25" s="2213">
        <v>0</v>
      </c>
      <c r="AH25" s="3750">
        <v>-2272</v>
      </c>
      <c r="AI25" s="3750">
        <v>34316</v>
      </c>
      <c r="AJ25" s="2210">
        <f>SUM(AG25:AI25)</f>
        <v>32044</v>
      </c>
      <c r="AL25" s="2212">
        <f>SUM(AE25,AJ25)</f>
        <v>779038.63104000001</v>
      </c>
    </row>
    <row r="26" spans="1:48">
      <c r="A26" s="2195" t="s">
        <v>654</v>
      </c>
      <c r="B26" s="2192">
        <v>112171.43784</v>
      </c>
      <c r="C26" s="2210">
        <f>+E26-B26</f>
        <v>1613.3506699999853</v>
      </c>
      <c r="E26" s="2212">
        <v>113784.78850999998</v>
      </c>
      <c r="G26" s="2213">
        <v>0</v>
      </c>
      <c r="H26" s="3750">
        <v>-2673</v>
      </c>
      <c r="I26" s="3750">
        <v>5196</v>
      </c>
      <c r="J26" s="2210">
        <f>SUM(G26:I26)</f>
        <v>2523</v>
      </c>
      <c r="L26" s="2209">
        <f>SUM(E26,J26)</f>
        <v>116307.78850999998</v>
      </c>
      <c r="N26" s="2213">
        <v>0</v>
      </c>
      <c r="O26" s="2213">
        <v>0</v>
      </c>
      <c r="P26" s="2213">
        <v>0</v>
      </c>
      <c r="Q26" s="2210">
        <v>0</v>
      </c>
      <c r="S26" s="2213">
        <v>0</v>
      </c>
      <c r="T26" s="3750">
        <v>-5042</v>
      </c>
      <c r="U26" s="3750">
        <v>10984</v>
      </c>
      <c r="V26" s="2210">
        <f>SUM(S26:U26)</f>
        <v>5942</v>
      </c>
      <c r="X26" s="2209">
        <f>SUM(L26,Q26,V26)</f>
        <v>122249.78850999998</v>
      </c>
      <c r="Z26" s="2213">
        <v>0</v>
      </c>
      <c r="AA26" s="3750">
        <v>-508</v>
      </c>
      <c r="AB26" s="3750">
        <v>2745</v>
      </c>
      <c r="AC26" s="2210">
        <f>SUM(Z26:AB26)</f>
        <v>2237</v>
      </c>
      <c r="AE26" s="2209">
        <f>SUM(X26,AC26)</f>
        <v>124486.78850999998</v>
      </c>
      <c r="AG26" s="2213">
        <v>0</v>
      </c>
      <c r="AH26" s="3751">
        <v>-2726</v>
      </c>
      <c r="AI26" s="3750">
        <v>6721</v>
      </c>
      <c r="AJ26" s="3753">
        <f>SUM(AG26:AI26)</f>
        <v>3995</v>
      </c>
      <c r="AL26" s="2209">
        <f>SUM(AE26,AJ26)</f>
        <v>128481.78850999998</v>
      </c>
      <c r="AO26" s="3752">
        <v>6233</v>
      </c>
      <c r="AP26" s="3969" t="s">
        <v>1795</v>
      </c>
      <c r="AQ26" s="3969"/>
      <c r="AR26" s="3969"/>
      <c r="AS26" s="3969"/>
    </row>
    <row r="27" spans="1:48">
      <c r="A27" s="2188" t="s">
        <v>1794</v>
      </c>
      <c r="B27" s="2207">
        <f>SUM(B23:B26)</f>
        <v>846495.35025000002</v>
      </c>
      <c r="C27" s="2208">
        <f>SUM(C23:C26)</f>
        <v>24607.051190000027</v>
      </c>
      <c r="D27" s="2196">
        <f>SUM(D23:D26)</f>
        <v>0</v>
      </c>
      <c r="E27" s="2207">
        <f>SUM(E23:E26)</f>
        <v>871102.40144000005</v>
      </c>
      <c r="F27" s="2196"/>
      <c r="G27" s="2207">
        <f>SUM(G23:G26)</f>
        <v>0</v>
      </c>
      <c r="H27" s="2207">
        <f>SUM(H23:H26)</f>
        <v>-9367</v>
      </c>
      <c r="I27" s="2207">
        <f>SUM(I23:I26)</f>
        <v>34830</v>
      </c>
      <c r="J27" s="2208">
        <f>SUM(J23:J26)</f>
        <v>25463</v>
      </c>
      <c r="K27" s="2196"/>
      <c r="L27" s="2207">
        <f>SUM(L23:L26)</f>
        <v>896565.40144000005</v>
      </c>
      <c r="M27" s="2196"/>
      <c r="N27" s="2207">
        <f>SUM(N23:N26)</f>
        <v>0</v>
      </c>
      <c r="O27" s="2207">
        <f>SUM(O23:O26)</f>
        <v>0</v>
      </c>
      <c r="P27" s="2207">
        <f>SUM(P23:P26)</f>
        <v>0</v>
      </c>
      <c r="Q27" s="2208">
        <f>SUM(Q23:Q26)</f>
        <v>0</v>
      </c>
      <c r="R27" s="2196"/>
      <c r="S27" s="2207">
        <f>SUM(S23:S26)</f>
        <v>0</v>
      </c>
      <c r="T27" s="2207">
        <f>SUM(T23:T26)</f>
        <v>-14361</v>
      </c>
      <c r="U27" s="2207">
        <f>SUM(U23:U26)</f>
        <v>58376</v>
      </c>
      <c r="V27" s="2208">
        <f>SUM(V23:V26)</f>
        <v>44015</v>
      </c>
      <c r="W27" s="2196"/>
      <c r="X27" s="2207">
        <f>SUM(X23:X26)</f>
        <v>940580.40144000005</v>
      </c>
      <c r="Y27" s="2196"/>
      <c r="Z27" s="2207">
        <f>SUM(Z23:Z26)</f>
        <v>0</v>
      </c>
      <c r="AA27" s="2207">
        <f>SUM(AA23:AA26)</f>
        <v>-4587</v>
      </c>
      <c r="AB27" s="2207">
        <f>SUM(AB23:AB26)</f>
        <v>21216</v>
      </c>
      <c r="AC27" s="2208">
        <f>SUM(AC23:AC26)</f>
        <v>16629</v>
      </c>
      <c r="AD27" s="2196"/>
      <c r="AE27" s="2207">
        <f t="shared" ref="AE27:AJ27" si="0">SUM(AE23:AE26)</f>
        <v>957209.40144000005</v>
      </c>
      <c r="AF27" s="2207">
        <f t="shared" si="0"/>
        <v>0</v>
      </c>
      <c r="AG27" s="2207">
        <f t="shared" si="0"/>
        <v>0</v>
      </c>
      <c r="AH27" s="2207">
        <f t="shared" si="0"/>
        <v>-11178</v>
      </c>
      <c r="AI27" s="2207">
        <f t="shared" si="0"/>
        <v>47448</v>
      </c>
      <c r="AJ27" s="2208">
        <f t="shared" si="0"/>
        <v>36270</v>
      </c>
      <c r="AK27" s="2196"/>
      <c r="AL27" s="2207">
        <f>SUM(AL23:AL26)</f>
        <v>993479.40144000005</v>
      </c>
      <c r="AM27" s="2196"/>
      <c r="AP27" s="3969"/>
      <c r="AQ27" s="3969"/>
      <c r="AR27" s="3969"/>
      <c r="AS27" s="3969"/>
    </row>
    <row r="28" spans="1:48">
      <c r="A28" s="2199"/>
      <c r="B28" s="2216" t="s">
        <v>197</v>
      </c>
      <c r="C28" s="2214"/>
      <c r="D28" s="2201"/>
      <c r="E28" s="2216" t="s">
        <v>197</v>
      </c>
      <c r="F28" s="2199"/>
      <c r="G28" s="2216"/>
      <c r="H28" s="2203" t="s">
        <v>1790</v>
      </c>
      <c r="I28" s="2203" t="s">
        <v>1782</v>
      </c>
      <c r="J28" s="2214"/>
      <c r="K28" s="2201"/>
      <c r="L28" s="2201"/>
      <c r="M28" s="2199"/>
      <c r="N28" s="2216"/>
      <c r="O28" s="2216"/>
      <c r="P28" s="2216"/>
      <c r="Q28" s="2214"/>
      <c r="R28" s="2199"/>
      <c r="S28" s="2216"/>
      <c r="T28" s="2203" t="s">
        <v>1790</v>
      </c>
      <c r="U28" s="2203" t="s">
        <v>1782</v>
      </c>
      <c r="V28" s="2214"/>
      <c r="W28" s="2201"/>
      <c r="X28" s="2201"/>
      <c r="Y28" s="2199"/>
      <c r="Z28" s="2216"/>
      <c r="AA28" s="2203" t="s">
        <v>1790</v>
      </c>
      <c r="AB28" s="2203" t="s">
        <v>1782</v>
      </c>
      <c r="AC28" s="2214"/>
      <c r="AD28" s="2201"/>
      <c r="AE28" s="2201"/>
      <c r="AF28" s="2199"/>
      <c r="AG28" s="2216"/>
      <c r="AH28" s="2203" t="s">
        <v>1790</v>
      </c>
      <c r="AI28" s="2203" t="s">
        <v>1782</v>
      </c>
      <c r="AJ28" s="2214"/>
      <c r="AK28" s="2201"/>
      <c r="AL28" s="2201"/>
      <c r="AM28" s="2199"/>
      <c r="AN28" s="2199"/>
      <c r="AO28" s="2199"/>
      <c r="AP28" s="3969"/>
      <c r="AQ28" s="3969"/>
      <c r="AR28" s="3969"/>
      <c r="AS28" s="3969"/>
      <c r="AT28" s="2199"/>
      <c r="AU28" s="2199"/>
      <c r="AV28" s="2199"/>
    </row>
    <row r="29" spans="1:48">
      <c r="A29" s="2188" t="s">
        <v>1793</v>
      </c>
      <c r="B29" s="2192"/>
      <c r="C29" s="2210"/>
      <c r="E29" s="2212"/>
      <c r="G29" s="2192"/>
      <c r="H29" s="2192"/>
      <c r="I29" s="2192"/>
      <c r="J29" s="2210"/>
      <c r="L29" s="2212"/>
      <c r="N29" s="2192"/>
      <c r="O29" s="2192"/>
      <c r="P29" s="2192"/>
      <c r="Q29" s="2210"/>
      <c r="S29" s="2192"/>
      <c r="T29" s="2192"/>
      <c r="U29" s="2192"/>
      <c r="V29" s="2210"/>
      <c r="X29" s="2212"/>
      <c r="Z29" s="2192"/>
      <c r="AA29" s="2192"/>
      <c r="AB29" s="2192"/>
      <c r="AC29" s="2210"/>
      <c r="AE29" s="2212"/>
      <c r="AG29" s="2192"/>
      <c r="AH29" s="2192"/>
      <c r="AI29" s="2192"/>
      <c r="AJ29" s="2210"/>
      <c r="AL29" s="2212"/>
      <c r="AP29" s="3969"/>
      <c r="AQ29" s="3969"/>
      <c r="AR29" s="3969"/>
      <c r="AS29" s="3969"/>
    </row>
    <row r="30" spans="1:48">
      <c r="A30" s="2188" t="s">
        <v>672</v>
      </c>
      <c r="B30" s="2192">
        <v>-26516.686989999998</v>
      </c>
      <c r="C30" s="2210">
        <f>+E30-B30</f>
        <v>-2041.4598900000019</v>
      </c>
      <c r="E30" s="2212">
        <v>-28558.14688</v>
      </c>
      <c r="G30" s="2192">
        <v>-3987.7279132611188</v>
      </c>
      <c r="H30" s="3750">
        <v>5004</v>
      </c>
      <c r="I30" s="3750">
        <v>-192</v>
      </c>
      <c r="J30" s="2210">
        <f>SUM(G30:I30)</f>
        <v>824.27208673888117</v>
      </c>
      <c r="L30" s="2212">
        <f>SUM(E30,J30)</f>
        <v>-27733.874793261119</v>
      </c>
      <c r="N30" s="2213">
        <v>0</v>
      </c>
      <c r="O30" s="2213">
        <v>0</v>
      </c>
      <c r="P30" s="2213">
        <v>0</v>
      </c>
      <c r="Q30" s="2210">
        <v>0</v>
      </c>
      <c r="S30" s="2192">
        <v>-7132.1864017597291</v>
      </c>
      <c r="T30" s="3750">
        <v>6718</v>
      </c>
      <c r="U30" s="3750">
        <v>-1703</v>
      </c>
      <c r="V30" s="2210">
        <f>SUM(S30:U30)</f>
        <v>-2117.1864017597291</v>
      </c>
      <c r="X30" s="2209">
        <f>SUM(L30,Q30,V30)</f>
        <v>-29851.061195020848</v>
      </c>
      <c r="Z30" s="2192">
        <v>-3233.5692786262889</v>
      </c>
      <c r="AA30" s="3750">
        <v>3033</v>
      </c>
      <c r="AB30" s="3750">
        <v>-1418</v>
      </c>
      <c r="AC30" s="2210">
        <f>SUM(Z30:AB30)</f>
        <v>-1618.5692786262889</v>
      </c>
      <c r="AE30" s="2209">
        <f>SUM(X30,AC30)</f>
        <v>-31469.630473647136</v>
      </c>
      <c r="AG30" s="2192">
        <v>-1921.5267888195119</v>
      </c>
      <c r="AH30" s="3750">
        <v>6178</v>
      </c>
      <c r="AI30" s="3750">
        <v>-3096</v>
      </c>
      <c r="AJ30" s="2210">
        <f>SUM(AG30:AI30)</f>
        <v>1160.4732111804879</v>
      </c>
      <c r="AL30" s="2212">
        <f>SUM(AE30,AJ30)</f>
        <v>-30309.157262466648</v>
      </c>
      <c r="AP30" s="3969"/>
      <c r="AQ30" s="3969"/>
      <c r="AR30" s="3969"/>
      <c r="AS30" s="3969"/>
    </row>
    <row r="31" spans="1:48">
      <c r="A31" s="2188" t="s">
        <v>1788</v>
      </c>
      <c r="B31" s="2192">
        <v>-13149.496949999999</v>
      </c>
      <c r="C31" s="2210">
        <f>+E31-B31</f>
        <v>-257.79590000000098</v>
      </c>
      <c r="E31" s="2212">
        <v>-13407.29285</v>
      </c>
      <c r="G31" s="2192">
        <v>-261.51734895985652</v>
      </c>
      <c r="H31" s="3750">
        <v>1</v>
      </c>
      <c r="I31" s="3750">
        <v>-4</v>
      </c>
      <c r="J31" s="2210">
        <f>SUM(G31:I31)</f>
        <v>-264.51734895985652</v>
      </c>
      <c r="L31" s="2212">
        <f>SUM(E31,J31)</f>
        <v>-13671.810198959856</v>
      </c>
      <c r="N31" s="2213">
        <v>0</v>
      </c>
      <c r="O31" s="2213">
        <v>0</v>
      </c>
      <c r="P31" s="2213">
        <v>0</v>
      </c>
      <c r="Q31" s="2210">
        <v>0</v>
      </c>
      <c r="S31" s="2192">
        <v>-516.23107994219311</v>
      </c>
      <c r="T31" s="3750">
        <v>3</v>
      </c>
      <c r="U31" s="3750">
        <v>-21</v>
      </c>
      <c r="V31" s="2210">
        <f>SUM(S31:U31)</f>
        <v>-534.23107994219311</v>
      </c>
      <c r="X31" s="2209">
        <f>SUM(L31,Q31,V31)</f>
        <v>-14206.04127890205</v>
      </c>
      <c r="Z31" s="2192">
        <v>-258.11553997109655</v>
      </c>
      <c r="AA31" s="3750">
        <v>1</v>
      </c>
      <c r="AB31" s="3750">
        <v>-21</v>
      </c>
      <c r="AC31" s="2210">
        <f>SUM(Z31:AB31)</f>
        <v>-278.11553997109655</v>
      </c>
      <c r="AE31" s="2209">
        <f>SUM(X31,AC31)</f>
        <v>-14484.156818873147</v>
      </c>
      <c r="AG31" s="2192">
        <v>-516.23107994219311</v>
      </c>
      <c r="AH31" s="3750">
        <v>2</v>
      </c>
      <c r="AI31" s="3750">
        <v>-56</v>
      </c>
      <c r="AJ31" s="2210">
        <f>SUM(AG31:AI31)</f>
        <v>-570.23107994219311</v>
      </c>
      <c r="AL31" s="2212">
        <f>SUM(AE31,AJ31)</f>
        <v>-15054.387898815341</v>
      </c>
    </row>
    <row r="32" spans="1:48">
      <c r="A32" s="2188" t="s">
        <v>45</v>
      </c>
      <c r="B32" s="2192">
        <v>-188333.96022000001</v>
      </c>
      <c r="C32" s="2210">
        <f>+E32-B32</f>
        <v>-7738.7844000000041</v>
      </c>
      <c r="E32" s="2212">
        <v>-196072.74462000001</v>
      </c>
      <c r="G32" s="2192">
        <v>-8539.636199149254</v>
      </c>
      <c r="H32" s="3750">
        <v>1689</v>
      </c>
      <c r="I32" s="3750">
        <v>-168</v>
      </c>
      <c r="J32" s="2210">
        <f>SUM(G32:I32)</f>
        <v>-7018.636199149254</v>
      </c>
      <c r="L32" s="2212">
        <f>SUM(E32,J32)</f>
        <v>-203091.38081914926</v>
      </c>
      <c r="N32" s="2213">
        <v>0</v>
      </c>
      <c r="O32" s="2213">
        <v>0</v>
      </c>
      <c r="P32" s="2213">
        <v>0</v>
      </c>
      <c r="Q32" s="2210">
        <v>0</v>
      </c>
      <c r="S32" s="2192">
        <v>-16649.528261959236</v>
      </c>
      <c r="T32" s="3750">
        <v>2598</v>
      </c>
      <c r="U32" s="3750">
        <v>-1087</v>
      </c>
      <c r="V32" s="2210">
        <f>SUM(S32:U32)</f>
        <v>-15138.528261959236</v>
      </c>
      <c r="X32" s="2209">
        <f>SUM(L32,Q32,V32)</f>
        <v>-218229.90908110849</v>
      </c>
      <c r="Z32" s="2192">
        <v>-8324.7641309796181</v>
      </c>
      <c r="AA32" s="3750">
        <v>1045</v>
      </c>
      <c r="AB32" s="3750">
        <v>-914</v>
      </c>
      <c r="AC32" s="2210">
        <f>SUM(Z32:AB32)</f>
        <v>-8193.7641309796181</v>
      </c>
      <c r="AE32" s="2209">
        <f>SUM(X32,AC32)</f>
        <v>-226423.67321208812</v>
      </c>
      <c r="AG32" s="2192">
        <v>-16649.528261959236</v>
      </c>
      <c r="AH32" s="3750">
        <v>2272</v>
      </c>
      <c r="AI32" s="3750">
        <v>-2432</v>
      </c>
      <c r="AJ32" s="2210">
        <f>SUM(AG32:AI32)</f>
        <v>-16809.528261959236</v>
      </c>
      <c r="AL32" s="2212">
        <f>SUM(AE32,AJ32)</f>
        <v>-243233.20147404735</v>
      </c>
    </row>
    <row r="33" spans="1:48">
      <c r="A33" s="2188" t="s">
        <v>654</v>
      </c>
      <c r="B33" s="2192">
        <v>-35836.237639999999</v>
      </c>
      <c r="C33" s="2210">
        <f>+E33-B33</f>
        <v>-2277.7042900000015</v>
      </c>
      <c r="E33" s="2212">
        <v>-38113.941930000001</v>
      </c>
      <c r="G33" s="2192">
        <v>-3057.8541022931809</v>
      </c>
      <c r="H33" s="3750">
        <v>2673</v>
      </c>
      <c r="I33" s="3750">
        <v>-93</v>
      </c>
      <c r="J33" s="2210">
        <f>SUM(G33:I33)</f>
        <v>-477.85410229318086</v>
      </c>
      <c r="L33" s="2209">
        <f>SUM(E33,J33)</f>
        <v>-38591.796032293183</v>
      </c>
      <c r="N33" s="2213">
        <v>0</v>
      </c>
      <c r="O33" s="2213">
        <v>0</v>
      </c>
      <c r="P33" s="2213">
        <v>0</v>
      </c>
      <c r="Q33" s="2210">
        <v>0</v>
      </c>
      <c r="S33" s="2192">
        <v>-5106.7790493731827</v>
      </c>
      <c r="T33" s="3750">
        <v>5042</v>
      </c>
      <c r="U33" s="3750">
        <v>-813</v>
      </c>
      <c r="V33" s="2210">
        <f>SUM(S33:U33)</f>
        <v>-877.77904937318272</v>
      </c>
      <c r="X33" s="2209">
        <f>SUM(L33,Q33,V33)</f>
        <v>-39469.575081666364</v>
      </c>
      <c r="Z33" s="2192">
        <v>-1913.7026303192533</v>
      </c>
      <c r="AA33" s="3750">
        <v>508</v>
      </c>
      <c r="AB33" s="3750">
        <v>-689</v>
      </c>
      <c r="AC33" s="2210">
        <f>SUM(Z33:AB33)</f>
        <v>-2094.7026303192533</v>
      </c>
      <c r="AE33" s="2209">
        <f>SUM(X33,AC33)</f>
        <v>-41564.277711985618</v>
      </c>
      <c r="AG33" s="2192">
        <v>-3817.5577618037814</v>
      </c>
      <c r="AH33" s="3750">
        <v>2726</v>
      </c>
      <c r="AI33" s="3750">
        <v>-1760</v>
      </c>
      <c r="AJ33" s="2210">
        <f>SUM(AG33:AI33)</f>
        <v>-2851.5577618037814</v>
      </c>
      <c r="AL33" s="2209">
        <f>SUM(AE33,AJ33)</f>
        <v>-44415.835473789397</v>
      </c>
    </row>
    <row r="34" spans="1:48" ht="13" thickBot="1">
      <c r="A34" s="2188" t="s">
        <v>1792</v>
      </c>
      <c r="B34" s="2207">
        <f>SUM(B30:B33)</f>
        <v>-263836.38179999997</v>
      </c>
      <c r="C34" s="2208">
        <f>SUM(C30:C33)</f>
        <v>-12315.744480000008</v>
      </c>
      <c r="D34" s="2196">
        <f>SUM(D30:D33)</f>
        <v>0</v>
      </c>
      <c r="E34" s="2207">
        <f>SUM(E30:E33)</f>
        <v>-276152.12627999997</v>
      </c>
      <c r="F34" s="2196"/>
      <c r="G34" s="2207">
        <f>SUM(G30:G33)</f>
        <v>-15846.735563663411</v>
      </c>
      <c r="H34" s="2207">
        <f>SUM(H30:H33)</f>
        <v>9367</v>
      </c>
      <c r="I34" s="2207">
        <f>SUM(I30:I33)</f>
        <v>-457</v>
      </c>
      <c r="J34" s="2208">
        <f>SUM(J30:J33)</f>
        <v>-6936.7355636634093</v>
      </c>
      <c r="K34" s="2196"/>
      <c r="L34" s="2207">
        <f>SUM(L29:L33)</f>
        <v>-283088.86184366344</v>
      </c>
      <c r="M34" s="2196"/>
      <c r="N34" s="2207">
        <f>SUM(N30:N33)</f>
        <v>0</v>
      </c>
      <c r="O34" s="2207">
        <f>SUM(O30:O33)</f>
        <v>0</v>
      </c>
      <c r="P34" s="2207">
        <f>SUM(P30:P33)</f>
        <v>0</v>
      </c>
      <c r="Q34" s="2198">
        <f>SUM(Q30:Q33)</f>
        <v>0</v>
      </c>
      <c r="R34" s="2196"/>
      <c r="S34" s="2207">
        <f>SUM(S30:S33)</f>
        <v>-29404.724793034344</v>
      </c>
      <c r="T34" s="2207">
        <f>SUM(T30:T33)</f>
        <v>14361</v>
      </c>
      <c r="U34" s="2207">
        <f>SUM(U30:U33)</f>
        <v>-3624</v>
      </c>
      <c r="V34" s="2208">
        <f>SUM(V30:V33)</f>
        <v>-18667.724793034344</v>
      </c>
      <c r="W34" s="2196"/>
      <c r="X34" s="2207">
        <f>SUM(X30:X33)</f>
        <v>-301756.58663669776</v>
      </c>
      <c r="Y34" s="2196"/>
      <c r="Z34" s="2207">
        <f>SUM(Z30:Z33)</f>
        <v>-13730.151579896257</v>
      </c>
      <c r="AA34" s="2207">
        <f>SUM(AA30:AA33)</f>
        <v>4587</v>
      </c>
      <c r="AB34" s="2207">
        <f>SUM(AB30:AB33)</f>
        <v>-3042</v>
      </c>
      <c r="AC34" s="2208">
        <f>SUM(AC30:AC33)</f>
        <v>-12185.151579896257</v>
      </c>
      <c r="AD34" s="2196"/>
      <c r="AE34" s="2207">
        <f>SUM(AE29:AE33)</f>
        <v>-313941.73821659404</v>
      </c>
      <c r="AF34" s="2196"/>
      <c r="AG34" s="2207">
        <f>SUM(AG30:AG33)</f>
        <v>-22904.843892524725</v>
      </c>
      <c r="AH34" s="2207">
        <f>SUM(AH30:AH33)</f>
        <v>11178</v>
      </c>
      <c r="AI34" s="2207">
        <f>SUM(AI30:AI33)</f>
        <v>-7344</v>
      </c>
      <c r="AJ34" s="2208">
        <f>SUM(AJ30:AJ33)</f>
        <v>-19070.843892524725</v>
      </c>
      <c r="AK34" s="2196"/>
      <c r="AL34" s="2207">
        <f>SUM(AL29:AL33)</f>
        <v>-333012.5821091187</v>
      </c>
      <c r="AM34" s="2196"/>
    </row>
    <row r="35" spans="1:48">
      <c r="A35" s="2199"/>
      <c r="B35" s="2216" t="s">
        <v>197</v>
      </c>
      <c r="C35" s="2214"/>
      <c r="D35" s="2201"/>
      <c r="E35" s="2216" t="s">
        <v>197</v>
      </c>
      <c r="F35" s="2199"/>
      <c r="G35" s="2204" t="s">
        <v>1791</v>
      </c>
      <c r="H35" s="2203" t="s">
        <v>1790</v>
      </c>
      <c r="I35" s="2203" t="s">
        <v>1782</v>
      </c>
      <c r="J35" s="2214"/>
      <c r="K35" s="2201"/>
      <c r="L35" s="2201"/>
      <c r="M35" s="2199"/>
      <c r="N35" s="2204"/>
      <c r="O35" s="2204"/>
      <c r="P35" s="2204"/>
      <c r="Q35" s="2215"/>
      <c r="R35" s="2199"/>
      <c r="S35" s="2204" t="s">
        <v>1791</v>
      </c>
      <c r="T35" s="2203" t="s">
        <v>1790</v>
      </c>
      <c r="U35" s="2203" t="s">
        <v>1782</v>
      </c>
      <c r="V35" s="2214"/>
      <c r="W35" s="2201"/>
      <c r="X35" s="2201"/>
      <c r="Y35" s="2199"/>
      <c r="Z35" s="2204" t="s">
        <v>1791</v>
      </c>
      <c r="AA35" s="2203" t="s">
        <v>1790</v>
      </c>
      <c r="AB35" s="2203" t="s">
        <v>1782</v>
      </c>
      <c r="AC35" s="2214"/>
      <c r="AD35" s="2201"/>
      <c r="AE35" s="2201"/>
      <c r="AF35" s="2199"/>
      <c r="AG35" s="2204" t="s">
        <v>1791</v>
      </c>
      <c r="AH35" s="2203" t="s">
        <v>1790</v>
      </c>
      <c r="AI35" s="2203" t="s">
        <v>1782</v>
      </c>
      <c r="AJ35" s="2214"/>
      <c r="AK35" s="2201"/>
      <c r="AL35" s="2201"/>
      <c r="AM35" s="2199"/>
      <c r="AN35" s="2199"/>
      <c r="AO35" s="2199"/>
      <c r="AP35" s="2199"/>
      <c r="AQ35" s="2199"/>
      <c r="AR35" s="2199"/>
      <c r="AS35" s="2199"/>
      <c r="AT35" s="2199"/>
      <c r="AU35" s="2199"/>
      <c r="AV35" s="2199"/>
    </row>
    <row r="36" spans="1:48">
      <c r="A36" s="2188" t="s">
        <v>1789</v>
      </c>
      <c r="B36" s="2192"/>
      <c r="C36" s="2210"/>
      <c r="E36" s="2212"/>
      <c r="G36" s="2192"/>
      <c r="H36" s="2192"/>
      <c r="I36" s="2192"/>
      <c r="J36" s="2210"/>
      <c r="L36" s="2212"/>
      <c r="N36" s="2192"/>
      <c r="O36" s="2192"/>
      <c r="P36" s="2192"/>
      <c r="Q36" s="2210"/>
      <c r="S36" s="2192"/>
      <c r="T36" s="2192"/>
      <c r="U36" s="2192"/>
      <c r="V36" s="2210"/>
      <c r="X36" s="2212"/>
      <c r="Z36" s="2192"/>
      <c r="AA36" s="2192"/>
      <c r="AB36" s="2192"/>
      <c r="AC36" s="2210"/>
      <c r="AE36" s="2212"/>
      <c r="AG36" s="2192"/>
      <c r="AH36" s="2192"/>
      <c r="AI36" s="2192"/>
      <c r="AJ36" s="2210"/>
      <c r="AL36" s="2212"/>
    </row>
    <row r="37" spans="1:48">
      <c r="A37" s="2188" t="s">
        <v>672</v>
      </c>
      <c r="B37" s="2192">
        <v>-3571</v>
      </c>
      <c r="C37" s="2210">
        <f>+E37-B37</f>
        <v>83.5</v>
      </c>
      <c r="E37" s="2212">
        <v>-3487.5</v>
      </c>
      <c r="G37" s="2192">
        <v>0</v>
      </c>
      <c r="H37" s="2192">
        <v>0</v>
      </c>
      <c r="I37" s="3750">
        <v>149</v>
      </c>
      <c r="J37" s="2210">
        <f>SUM(G37:I37)</f>
        <v>149</v>
      </c>
      <c r="L37" s="2212">
        <f>SUM(E37,J37)</f>
        <v>-3338.5</v>
      </c>
      <c r="N37" s="2192">
        <v>0</v>
      </c>
      <c r="O37" s="2192">
        <v>0</v>
      </c>
      <c r="P37" s="2192">
        <v>0</v>
      </c>
      <c r="Q37" s="2210">
        <v>0</v>
      </c>
      <c r="S37" s="3750">
        <v>273</v>
      </c>
      <c r="T37" s="2211">
        <v>0</v>
      </c>
      <c r="U37" s="3750">
        <v>-29</v>
      </c>
      <c r="V37" s="2210">
        <f>SUM(S37:U37)</f>
        <v>244</v>
      </c>
      <c r="X37" s="2209">
        <f>SUM(L37,Q37,V37)</f>
        <v>-3094.5</v>
      </c>
      <c r="Z37" s="3750">
        <v>185</v>
      </c>
      <c r="AA37" s="2192">
        <v>0</v>
      </c>
      <c r="AB37" s="3750">
        <v>-184</v>
      </c>
      <c r="AC37" s="2210">
        <f>SUM(Z37:AB37)</f>
        <v>1</v>
      </c>
      <c r="AE37" s="2209">
        <f>SUM(X37,AC37)</f>
        <v>-3093.5</v>
      </c>
      <c r="AG37" s="3750">
        <v>377</v>
      </c>
      <c r="AH37" s="2192">
        <v>0</v>
      </c>
      <c r="AI37" s="3750">
        <v>-181</v>
      </c>
      <c r="AJ37" s="2210">
        <f>SUM(AG37:AI37)</f>
        <v>196</v>
      </c>
      <c r="AL37" s="2212">
        <f>SUM(AE37,AJ37)</f>
        <v>-2897.5</v>
      </c>
    </row>
    <row r="38" spans="1:48">
      <c r="A38" s="2188" t="s">
        <v>1788</v>
      </c>
      <c r="B38" s="2192">
        <v>-3293.6</v>
      </c>
      <c r="C38" s="2210">
        <f>+E38-B38</f>
        <v>-3.7000000000002728</v>
      </c>
      <c r="E38" s="2212">
        <v>-3297.3</v>
      </c>
      <c r="G38" s="2192">
        <v>0</v>
      </c>
      <c r="H38" s="2192">
        <v>0</v>
      </c>
      <c r="I38" s="3750">
        <v>3</v>
      </c>
      <c r="J38" s="2210">
        <f>SUM(G38:I38)</f>
        <v>3</v>
      </c>
      <c r="L38" s="2212">
        <f>SUM(E38,J38)</f>
        <v>-3294.3</v>
      </c>
      <c r="N38" s="2192">
        <v>0</v>
      </c>
      <c r="O38" s="2192">
        <v>0</v>
      </c>
      <c r="P38" s="2192">
        <v>0</v>
      </c>
      <c r="Q38" s="2210">
        <v>0</v>
      </c>
      <c r="S38" s="3750">
        <v>23</v>
      </c>
      <c r="T38" s="2211">
        <v>0</v>
      </c>
      <c r="U38" s="3750">
        <v>-14</v>
      </c>
      <c r="V38" s="2210">
        <f>SUM(S38:U38)</f>
        <v>9</v>
      </c>
      <c r="X38" s="2209">
        <f>SUM(L38,Q38,V38)</f>
        <v>-3285.3</v>
      </c>
      <c r="Z38" s="3750">
        <v>18</v>
      </c>
      <c r="AA38" s="2192">
        <v>0</v>
      </c>
      <c r="AB38" s="3750">
        <v>-20</v>
      </c>
      <c r="AC38" s="2210">
        <f>SUM(Z38:AB38)</f>
        <v>-2</v>
      </c>
      <c r="AE38" s="2209">
        <f>SUM(X38,AC38)</f>
        <v>-3287.3</v>
      </c>
      <c r="AG38" s="3750">
        <v>37</v>
      </c>
      <c r="AH38" s="2192">
        <v>0</v>
      </c>
      <c r="AI38" s="3750">
        <v>-50</v>
      </c>
      <c r="AJ38" s="2210">
        <f>SUM(AG38:AI38)</f>
        <v>-13</v>
      </c>
      <c r="AL38" s="2212">
        <f>SUM(AE38,AJ38)</f>
        <v>-3300.3</v>
      </c>
    </row>
    <row r="39" spans="1:48">
      <c r="A39" s="2188" t="s">
        <v>45</v>
      </c>
      <c r="B39" s="2192">
        <v>-64609</v>
      </c>
      <c r="C39" s="2210">
        <f>+E39-B39</f>
        <v>-72.69999999999709</v>
      </c>
      <c r="E39" s="2212">
        <v>-64681.7</v>
      </c>
      <c r="G39" s="2192">
        <v>0</v>
      </c>
      <c r="H39" s="2213">
        <v>0</v>
      </c>
      <c r="I39" s="3750">
        <v>59</v>
      </c>
      <c r="J39" s="2210">
        <f>SUM(G39:I39)</f>
        <v>59</v>
      </c>
      <c r="L39" s="2212">
        <f>SUM(E39,J39)</f>
        <v>-64622.7</v>
      </c>
      <c r="N39" s="2192">
        <v>0</v>
      </c>
      <c r="O39" s="2192">
        <v>0</v>
      </c>
      <c r="P39" s="2192">
        <v>0</v>
      </c>
      <c r="Q39" s="2210">
        <v>0</v>
      </c>
      <c r="S39" s="3750">
        <v>457</v>
      </c>
      <c r="T39" s="2211">
        <v>0</v>
      </c>
      <c r="U39" s="3750">
        <v>-1086</v>
      </c>
      <c r="V39" s="2210">
        <f>SUM(S39:U39)</f>
        <v>-629</v>
      </c>
      <c r="X39" s="2209">
        <f>SUM(L39,Q39,V39)</f>
        <v>-65251.7</v>
      </c>
      <c r="Z39" s="3750">
        <v>345</v>
      </c>
      <c r="AA39" s="2192">
        <v>0</v>
      </c>
      <c r="AB39" s="3750">
        <v>-1771</v>
      </c>
      <c r="AC39" s="2210">
        <f>SUM(Z39:AB39)</f>
        <v>-1426</v>
      </c>
      <c r="AE39" s="2209">
        <f>SUM(X39,AC39)</f>
        <v>-66677.7</v>
      </c>
      <c r="AG39" s="3750">
        <v>733</v>
      </c>
      <c r="AH39" s="2192">
        <v>0</v>
      </c>
      <c r="AI39" s="3750">
        <v>-1397</v>
      </c>
      <c r="AJ39" s="2210">
        <f>SUM(AG39:AI39)</f>
        <v>-664</v>
      </c>
      <c r="AL39" s="2212">
        <f>SUM(AE39,AJ39)</f>
        <v>-67341.7</v>
      </c>
    </row>
    <row r="40" spans="1:48">
      <c r="A40" s="2188" t="s">
        <v>654</v>
      </c>
      <c r="B40" s="2192">
        <v>-13521.6</v>
      </c>
      <c r="C40" s="2210">
        <f>+E40-B40</f>
        <v>109.89999999999964</v>
      </c>
      <c r="E40" s="2212">
        <v>-13411.7</v>
      </c>
      <c r="G40" s="2192">
        <v>0</v>
      </c>
      <c r="H40" s="2192">
        <v>0</v>
      </c>
      <c r="I40" s="3750">
        <v>387</v>
      </c>
      <c r="J40" s="2210">
        <f>SUM(G40:I40)</f>
        <v>387</v>
      </c>
      <c r="L40" s="2209">
        <f>SUM(E40,J40)</f>
        <v>-13024.7</v>
      </c>
      <c r="N40" s="2192">
        <v>0</v>
      </c>
      <c r="O40" s="2192">
        <v>0</v>
      </c>
      <c r="P40" s="2192">
        <v>0</v>
      </c>
      <c r="Q40" s="2210">
        <v>0</v>
      </c>
      <c r="S40" s="3750">
        <v>723</v>
      </c>
      <c r="T40" s="2211">
        <v>0</v>
      </c>
      <c r="U40" s="3750">
        <v>-302</v>
      </c>
      <c r="V40" s="2210">
        <f>SUM(S40:U40)</f>
        <v>421</v>
      </c>
      <c r="X40" s="2209">
        <f>SUM(L40,Q40,V40)</f>
        <v>-12603.7</v>
      </c>
      <c r="Z40" s="3750">
        <v>493</v>
      </c>
      <c r="AA40" s="2192">
        <v>0</v>
      </c>
      <c r="AB40" s="3750">
        <v>-631</v>
      </c>
      <c r="AC40" s="2210">
        <f>SUM(Z40:AB40)</f>
        <v>-138</v>
      </c>
      <c r="AE40" s="2209">
        <f>SUM(X40,AC40)</f>
        <v>-12741.7</v>
      </c>
      <c r="AG40" s="3750">
        <v>1006</v>
      </c>
      <c r="AH40" s="2192">
        <v>0</v>
      </c>
      <c r="AI40" s="3750">
        <v>-644</v>
      </c>
      <c r="AJ40" s="2210">
        <f>SUM(AG40:AI40)</f>
        <v>362</v>
      </c>
      <c r="AL40" s="2209">
        <f>SUM(AE40,AJ40)</f>
        <v>-12379.7</v>
      </c>
    </row>
    <row r="41" spans="1:48" ht="13" thickBot="1">
      <c r="A41" s="2188" t="s">
        <v>1787</v>
      </c>
      <c r="B41" s="2207">
        <f>SUM(B37:B40)</f>
        <v>-84995.200000000012</v>
      </c>
      <c r="C41" s="2208">
        <f>SUM(C37:C40)</f>
        <v>117.00000000000227</v>
      </c>
      <c r="D41" s="2196">
        <f>SUM(D37:D40)</f>
        <v>0</v>
      </c>
      <c r="E41" s="2207">
        <f>SUM(E37:E40)</f>
        <v>-84878.2</v>
      </c>
      <c r="F41" s="2196"/>
      <c r="G41" s="2207">
        <f>SUM(G37:G40)</f>
        <v>0</v>
      </c>
      <c r="H41" s="2207">
        <f>SUM(H37:H40)</f>
        <v>0</v>
      </c>
      <c r="I41" s="2207">
        <f>SUM(I37:I40)</f>
        <v>598</v>
      </c>
      <c r="J41" s="2208">
        <f>SUM(J37:J40)</f>
        <v>598</v>
      </c>
      <c r="K41" s="2196"/>
      <c r="L41" s="2207">
        <f>SUM(L36:L40)</f>
        <v>-84280.2</v>
      </c>
      <c r="M41" s="2196"/>
      <c r="N41" s="2207">
        <f>SUM(N37:N40)</f>
        <v>0</v>
      </c>
      <c r="O41" s="2207">
        <f>SUM(O37:O40)</f>
        <v>0</v>
      </c>
      <c r="P41" s="2207">
        <f>SUM(P37:P40)</f>
        <v>0</v>
      </c>
      <c r="Q41" s="2208">
        <f>SUM(Q37:Q40)</f>
        <v>0</v>
      </c>
      <c r="R41" s="2196"/>
      <c r="S41" s="2207">
        <f>SUM(S37:S40)</f>
        <v>1476</v>
      </c>
      <c r="T41" s="2207">
        <f>SUM(T37:T40)</f>
        <v>0</v>
      </c>
      <c r="U41" s="2207">
        <f>SUM(U37:U40)</f>
        <v>-1431</v>
      </c>
      <c r="V41" s="2208">
        <f>SUM(V37:V40)</f>
        <v>45</v>
      </c>
      <c r="W41" s="2196"/>
      <c r="X41" s="2197">
        <f>SUM(X37:X40)</f>
        <v>-84235.199999999997</v>
      </c>
      <c r="Y41" s="2196"/>
      <c r="Z41" s="2207">
        <f>SUM(Z37:Z40)</f>
        <v>1041</v>
      </c>
      <c r="AA41" s="2207">
        <f>SUM(AA37:AA40)</f>
        <v>0</v>
      </c>
      <c r="AB41" s="2207">
        <f>SUM(AB37:AB40)</f>
        <v>-2606</v>
      </c>
      <c r="AC41" s="2208">
        <f>SUM(AC37:AC40)</f>
        <v>-1565</v>
      </c>
      <c r="AD41" s="2196"/>
      <c r="AE41" s="2197">
        <f>SUM(AE36:AE40)</f>
        <v>-85800.2</v>
      </c>
      <c r="AF41" s="2196"/>
      <c r="AG41" s="2207">
        <f>SUM(AG37:AG40)</f>
        <v>2153</v>
      </c>
      <c r="AH41" s="2207">
        <f>SUM(AH37:AH40)</f>
        <v>0</v>
      </c>
      <c r="AI41" s="2207">
        <f>SUM(AI37:AI40)</f>
        <v>-2272</v>
      </c>
      <c r="AJ41" s="2208">
        <f>SUM(AJ37:AJ40)</f>
        <v>-119</v>
      </c>
      <c r="AK41" s="2196"/>
      <c r="AL41" s="2207">
        <f>SUM(AL36:AL40)</f>
        <v>-85919.2</v>
      </c>
      <c r="AM41" s="2196"/>
    </row>
    <row r="42" spans="1:48">
      <c r="A42" s="2199"/>
      <c r="B42" s="2205" t="s">
        <v>1786</v>
      </c>
      <c r="C42" s="2202"/>
      <c r="D42" s="2201"/>
      <c r="E42" s="2205" t="s">
        <v>1785</v>
      </c>
      <c r="F42" s="2199"/>
      <c r="G42" s="2205"/>
      <c r="H42" s="2203"/>
      <c r="I42" s="2203" t="s">
        <v>1784</v>
      </c>
      <c r="J42" s="2202"/>
      <c r="K42" s="2201"/>
      <c r="L42" s="2200"/>
      <c r="M42" s="2199"/>
      <c r="N42" s="2205"/>
      <c r="O42" s="2205"/>
      <c r="P42" s="2205"/>
      <c r="Q42" s="2202"/>
      <c r="R42" s="2199"/>
      <c r="S42" s="2205" t="s">
        <v>1783</v>
      </c>
      <c r="T42" s="2203"/>
      <c r="U42" s="2203" t="s">
        <v>1782</v>
      </c>
      <c r="V42" s="2202"/>
      <c r="W42" s="2201"/>
      <c r="X42" s="2200"/>
      <c r="Y42" s="2199"/>
      <c r="Z42" s="2205" t="s">
        <v>1783</v>
      </c>
      <c r="AA42" s="2203"/>
      <c r="AB42" s="2203" t="s">
        <v>1782</v>
      </c>
      <c r="AC42" s="2202"/>
      <c r="AD42" s="2201"/>
      <c r="AE42" s="2206"/>
      <c r="AF42" s="2199"/>
      <c r="AG42" s="2205" t="s">
        <v>1783</v>
      </c>
      <c r="AH42" s="2204"/>
      <c r="AI42" s="2203" t="s">
        <v>1782</v>
      </c>
      <c r="AJ42" s="2202"/>
      <c r="AK42" s="2201"/>
      <c r="AL42" s="2200"/>
      <c r="AM42" s="2199"/>
      <c r="AN42" s="2199"/>
      <c r="AO42" s="2199"/>
      <c r="AP42" s="2199"/>
      <c r="AQ42" s="2199"/>
      <c r="AR42" s="2199"/>
      <c r="AS42" s="2199"/>
      <c r="AT42" s="2199"/>
      <c r="AU42" s="2199"/>
      <c r="AV42" s="2199"/>
    </row>
    <row r="43" spans="1:48" ht="13" thickBot="1">
      <c r="A43" s="2188" t="s">
        <v>1781</v>
      </c>
      <c r="B43" s="2197">
        <f>B27+B34+B41</f>
        <v>497663.76845000003</v>
      </c>
      <c r="C43" s="2198">
        <f>C27+C34+C41</f>
        <v>12408.306710000021</v>
      </c>
      <c r="D43" s="2196">
        <f>D27+D34+D41</f>
        <v>0</v>
      </c>
      <c r="E43" s="2197">
        <f>E27+E34+E41</f>
        <v>510072.07516000007</v>
      </c>
      <c r="F43" s="2196"/>
      <c r="G43" s="2197">
        <f>G27+G34+G41</f>
        <v>-15846.735563663411</v>
      </c>
      <c r="H43" s="2197">
        <f>H27+H34+H41</f>
        <v>0</v>
      </c>
      <c r="I43" s="2197">
        <f>I27+I34+I41</f>
        <v>34971</v>
      </c>
      <c r="J43" s="2198">
        <f>J27+J34+J41</f>
        <v>19124.264436336591</v>
      </c>
      <c r="K43" s="2196"/>
      <c r="L43" s="2197">
        <f>L27+L34+L41</f>
        <v>529196.33959633671</v>
      </c>
      <c r="M43" s="2196"/>
      <c r="N43" s="2197">
        <f>N27+N34+N41</f>
        <v>0</v>
      </c>
      <c r="O43" s="2197">
        <f>O27+O34+O41</f>
        <v>0</v>
      </c>
      <c r="P43" s="2197">
        <f>P27+P34+P41</f>
        <v>0</v>
      </c>
      <c r="Q43" s="2198">
        <f>Q27+Q34+Q41</f>
        <v>0</v>
      </c>
      <c r="R43" s="2196"/>
      <c r="S43" s="2197">
        <f>S27+S34+S41</f>
        <v>-27928.724793034344</v>
      </c>
      <c r="T43" s="2197">
        <f>T27+T34+T41</f>
        <v>0</v>
      </c>
      <c r="U43" s="2197">
        <f>U27+U34+U41</f>
        <v>53321</v>
      </c>
      <c r="V43" s="2198">
        <f>V27+V34+V41</f>
        <v>25392.275206965656</v>
      </c>
      <c r="W43" s="2196"/>
      <c r="X43" s="2197">
        <f>X27+X34+X41</f>
        <v>554588.61480330233</v>
      </c>
      <c r="Y43" s="2196"/>
      <c r="Z43" s="2197">
        <f>Z27+Z34+Z41</f>
        <v>-12689.151579896257</v>
      </c>
      <c r="AA43" s="2197">
        <f>AA27+AA34+AA41</f>
        <v>0</v>
      </c>
      <c r="AB43" s="2197">
        <f>AB27+AB34+AB41</f>
        <v>15568</v>
      </c>
      <c r="AC43" s="2198">
        <f>AC27+AC34+AC41</f>
        <v>2878.8484201037427</v>
      </c>
      <c r="AD43" s="2196"/>
      <c r="AE43" s="2197">
        <f>AE27+AE34+AE41</f>
        <v>557467.46322340611</v>
      </c>
      <c r="AF43" s="2196"/>
      <c r="AG43" s="2197">
        <f>AG27+AG34+AG41</f>
        <v>-20751.843892524725</v>
      </c>
      <c r="AH43" s="2197">
        <f>AH27+AH34+AH41</f>
        <v>0</v>
      </c>
      <c r="AI43" s="2197">
        <f>AI27+AI34+AI41</f>
        <v>37832</v>
      </c>
      <c r="AJ43" s="2198">
        <f>AJ27+AJ34+AJ41</f>
        <v>17080.156107475275</v>
      </c>
      <c r="AK43" s="2196"/>
      <c r="AL43" s="2197">
        <f>AL27+AL34+AL41</f>
        <v>574547.6193308814</v>
      </c>
      <c r="AM43" s="2196"/>
    </row>
    <row r="44" spans="1:48">
      <c r="A44" s="2195"/>
      <c r="B44" s="2194"/>
      <c r="C44" s="2191"/>
      <c r="D44" s="2192"/>
      <c r="E44" s="2191"/>
      <c r="G44" s="2194"/>
      <c r="H44" s="2191"/>
      <c r="I44" s="2193"/>
      <c r="J44" s="2191"/>
      <c r="K44" s="2192"/>
      <c r="L44" s="2191"/>
      <c r="Q44" s="2191"/>
      <c r="S44" s="2194"/>
      <c r="T44" s="2191"/>
      <c r="U44" s="2193"/>
      <c r="V44" s="2191"/>
      <c r="W44" s="2192"/>
      <c r="X44" s="2191"/>
      <c r="Z44" s="2194"/>
      <c r="AA44" s="2191"/>
      <c r="AB44" s="2193"/>
      <c r="AC44" s="2191"/>
      <c r="AD44" s="2192"/>
      <c r="AE44" s="2191"/>
      <c r="AG44" s="2194"/>
      <c r="AH44" s="2191"/>
      <c r="AI44" s="2193"/>
      <c r="AJ44" s="2191"/>
      <c r="AK44" s="2192"/>
      <c r="AL44" s="2191"/>
    </row>
    <row r="45" spans="1:48">
      <c r="B45" s="2190"/>
      <c r="C45" s="2190"/>
      <c r="D45" s="2190"/>
      <c r="E45" s="2190"/>
    </row>
    <row r="46" spans="1:48">
      <c r="A46" s="2189"/>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heetViews>
  <sheetFormatPr defaultRowHeight="12.5"/>
  <cols>
    <col min="1" max="1" width="2.26953125" style="477" customWidth="1"/>
    <col min="2" max="2" width="35.26953125" style="477" customWidth="1"/>
    <col min="3" max="3" width="10.1796875" style="477" customWidth="1"/>
    <col min="4" max="5" width="11.7265625" style="477" customWidth="1"/>
    <col min="6" max="6" width="10.1796875" style="477" customWidth="1"/>
    <col min="7" max="7" width="11.7265625" style="477" customWidth="1"/>
    <col min="8" max="8" width="12.54296875" style="477" customWidth="1"/>
    <col min="9" max="9" width="9.26953125" style="477" customWidth="1"/>
    <col min="10" max="10" width="32.7265625" style="477" customWidth="1"/>
    <col min="11" max="11" width="2.26953125" style="477" customWidth="1"/>
    <col min="12" max="12" width="1.7265625" style="2129" customWidth="1"/>
    <col min="14" max="14" width="3.1796875" style="477" customWidth="1"/>
    <col min="15" max="15" width="41" style="477" customWidth="1"/>
    <col min="16" max="16" width="11.1796875" style="477" bestFit="1" customWidth="1"/>
    <col min="17" max="18" width="11.7265625" style="477" customWidth="1"/>
    <col min="19" max="19" width="13.81640625" style="477" customWidth="1"/>
    <col min="20" max="22" width="11.7265625" style="477" customWidth="1"/>
    <col min="23" max="23" width="17.1796875" style="477" customWidth="1"/>
    <col min="24" max="24" width="10.26953125" style="477" customWidth="1"/>
    <col min="25" max="25" width="22.81640625" style="477" customWidth="1"/>
    <col min="26" max="26" width="1.26953125" style="477" customWidth="1"/>
    <col min="27" max="27" width="1.7265625" style="2129" customWidth="1"/>
    <col min="29" max="29" width="9.1796875" style="2316" customWidth="1"/>
    <col min="30" max="30" width="26" style="2303" customWidth="1"/>
    <col min="31" max="31" width="11" style="2303" customWidth="1"/>
    <col min="32" max="32" width="11.81640625" style="2303" bestFit="1" customWidth="1"/>
    <col min="33" max="33" width="14.1796875" style="2303" bestFit="1" customWidth="1"/>
    <col min="34" max="34" width="14.1796875" style="2303" hidden="1" customWidth="1"/>
    <col min="35" max="36" width="11.453125" style="2303" customWidth="1"/>
    <col min="37" max="37" width="12" style="2303" customWidth="1"/>
    <col min="38" max="38" width="12.54296875" style="2303" customWidth="1"/>
    <col min="39" max="39" width="10.7265625" style="2303" customWidth="1"/>
    <col min="40" max="40" width="3.7265625" style="2303" customWidth="1"/>
    <col min="41" max="41" width="13.26953125" style="2303" customWidth="1"/>
    <col min="42" max="42" width="3.7265625" style="2303" customWidth="1"/>
    <col min="43" max="44" width="10.7265625" style="2303" customWidth="1"/>
    <col min="45" max="45" width="35.7265625" style="2303" customWidth="1"/>
    <col min="46" max="47" width="10.7265625" style="2303"/>
  </cols>
  <sheetData>
    <row r="1" spans="1:47" ht="13">
      <c r="A1" s="531" t="s">
        <v>1871</v>
      </c>
      <c r="N1" s="531" t="s">
        <v>1944</v>
      </c>
    </row>
    <row r="2" spans="1:47" ht="18">
      <c r="A2" s="3667" t="s">
        <v>3395</v>
      </c>
      <c r="O2" s="1092" t="s">
        <v>1943</v>
      </c>
      <c r="R2" s="2314" t="s">
        <v>405</v>
      </c>
      <c r="S2" s="2314" t="s">
        <v>1942</v>
      </c>
      <c r="T2" s="2314" t="s">
        <v>405</v>
      </c>
      <c r="U2" s="2314" t="s">
        <v>515</v>
      </c>
      <c r="V2" s="2291" t="s">
        <v>24</v>
      </c>
      <c r="W2" s="2315" t="s">
        <v>1941</v>
      </c>
      <c r="AC2" s="2392"/>
    </row>
    <row r="3" spans="1:47" ht="13">
      <c r="A3" s="531"/>
      <c r="G3" s="2291" t="s">
        <v>24</v>
      </c>
      <c r="H3" s="2292" t="s">
        <v>1555</v>
      </c>
      <c r="N3" s="633"/>
      <c r="Q3" s="2291" t="s">
        <v>1940</v>
      </c>
      <c r="R3" s="2314" t="s">
        <v>1939</v>
      </c>
      <c r="S3" s="2314" t="s">
        <v>1938</v>
      </c>
      <c r="T3" s="2314" t="s">
        <v>1937</v>
      </c>
      <c r="U3" s="2314" t="s">
        <v>155</v>
      </c>
      <c r="V3" s="2291" t="s">
        <v>1867</v>
      </c>
      <c r="W3" s="2312" t="s">
        <v>1936</v>
      </c>
      <c r="AL3" s="2276" t="s">
        <v>2002</v>
      </c>
    </row>
    <row r="4" spans="1:47" ht="13">
      <c r="A4" s="633" t="s">
        <v>1870</v>
      </c>
      <c r="D4" s="2291" t="s">
        <v>1869</v>
      </c>
      <c r="E4" s="2291"/>
      <c r="F4" s="2291" t="s">
        <v>1868</v>
      </c>
      <c r="G4" s="2291" t="s">
        <v>1867</v>
      </c>
      <c r="H4" s="2290" t="s">
        <v>1866</v>
      </c>
      <c r="Q4" s="2313">
        <v>1</v>
      </c>
      <c r="R4" s="1104">
        <v>2.0099999999999998</v>
      </c>
      <c r="S4" s="2313">
        <v>2.1</v>
      </c>
      <c r="T4" s="2313">
        <v>2.11</v>
      </c>
      <c r="U4" s="2313">
        <v>2.12</v>
      </c>
      <c r="V4" s="2291"/>
      <c r="W4" s="2312" t="s">
        <v>1935</v>
      </c>
      <c r="AC4" s="2330" t="s">
        <v>1966</v>
      </c>
      <c r="AD4" s="2276"/>
      <c r="AE4" s="2276" t="s">
        <v>110</v>
      </c>
      <c r="AF4" s="2276" t="s">
        <v>2006</v>
      </c>
      <c r="AG4" s="2276" t="s">
        <v>2005</v>
      </c>
      <c r="AH4" s="2276" t="s">
        <v>2004</v>
      </c>
      <c r="AI4" s="2276" t="s">
        <v>2003</v>
      </c>
      <c r="AJ4" s="2276" t="s">
        <v>2002</v>
      </c>
      <c r="AK4" s="2276" t="s">
        <v>2002</v>
      </c>
      <c r="AL4" s="2276" t="s">
        <v>2001</v>
      </c>
      <c r="AM4" s="2276"/>
      <c r="AN4" s="2276"/>
      <c r="AO4" s="2276"/>
      <c r="AP4" s="2276"/>
      <c r="AQ4" s="2276"/>
      <c r="AR4" s="2276"/>
      <c r="AS4" s="2276"/>
      <c r="AT4" s="2276"/>
      <c r="AU4" s="2276"/>
    </row>
    <row r="5" spans="1:47" ht="13">
      <c r="B5" s="2274" t="s">
        <v>1555</v>
      </c>
      <c r="C5" s="2274" t="s">
        <v>1865</v>
      </c>
      <c r="E5" s="2274" t="s">
        <v>1865</v>
      </c>
      <c r="F5" s="199"/>
      <c r="G5" s="199"/>
      <c r="H5" s="2289"/>
      <c r="O5" s="2274" t="s">
        <v>1555</v>
      </c>
      <c r="P5" s="2274" t="s">
        <v>1865</v>
      </c>
      <c r="U5" s="2274"/>
      <c r="V5" s="199"/>
      <c r="W5" s="2311"/>
      <c r="AC5" s="2330" t="s">
        <v>1963</v>
      </c>
      <c r="AD5" s="2329"/>
      <c r="AE5" s="2329" t="s">
        <v>198</v>
      </c>
      <c r="AF5" s="2329" t="s">
        <v>2048</v>
      </c>
      <c r="AG5" s="2329" t="s">
        <v>2047</v>
      </c>
      <c r="AH5" s="2329" t="s">
        <v>2046</v>
      </c>
      <c r="AI5" s="2329" t="s">
        <v>2045</v>
      </c>
      <c r="AJ5" s="2329" t="s">
        <v>1998</v>
      </c>
      <c r="AK5" s="2329" t="s">
        <v>1997</v>
      </c>
      <c r="AL5" s="2329" t="s">
        <v>1996</v>
      </c>
      <c r="AM5" s="2276"/>
      <c r="AN5" s="2390"/>
      <c r="AO5" s="2390"/>
      <c r="AP5" s="2390"/>
      <c r="AQ5" s="2390"/>
      <c r="AR5" s="2390"/>
      <c r="AS5" s="2391" t="s">
        <v>2044</v>
      </c>
      <c r="AT5" s="2390"/>
      <c r="AU5" s="2390"/>
    </row>
    <row r="6" spans="1:47">
      <c r="B6" s="974" t="s">
        <v>1864</v>
      </c>
      <c r="C6" s="2272" t="s">
        <v>1847</v>
      </c>
      <c r="D6" s="2271">
        <f>'G-3.01 PF Rev Norm'!W6</f>
        <v>116529.42364116467</v>
      </c>
      <c r="E6" s="2272" t="s">
        <v>1859</v>
      </c>
      <c r="F6" s="2284">
        <f>ROUND(AE143/1000,)-F12</f>
        <v>121812</v>
      </c>
      <c r="G6" s="2271">
        <f>F6-D6</f>
        <v>5282.5763588353293</v>
      </c>
      <c r="H6" s="2267">
        <f>G6</f>
        <v>5282.5763588353293</v>
      </c>
      <c r="O6" s="2288" t="s">
        <v>1934</v>
      </c>
      <c r="P6" s="2308" t="s">
        <v>1855</v>
      </c>
      <c r="Q6" s="2271">
        <f>Q19-SUM(Q7:Q18)</f>
        <v>116529.42364116467</v>
      </c>
      <c r="R6" s="2271"/>
      <c r="S6" s="2271"/>
      <c r="T6" s="2260"/>
      <c r="U6" s="2260"/>
      <c r="V6" s="2271">
        <f t="shared" ref="V6:V18" si="0">SUM(R6:U6)</f>
        <v>0</v>
      </c>
      <c r="W6" s="2267">
        <f t="shared" ref="W6:W18" si="1">Q6+V6</f>
        <v>116529.42364116467</v>
      </c>
      <c r="AD6" s="2354" t="s">
        <v>2043</v>
      </c>
      <c r="AN6" s="2390"/>
      <c r="AO6" s="2317" t="s">
        <v>2042</v>
      </c>
      <c r="AP6" s="2390"/>
      <c r="AQ6" s="2390"/>
      <c r="AR6" s="2317"/>
      <c r="AS6" s="397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979"/>
      <c r="AU6" s="3979"/>
    </row>
    <row r="7" spans="1:47">
      <c r="B7" s="2288" t="s">
        <v>1863</v>
      </c>
      <c r="C7" s="2272" t="s">
        <v>1847</v>
      </c>
      <c r="D7" s="2271">
        <f>'G-3.01 PF Rev Norm'!W7</f>
        <v>94853.747647803742</v>
      </c>
      <c r="E7" s="2272"/>
      <c r="F7" s="2284"/>
      <c r="G7" s="2271">
        <f>F7-D7</f>
        <v>-94853.747647803742</v>
      </c>
      <c r="H7" s="2267">
        <f>G7</f>
        <v>-94853.747647803742</v>
      </c>
      <c r="O7" s="974" t="s">
        <v>1933</v>
      </c>
      <c r="P7" s="2308" t="s">
        <v>1896</v>
      </c>
      <c r="Q7" s="2294">
        <f>(Q39+T39)*X53-1</f>
        <v>94913.576358835329</v>
      </c>
      <c r="R7" s="2271"/>
      <c r="S7" s="2271">
        <f>S39*X53</f>
        <v>-59.828711031590274</v>
      </c>
      <c r="T7" s="2260"/>
      <c r="U7" s="2260"/>
      <c r="V7" s="2271">
        <f t="shared" si="0"/>
        <v>-59.828711031590274</v>
      </c>
      <c r="W7" s="2267">
        <f t="shared" si="1"/>
        <v>94853.747647803742</v>
      </c>
      <c r="AD7" s="2342" t="s">
        <v>1960</v>
      </c>
      <c r="AN7" s="2388" t="s">
        <v>2041</v>
      </c>
      <c r="AO7" s="2317" t="s">
        <v>2040</v>
      </c>
      <c r="AP7" s="2390"/>
      <c r="AQ7" s="2390"/>
      <c r="AR7" s="2317"/>
      <c r="AS7" s="3979"/>
      <c r="AT7" s="3979"/>
      <c r="AU7" s="3979"/>
    </row>
    <row r="8" spans="1:47">
      <c r="B8" s="633" t="s">
        <v>1862</v>
      </c>
      <c r="C8" s="2272" t="s">
        <v>1847</v>
      </c>
      <c r="D8" s="2271">
        <f>'G-3.01 PF Rev Norm'!W8</f>
        <v>87.828711031590274</v>
      </c>
      <c r="E8" s="2272" t="s">
        <v>1859</v>
      </c>
      <c r="F8" s="2284">
        <f>ROUND(AE139/1000,)</f>
        <v>62</v>
      </c>
      <c r="G8" s="2271">
        <f>F8-D8</f>
        <v>-25.828711031590274</v>
      </c>
      <c r="H8" s="2267">
        <f>G8</f>
        <v>-25.828711031590274</v>
      </c>
      <c r="O8" s="477" t="s">
        <v>1862</v>
      </c>
      <c r="P8" s="2303" t="s">
        <v>1932</v>
      </c>
      <c r="Q8" s="2251"/>
      <c r="R8" s="2251"/>
      <c r="S8" s="2251">
        <f>28-S7</f>
        <v>87.828711031590274</v>
      </c>
      <c r="T8" s="2260"/>
      <c r="U8" s="2260"/>
      <c r="V8" s="2271">
        <f t="shared" si="0"/>
        <v>87.828711031590274</v>
      </c>
      <c r="W8" s="2267">
        <f t="shared" si="1"/>
        <v>87.828711031590274</v>
      </c>
      <c r="X8" s="3976" t="s">
        <v>1931</v>
      </c>
      <c r="Y8" s="3950"/>
      <c r="AD8" s="2303" t="s">
        <v>1992</v>
      </c>
      <c r="AE8" s="2351"/>
      <c r="AF8" s="2351">
        <v>80993659.046190009</v>
      </c>
      <c r="AG8" s="2351">
        <v>7004339.4199599996</v>
      </c>
      <c r="AH8" s="2351"/>
      <c r="AI8" s="2351">
        <v>480000</v>
      </c>
      <c r="AJ8" s="2351">
        <v>7217935</v>
      </c>
      <c r="AK8" s="2387">
        <v>23379996</v>
      </c>
      <c r="AL8" s="2351">
        <v>9627587</v>
      </c>
      <c r="AN8" s="2317"/>
      <c r="AO8" s="2390" t="s">
        <v>2039</v>
      </c>
      <c r="AP8" s="2317"/>
      <c r="AQ8" s="2389">
        <v>1</v>
      </c>
      <c r="AR8" s="2317"/>
      <c r="AS8" s="3979"/>
      <c r="AT8" s="3979"/>
      <c r="AU8" s="3979"/>
    </row>
    <row r="9" spans="1:47">
      <c r="B9" s="477" t="s">
        <v>213</v>
      </c>
      <c r="C9" s="2272" t="s">
        <v>1847</v>
      </c>
      <c r="D9" s="2271">
        <f>'G-3.01 PF Rev Norm'!W18</f>
        <v>-102</v>
      </c>
      <c r="E9" s="2272" t="s">
        <v>1859</v>
      </c>
      <c r="F9" s="2284">
        <f>ROUND(AE128/1000,)</f>
        <v>-291</v>
      </c>
      <c r="G9" s="2271">
        <f>F9-D9</f>
        <v>-189</v>
      </c>
      <c r="H9" s="2267">
        <f>G9</f>
        <v>-189</v>
      </c>
      <c r="O9" s="477" t="s">
        <v>1930</v>
      </c>
      <c r="P9" s="2303" t="s">
        <v>1855</v>
      </c>
      <c r="Q9" s="2271">
        <f>-V9</f>
        <v>18663</v>
      </c>
      <c r="R9" s="2271"/>
      <c r="S9" s="2271"/>
      <c r="T9" s="2271">
        <f>ROUND(T40*$X$53,0)</f>
        <v>-18663</v>
      </c>
      <c r="U9" s="2271"/>
      <c r="V9" s="2271">
        <f t="shared" si="0"/>
        <v>-18663</v>
      </c>
      <c r="W9" s="2267">
        <f t="shared" si="1"/>
        <v>0</v>
      </c>
      <c r="X9" s="3977"/>
      <c r="Y9" s="3950"/>
      <c r="AD9" s="2303" t="s">
        <v>1991</v>
      </c>
      <c r="AE9" s="2351"/>
      <c r="AF9" s="2351">
        <v>55549613.811489999</v>
      </c>
      <c r="AG9" s="2351">
        <v>18294954.25451</v>
      </c>
      <c r="AH9" s="2351"/>
      <c r="AI9" s="2351">
        <v>640871.58799999999</v>
      </c>
      <c r="AJ9" s="2351">
        <v>7083974</v>
      </c>
      <c r="AK9" s="2387">
        <v>5164136</v>
      </c>
      <c r="AL9" s="2351"/>
      <c r="AN9" s="2388" t="s">
        <v>2038</v>
      </c>
      <c r="AO9" s="2317" t="s">
        <v>2037</v>
      </c>
      <c r="AP9" s="2317"/>
      <c r="AQ9" s="2317" t="str">
        <f>CHOOSE(Base1_Billing2,AO7,AO9)</f>
        <v>BASE TARIFF</v>
      </c>
      <c r="AR9" s="2317"/>
      <c r="AS9" s="3979"/>
      <c r="AT9" s="3979"/>
      <c r="AU9" s="3979"/>
    </row>
    <row r="10" spans="1:47">
      <c r="B10" s="2287" t="s">
        <v>1861</v>
      </c>
      <c r="C10" s="2272"/>
      <c r="D10" s="2282">
        <f>SUM(D6:D9)</f>
        <v>211369</v>
      </c>
      <c r="E10" s="2279"/>
      <c r="F10" s="2282">
        <f>SUM(F6:F9)</f>
        <v>121583</v>
      </c>
      <c r="G10" s="2282">
        <f>F10-D10</f>
        <v>-89786</v>
      </c>
      <c r="H10" s="2268">
        <f>SUM(H6:H9)</f>
        <v>-89786</v>
      </c>
      <c r="O10" s="477" t="s">
        <v>1929</v>
      </c>
      <c r="P10" s="2260" t="s">
        <v>1911</v>
      </c>
      <c r="Q10" s="2271">
        <f>-V10</f>
        <v>8526</v>
      </c>
      <c r="R10" s="2251">
        <v>-8526</v>
      </c>
      <c r="S10" s="2251"/>
      <c r="T10" s="2310"/>
      <c r="U10" s="2310"/>
      <c r="V10" s="2271">
        <f t="shared" si="0"/>
        <v>-8526</v>
      </c>
      <c r="W10" s="2267">
        <f t="shared" si="1"/>
        <v>0</v>
      </c>
      <c r="X10" s="3977"/>
      <c r="Y10" s="3950"/>
      <c r="AD10" s="2303" t="s">
        <v>1990</v>
      </c>
      <c r="AE10" s="2351"/>
      <c r="AF10" s="2351"/>
      <c r="AG10" s="2351">
        <v>31380403.08151</v>
      </c>
      <c r="AH10" s="2351"/>
      <c r="AI10" s="2351">
        <v>684750.42000000016</v>
      </c>
      <c r="AJ10" s="2351">
        <v>13394294</v>
      </c>
      <c r="AK10" s="2387">
        <v>0</v>
      </c>
      <c r="AL10" s="2351"/>
      <c r="AN10" s="2317"/>
      <c r="AO10" s="2317"/>
      <c r="AP10" s="2317"/>
      <c r="AQ10" s="2317" t="str">
        <f>CHOOSE(Base1_Billing2,"Base","Billing")</f>
        <v>Base</v>
      </c>
      <c r="AR10" s="2317"/>
      <c r="AS10" s="3979"/>
      <c r="AT10" s="3979"/>
      <c r="AU10" s="3979"/>
    </row>
    <row r="11" spans="1:47">
      <c r="B11" s="1415"/>
      <c r="C11" s="2276"/>
      <c r="D11" s="2271"/>
      <c r="E11" s="2286"/>
      <c r="F11" s="2275"/>
      <c r="G11" s="2271"/>
      <c r="H11" s="2267"/>
      <c r="O11" s="477" t="s">
        <v>1928</v>
      </c>
      <c r="P11" s="2308" t="s">
        <v>1896</v>
      </c>
      <c r="Q11" s="2294">
        <v>-8881</v>
      </c>
      <c r="R11" s="2251"/>
      <c r="S11" s="2251"/>
      <c r="T11" s="2271">
        <f>-Q11</f>
        <v>8881</v>
      </c>
      <c r="U11" s="2310"/>
      <c r="V11" s="2271">
        <f t="shared" si="0"/>
        <v>8881</v>
      </c>
      <c r="W11" s="2267">
        <f t="shared" si="1"/>
        <v>0</v>
      </c>
      <c r="X11" s="3977"/>
      <c r="Y11" s="3950"/>
      <c r="AD11" s="2303" t="s">
        <v>1989</v>
      </c>
      <c r="AE11" s="2351"/>
      <c r="AF11" s="2351"/>
      <c r="AG11" s="2351">
        <v>5263380.6339700008</v>
      </c>
      <c r="AH11" s="2351"/>
      <c r="AI11" s="2351">
        <v>887244.47400021553</v>
      </c>
      <c r="AJ11" s="2351">
        <v>2724881</v>
      </c>
      <c r="AK11" s="2387">
        <v>5714117</v>
      </c>
      <c r="AL11" s="2351"/>
      <c r="AN11" s="2317"/>
      <c r="AO11" s="2317"/>
      <c r="AP11" s="2317"/>
      <c r="AQ11" s="2317"/>
      <c r="AR11" s="2317"/>
      <c r="AS11" s="3979"/>
      <c r="AT11" s="3979"/>
      <c r="AU11" s="3979"/>
    </row>
    <row r="12" spans="1:47">
      <c r="B12" s="2285" t="s">
        <v>1860</v>
      </c>
      <c r="C12" s="2272" t="s">
        <v>1847</v>
      </c>
      <c r="D12" s="2271">
        <f>'G-3.01 PF Rev Norm'!W21</f>
        <v>5060</v>
      </c>
      <c r="E12" s="2272" t="s">
        <v>1859</v>
      </c>
      <c r="F12" s="2284">
        <f>ROUND(SUM(AJ121:AL121)/1000,)</f>
        <v>5393</v>
      </c>
      <c r="G12" s="2271">
        <f>F12-D12</f>
        <v>333</v>
      </c>
      <c r="H12" s="2267">
        <f>G12</f>
        <v>333</v>
      </c>
      <c r="O12" s="477" t="s">
        <v>1905</v>
      </c>
      <c r="P12" s="2308" t="s">
        <v>1896</v>
      </c>
      <c r="Q12" s="2294">
        <v>-51</v>
      </c>
      <c r="R12" s="2251"/>
      <c r="S12" s="2251"/>
      <c r="T12" s="2271">
        <f>-Q12</f>
        <v>51</v>
      </c>
      <c r="U12" s="2310"/>
      <c r="V12" s="2271">
        <f t="shared" si="0"/>
        <v>51</v>
      </c>
      <c r="W12" s="2267">
        <f t="shared" si="1"/>
        <v>0</v>
      </c>
      <c r="X12" s="3977"/>
      <c r="Y12" s="3950"/>
      <c r="AD12" s="2303" t="s">
        <v>1988</v>
      </c>
      <c r="AE12" s="2351"/>
      <c r="AF12" s="2351"/>
      <c r="AG12" s="2351">
        <v>3945932.3859999999</v>
      </c>
      <c r="AH12" s="2351"/>
      <c r="AI12" s="2351"/>
      <c r="AJ12" s="2351">
        <v>1772268</v>
      </c>
      <c r="AK12" s="2387">
        <v>10047176</v>
      </c>
      <c r="AL12" s="2351"/>
      <c r="AN12" s="2317"/>
      <c r="AO12" s="2317"/>
      <c r="AP12" s="2317"/>
      <c r="AQ12" s="2317"/>
      <c r="AR12" s="2317"/>
      <c r="AS12" s="2317"/>
      <c r="AT12" s="2317"/>
      <c r="AU12" s="2317"/>
    </row>
    <row r="13" spans="1:47">
      <c r="C13" s="867"/>
      <c r="E13" s="867"/>
      <c r="H13" s="2267"/>
      <c r="O13" s="477" t="s">
        <v>1927</v>
      </c>
      <c r="P13" s="2308" t="s">
        <v>1896</v>
      </c>
      <c r="Q13" s="2294">
        <v>-3908</v>
      </c>
      <c r="R13" s="2251"/>
      <c r="S13" s="2251"/>
      <c r="T13" s="2271">
        <f>-Q13</f>
        <v>3908</v>
      </c>
      <c r="U13" s="2310"/>
      <c r="V13" s="2271">
        <f t="shared" si="0"/>
        <v>3908</v>
      </c>
      <c r="W13" s="2267">
        <f t="shared" si="1"/>
        <v>0</v>
      </c>
      <c r="X13" s="3977"/>
      <c r="Y13" s="3950"/>
      <c r="AE13" s="2385"/>
      <c r="AF13" s="2385"/>
      <c r="AG13" s="2385"/>
      <c r="AH13" s="2385"/>
      <c r="AI13" s="2385"/>
      <c r="AJ13" s="2385"/>
      <c r="AK13" s="2385"/>
      <c r="AL13" s="2385"/>
    </row>
    <row r="14" spans="1:47">
      <c r="B14" s="633" t="s">
        <v>1858</v>
      </c>
      <c r="C14" s="2280"/>
      <c r="D14" s="2271">
        <f>'G-3.01 PF Rev Norm'!W23</f>
        <v>0</v>
      </c>
      <c r="E14" s="2281"/>
      <c r="F14" s="2251">
        <v>0</v>
      </c>
      <c r="G14" s="2271">
        <f>F14-D14</f>
        <v>0</v>
      </c>
      <c r="H14" s="2267">
        <f>G14</f>
        <v>0</v>
      </c>
      <c r="O14" s="633" t="s">
        <v>1926</v>
      </c>
      <c r="P14" s="2303" t="s">
        <v>1855</v>
      </c>
      <c r="Q14" s="2271">
        <f>-V14</f>
        <v>0</v>
      </c>
      <c r="R14" s="2251"/>
      <c r="S14" s="2251"/>
      <c r="T14" s="2271">
        <f>ROUND(T48*$X$53,0)</f>
        <v>0</v>
      </c>
      <c r="U14" s="2310"/>
      <c r="V14" s="2271">
        <f t="shared" si="0"/>
        <v>0</v>
      </c>
      <c r="W14" s="2267">
        <f t="shared" si="1"/>
        <v>0</v>
      </c>
      <c r="X14" s="3977"/>
      <c r="Y14" s="3950"/>
      <c r="AD14" s="2303" t="s">
        <v>1985</v>
      </c>
      <c r="AE14" s="2351">
        <f>SUM(AF14:AL14)</f>
        <v>291251513.11563027</v>
      </c>
      <c r="AF14" s="2351">
        <f t="shared" ref="AF14:AL14" si="2">SUM(AF8:AF12)</f>
        <v>136543272.85768002</v>
      </c>
      <c r="AG14" s="2351">
        <f t="shared" si="2"/>
        <v>65889009.77595</v>
      </c>
      <c r="AH14" s="2351">
        <f t="shared" si="2"/>
        <v>0</v>
      </c>
      <c r="AI14" s="2351">
        <f t="shared" si="2"/>
        <v>2692866.4820002159</v>
      </c>
      <c r="AJ14" s="2351">
        <f t="shared" si="2"/>
        <v>32193352</v>
      </c>
      <c r="AK14" s="2351">
        <f t="shared" si="2"/>
        <v>44305425</v>
      </c>
      <c r="AL14" s="2351">
        <f t="shared" si="2"/>
        <v>9627587</v>
      </c>
    </row>
    <row r="15" spans="1:47">
      <c r="B15" s="1415" t="s">
        <v>1857</v>
      </c>
      <c r="C15" s="2276"/>
      <c r="D15" s="2282">
        <f>SUM(D12:D14)</f>
        <v>5060</v>
      </c>
      <c r="E15" s="2279"/>
      <c r="F15" s="2282">
        <f>SUM(F12:F14)</f>
        <v>5393</v>
      </c>
      <c r="G15" s="2282">
        <f>F15-D15</f>
        <v>333</v>
      </c>
      <c r="H15" s="2268">
        <f>SUM(H12:H14)</f>
        <v>333</v>
      </c>
      <c r="O15" s="633" t="s">
        <v>1925</v>
      </c>
      <c r="P15" s="2303" t="s">
        <v>1896</v>
      </c>
      <c r="Q15" s="2271">
        <f>-V15</f>
        <v>6821</v>
      </c>
      <c r="R15" s="2271"/>
      <c r="S15" s="2271"/>
      <c r="T15" s="2271">
        <f>ROUND(-T31*$X$53,0)-1</f>
        <v>-6821</v>
      </c>
      <c r="U15" s="2271"/>
      <c r="V15" s="2271">
        <f t="shared" si="0"/>
        <v>-6821</v>
      </c>
      <c r="W15" s="2267">
        <f t="shared" si="1"/>
        <v>0</v>
      </c>
      <c r="X15" s="3977"/>
      <c r="Y15" s="3950"/>
      <c r="AD15" s="2303" t="s">
        <v>2036</v>
      </c>
      <c r="AE15" s="2384"/>
      <c r="AF15" s="2384"/>
      <c r="AG15" s="2384"/>
      <c r="AH15" s="2384"/>
      <c r="AI15" s="2384"/>
      <c r="AJ15" s="2384"/>
      <c r="AK15" s="2384"/>
      <c r="AL15" s="2384"/>
    </row>
    <row r="16" spans="1:47">
      <c r="B16" s="1415"/>
      <c r="C16" s="2276"/>
      <c r="D16" s="2283"/>
      <c r="E16" s="2279"/>
      <c r="F16" s="2282"/>
      <c r="G16" s="2282"/>
      <c r="H16" s="2268"/>
      <c r="O16" s="633" t="s">
        <v>1924</v>
      </c>
      <c r="P16" s="2303" t="s">
        <v>1855</v>
      </c>
      <c r="Q16" s="2271">
        <f>-V16</f>
        <v>13989</v>
      </c>
      <c r="R16" s="2271"/>
      <c r="S16" s="2271"/>
      <c r="T16" s="2271">
        <f>ROUND(T44*$X$53,0)</f>
        <v>-13989</v>
      </c>
      <c r="U16" s="2271"/>
      <c r="V16" s="2271">
        <f t="shared" si="0"/>
        <v>-13989</v>
      </c>
      <c r="W16" s="2267">
        <f t="shared" si="1"/>
        <v>0</v>
      </c>
      <c r="X16" s="3977"/>
      <c r="Y16" s="3950"/>
      <c r="AE16" s="2351"/>
      <c r="AF16" s="2351"/>
      <c r="AG16" s="2351"/>
      <c r="AH16" s="2351"/>
      <c r="AI16" s="2351"/>
      <c r="AJ16" s="2351"/>
      <c r="AK16" s="2351"/>
      <c r="AL16" s="2351"/>
    </row>
    <row r="17" spans="2:47">
      <c r="B17" s="477" t="s">
        <v>1856</v>
      </c>
      <c r="C17" s="2276" t="s">
        <v>1855</v>
      </c>
      <c r="D17" s="199">
        <f>'G-3.01 PF Rev Norm'!W26</f>
        <v>216429</v>
      </c>
      <c r="E17" s="927"/>
      <c r="F17" s="199">
        <f>F10+F15</f>
        <v>126976</v>
      </c>
      <c r="G17" s="199">
        <f>G10+G15</f>
        <v>-89453</v>
      </c>
      <c r="H17" s="2267">
        <f>H10+H15</f>
        <v>-89453</v>
      </c>
      <c r="O17" s="477" t="s">
        <v>1904</v>
      </c>
      <c r="P17" s="2303" t="s">
        <v>1896</v>
      </c>
      <c r="Q17" s="2271">
        <v>39</v>
      </c>
      <c r="R17" s="2271"/>
      <c r="S17" s="2271"/>
      <c r="T17" s="2271">
        <f>-Q17</f>
        <v>-39</v>
      </c>
      <c r="U17" s="2271"/>
      <c r="V17" s="2271">
        <f t="shared" si="0"/>
        <v>-39</v>
      </c>
      <c r="W17" s="2267">
        <f t="shared" si="1"/>
        <v>0</v>
      </c>
      <c r="X17" s="2309"/>
      <c r="Y17" s="2309"/>
      <c r="AD17" s="2303" t="s">
        <v>1985</v>
      </c>
      <c r="AE17" s="2351">
        <f>SUM(AF17:AL17)</f>
        <v>291251513.11563027</v>
      </c>
      <c r="AF17" s="2351">
        <f t="shared" ref="AF17:AL17" si="3">AF14+AF15</f>
        <v>136543272.85768002</v>
      </c>
      <c r="AG17" s="2351">
        <f t="shared" si="3"/>
        <v>65889009.77595</v>
      </c>
      <c r="AH17" s="2351">
        <f t="shared" si="3"/>
        <v>0</v>
      </c>
      <c r="AI17" s="2351">
        <f t="shared" si="3"/>
        <v>2692866.4820002159</v>
      </c>
      <c r="AJ17" s="2351">
        <f t="shared" si="3"/>
        <v>32193352</v>
      </c>
      <c r="AK17" s="2351">
        <f t="shared" si="3"/>
        <v>44305425</v>
      </c>
      <c r="AL17" s="2351">
        <f t="shared" si="3"/>
        <v>9627587</v>
      </c>
    </row>
    <row r="18" spans="2:47">
      <c r="B18" s="633" t="s">
        <v>1854</v>
      </c>
      <c r="C18" s="2280" t="s">
        <v>1847</v>
      </c>
      <c r="D18" s="199">
        <f>'G-3.01 PF Rev Norm'!W29</f>
        <v>0</v>
      </c>
      <c r="E18" s="927"/>
      <c r="F18" s="2251">
        <v>0</v>
      </c>
      <c r="G18" s="2271">
        <f>F18-D18</f>
        <v>0</v>
      </c>
      <c r="H18" s="2267">
        <f>G18</f>
        <v>0</v>
      </c>
      <c r="I18" s="633" t="s">
        <v>1853</v>
      </c>
      <c r="O18" s="477" t="s">
        <v>213</v>
      </c>
      <c r="P18" s="2260" t="s">
        <v>1923</v>
      </c>
      <c r="Q18" s="2251">
        <v>-100</v>
      </c>
      <c r="R18" s="2251"/>
      <c r="S18" s="2251"/>
      <c r="T18" s="2271">
        <f>ROUND(T45*$X$53,0)</f>
        <v>-2</v>
      </c>
      <c r="U18" s="2271"/>
      <c r="V18" s="2271">
        <f t="shared" si="0"/>
        <v>-2</v>
      </c>
      <c r="W18" s="2267">
        <f t="shared" si="1"/>
        <v>-102</v>
      </c>
      <c r="AD18" s="2303" t="s">
        <v>2032</v>
      </c>
      <c r="AE18" s="2384">
        <f>SUM(AF18:AL18)</f>
        <v>0</v>
      </c>
      <c r="AF18" s="2384">
        <v>0</v>
      </c>
      <c r="AG18" s="2384">
        <v>0</v>
      </c>
      <c r="AH18" s="2384"/>
      <c r="AI18" s="2384"/>
      <c r="AJ18" s="2384"/>
      <c r="AK18" s="2384"/>
      <c r="AL18" s="2384"/>
    </row>
    <row r="19" spans="2:47">
      <c r="B19" s="633" t="s">
        <v>1852</v>
      </c>
      <c r="C19" s="2280" t="s">
        <v>1847</v>
      </c>
      <c r="D19" s="199">
        <f>'G-3.01 PF Rev Norm'!W30</f>
        <v>0</v>
      </c>
      <c r="E19" s="2281"/>
      <c r="F19" s="2251">
        <v>0</v>
      </c>
      <c r="G19" s="2271">
        <f>F19-D19</f>
        <v>0</v>
      </c>
      <c r="H19" s="2267">
        <f>G19</f>
        <v>0</v>
      </c>
      <c r="O19" s="1415" t="s">
        <v>1861</v>
      </c>
      <c r="P19" s="2260" t="s">
        <v>197</v>
      </c>
      <c r="Q19" s="2283">
        <v>246541</v>
      </c>
      <c r="R19" s="2282">
        <f t="shared" ref="R19:W19" si="4">SUM(R6:R18)</f>
        <v>-8526</v>
      </c>
      <c r="S19" s="2282">
        <f t="shared" si="4"/>
        <v>28</v>
      </c>
      <c r="T19" s="2282">
        <f t="shared" si="4"/>
        <v>-26674</v>
      </c>
      <c r="U19" s="2282">
        <f t="shared" si="4"/>
        <v>0</v>
      </c>
      <c r="V19" s="2282">
        <f t="shared" si="4"/>
        <v>-35172</v>
      </c>
      <c r="W19" s="2268">
        <f t="shared" si="4"/>
        <v>211369</v>
      </c>
      <c r="AE19" s="2351"/>
      <c r="AF19" s="2351"/>
      <c r="AG19" s="2351"/>
      <c r="AH19" s="2351"/>
      <c r="AI19" s="2351"/>
      <c r="AJ19" s="2351"/>
      <c r="AK19" s="2351"/>
      <c r="AL19" s="2351"/>
    </row>
    <row r="20" spans="2:47">
      <c r="B20" s="633" t="s">
        <v>1851</v>
      </c>
      <c r="C20" s="2280" t="s">
        <v>1847</v>
      </c>
      <c r="D20" s="199">
        <f>'G-3.01 PF Rev Norm'!W32</f>
        <v>2714</v>
      </c>
      <c r="E20" s="2281"/>
      <c r="F20" s="2251">
        <v>0</v>
      </c>
      <c r="G20" s="2271">
        <f>F20-D20</f>
        <v>-2714</v>
      </c>
      <c r="H20" s="2267">
        <f>G20</f>
        <v>-2714</v>
      </c>
      <c r="O20" s="1415"/>
      <c r="P20" s="2307"/>
      <c r="Q20" s="2271"/>
      <c r="R20" s="2271"/>
      <c r="S20" s="2271"/>
      <c r="T20" s="2271"/>
      <c r="U20" s="2271"/>
      <c r="V20" s="2271"/>
      <c r="W20" s="2267"/>
      <c r="AD20" s="2303" t="s">
        <v>2031</v>
      </c>
      <c r="AE20" s="2351">
        <f>SUM(AF20:AL20)</f>
        <v>291251513.11563027</v>
      </c>
      <c r="AF20" s="2351">
        <f>AF17+AF18</f>
        <v>136543272.85768002</v>
      </c>
      <c r="AG20" s="2351">
        <f>AG17+AG18</f>
        <v>65889009.77595</v>
      </c>
      <c r="AH20" s="2351">
        <f>AH17+AH18</f>
        <v>0</v>
      </c>
      <c r="AI20" s="2351">
        <f>AI17+AI18</f>
        <v>2692866.4820002159</v>
      </c>
      <c r="AJ20" s="2351">
        <f>AJ17+AK18</f>
        <v>32193352</v>
      </c>
      <c r="AK20" s="2351">
        <f>AK17+AK18</f>
        <v>44305425</v>
      </c>
      <c r="AL20" s="2351">
        <f>AL17+AL18</f>
        <v>9627587</v>
      </c>
    </row>
    <row r="21" spans="2:47">
      <c r="B21" s="1092" t="s">
        <v>1850</v>
      </c>
      <c r="C21" s="2280"/>
      <c r="D21" s="2278">
        <f>SUM(D17:D20)</f>
        <v>219143</v>
      </c>
      <c r="E21" s="2279"/>
      <c r="F21" s="2278">
        <f>+SUM(F17:F20)</f>
        <v>126976</v>
      </c>
      <c r="G21" s="2278">
        <f>SUM(G17:G20)</f>
        <v>-92167</v>
      </c>
      <c r="H21" s="2277">
        <f>SUM(H17:H20)</f>
        <v>-92167</v>
      </c>
      <c r="O21" s="974" t="s">
        <v>1860</v>
      </c>
      <c r="P21" s="2308" t="s">
        <v>1855</v>
      </c>
      <c r="Q21" s="2271">
        <f>Q24-Q22-Q23</f>
        <v>5060</v>
      </c>
      <c r="R21" s="2271"/>
      <c r="S21" s="2271"/>
      <c r="T21" s="2260"/>
      <c r="U21" s="2260"/>
      <c r="V21" s="2271">
        <f>SUM(R21:U21)</f>
        <v>0</v>
      </c>
      <c r="W21" s="2267">
        <f>Q21+V21</f>
        <v>5060</v>
      </c>
      <c r="AD21" s="2303" t="s">
        <v>2030</v>
      </c>
      <c r="AE21" s="2384">
        <f>SUM(AF21:AL21)</f>
        <v>-379778</v>
      </c>
      <c r="AF21" s="2384">
        <f t="shared" ref="AF21:AL21" si="5">AF134+AF137</f>
        <v>-436540</v>
      </c>
      <c r="AG21" s="2384">
        <f t="shared" si="5"/>
        <v>56762</v>
      </c>
      <c r="AH21" s="2384">
        <f t="shared" si="5"/>
        <v>0</v>
      </c>
      <c r="AI21" s="2384">
        <f t="shared" si="5"/>
        <v>0</v>
      </c>
      <c r="AJ21" s="2384">
        <f t="shared" si="5"/>
        <v>0</v>
      </c>
      <c r="AK21" s="2384">
        <f t="shared" si="5"/>
        <v>0</v>
      </c>
      <c r="AL21" s="2384">
        <f t="shared" si="5"/>
        <v>0</v>
      </c>
    </row>
    <row r="22" spans="2:47">
      <c r="C22" s="2276"/>
      <c r="D22" s="199"/>
      <c r="E22" s="927"/>
      <c r="F22" s="2275"/>
      <c r="G22" s="199"/>
      <c r="H22" s="2267"/>
      <c r="O22" s="477" t="s">
        <v>1922</v>
      </c>
      <c r="P22" s="2260" t="s">
        <v>1911</v>
      </c>
      <c r="Q22" s="2271">
        <f>-R22</f>
        <v>120</v>
      </c>
      <c r="R22" s="2251">
        <v>-120</v>
      </c>
      <c r="S22" s="2251"/>
      <c r="T22" s="2251"/>
      <c r="U22" s="2251"/>
      <c r="V22" s="2271">
        <f>SUM(R22:U22)</f>
        <v>-120</v>
      </c>
      <c r="W22" s="2267">
        <f>Q22+V22</f>
        <v>0</v>
      </c>
      <c r="AE22" s="2351"/>
      <c r="AF22" s="2351"/>
      <c r="AG22" s="2351"/>
      <c r="AH22" s="2351"/>
      <c r="AI22" s="2351"/>
      <c r="AJ22" s="2351"/>
      <c r="AK22" s="2351"/>
      <c r="AL22" s="2351"/>
    </row>
    <row r="23" spans="2:47" ht="13">
      <c r="B23" s="2274" t="s">
        <v>11</v>
      </c>
      <c r="C23" s="2273"/>
      <c r="D23" s="199"/>
      <c r="E23" s="927"/>
      <c r="F23" s="2271"/>
      <c r="G23" s="2271"/>
      <c r="H23" s="2267"/>
      <c r="O23" s="477" t="s">
        <v>1858</v>
      </c>
      <c r="P23" s="2260"/>
      <c r="Q23" s="2251">
        <v>0</v>
      </c>
      <c r="R23" s="2251"/>
      <c r="S23" s="2251"/>
      <c r="T23" s="2251"/>
      <c r="U23" s="2251"/>
      <c r="V23" s="2271">
        <f>SUM(R23:U23)</f>
        <v>0</v>
      </c>
      <c r="W23" s="2267">
        <f>Q23+V23</f>
        <v>0</v>
      </c>
      <c r="AD23" s="2303" t="s">
        <v>2029</v>
      </c>
      <c r="AE23" s="2351">
        <f>IF(ROUND(SUM(AE20:AE21),3)&lt;&gt;ROUND(SUM(AF23:AL23),3),#VALUE!,SUM(AF23:AL23))</f>
        <v>290871735.11563027</v>
      </c>
      <c r="AF23" s="2351">
        <f t="shared" ref="AF23:AL23" si="6">SUM(AF20:AF21)</f>
        <v>136106732.85768002</v>
      </c>
      <c r="AG23" s="2351">
        <f t="shared" si="6"/>
        <v>65945771.77595</v>
      </c>
      <c r="AH23" s="2351">
        <f t="shared" si="6"/>
        <v>0</v>
      </c>
      <c r="AI23" s="2351">
        <f t="shared" si="6"/>
        <v>2692866.4820002159</v>
      </c>
      <c r="AJ23" s="2351">
        <f t="shared" si="6"/>
        <v>32193352</v>
      </c>
      <c r="AK23" s="2351">
        <f t="shared" si="6"/>
        <v>44305425</v>
      </c>
      <c r="AL23" s="2351">
        <f t="shared" si="6"/>
        <v>9627587</v>
      </c>
    </row>
    <row r="24" spans="2:47">
      <c r="B24" s="477" t="s">
        <v>1849</v>
      </c>
      <c r="C24" s="2272" t="s">
        <v>1847</v>
      </c>
      <c r="D24" s="2271">
        <f>'G-3.01 PF Rev Norm'!W39</f>
        <v>90370</v>
      </c>
      <c r="E24" s="2272"/>
      <c r="F24" s="2271">
        <v>0</v>
      </c>
      <c r="G24" s="2271">
        <f>F24-D24</f>
        <v>-90370</v>
      </c>
      <c r="H24" s="2267">
        <f>G24</f>
        <v>-90370</v>
      </c>
      <c r="O24" s="1415" t="s">
        <v>219</v>
      </c>
      <c r="P24" s="2307"/>
      <c r="Q24" s="2283">
        <v>5180</v>
      </c>
      <c r="R24" s="2282">
        <f>SUM(R21:R23)</f>
        <v>-120</v>
      </c>
      <c r="S24" s="2282">
        <f>SUM(S21:S23)</f>
        <v>0</v>
      </c>
      <c r="T24" s="2282">
        <f>SUM(T21:T23)</f>
        <v>0</v>
      </c>
      <c r="U24" s="2282"/>
      <c r="V24" s="2282">
        <f>SUM(V21:V23)</f>
        <v>-120</v>
      </c>
      <c r="W24" s="2268">
        <f>SUM(W21:W23)</f>
        <v>5060</v>
      </c>
      <c r="AE24" s="2351"/>
      <c r="AF24" s="2351"/>
      <c r="AG24" s="2351"/>
      <c r="AH24" s="2351"/>
      <c r="AI24" s="2351"/>
      <c r="AJ24" s="2351"/>
      <c r="AK24" s="2351"/>
      <c r="AL24" s="2351"/>
    </row>
    <row r="25" spans="2:47">
      <c r="B25" s="477" t="s">
        <v>1848</v>
      </c>
      <c r="C25" s="2272" t="s">
        <v>1847</v>
      </c>
      <c r="D25" s="2271">
        <f>'G-3.01 PF Rev Norm'!W41</f>
        <v>89</v>
      </c>
      <c r="E25" s="2272"/>
      <c r="F25" s="2271">
        <f>D25</f>
        <v>89</v>
      </c>
      <c r="G25" s="2271">
        <f>F25-D25</f>
        <v>0</v>
      </c>
      <c r="H25" s="2267">
        <f>G25</f>
        <v>0</v>
      </c>
      <c r="O25" s="1415"/>
      <c r="P25" s="2307"/>
      <c r="Q25" s="2283"/>
      <c r="R25" s="2283"/>
      <c r="S25" s="2283"/>
      <c r="T25" s="2283"/>
      <c r="U25" s="2283"/>
      <c r="V25" s="2282"/>
      <c r="W25" s="2268"/>
      <c r="AD25" s="2303" t="s">
        <v>2028</v>
      </c>
      <c r="AE25" s="2351"/>
      <c r="AF25" s="2351">
        <v>2077306</v>
      </c>
      <c r="AG25" s="2351"/>
      <c r="AH25" s="2351"/>
      <c r="AI25" s="2351">
        <v>48</v>
      </c>
      <c r="AJ25" s="2351">
        <v>420</v>
      </c>
      <c r="AK25" s="2351">
        <v>36</v>
      </c>
      <c r="AL25" s="2351">
        <v>12</v>
      </c>
    </row>
    <row r="26" spans="2:47">
      <c r="B26" s="477" t="s">
        <v>1846</v>
      </c>
      <c r="C26" s="2260"/>
      <c r="D26" s="2265"/>
      <c r="E26" s="2265"/>
      <c r="F26" s="2265"/>
      <c r="G26" s="2264"/>
      <c r="H26" s="2267">
        <f>ROUND(H$17*$I26,0)</f>
        <v>-3429</v>
      </c>
      <c r="I26" s="2269">
        <v>3.8329292586308468E-2</v>
      </c>
      <c r="J26" s="633" t="s">
        <v>1844</v>
      </c>
      <c r="O26" s="477" t="s">
        <v>1856</v>
      </c>
      <c r="P26" s="2303" t="s">
        <v>1855</v>
      </c>
      <c r="Q26" s="199">
        <f>Q19+Q24</f>
        <v>251721</v>
      </c>
      <c r="R26" s="199">
        <f>R19+R24</f>
        <v>-8646</v>
      </c>
      <c r="S26" s="199">
        <f>S19+S24</f>
        <v>28</v>
      </c>
      <c r="T26" s="199">
        <f>T19+T24</f>
        <v>-26674</v>
      </c>
      <c r="U26" s="199"/>
      <c r="V26" s="2271">
        <f t="shared" ref="V26:V33" si="7">SUM(R26:U26)</f>
        <v>-35292</v>
      </c>
      <c r="W26" s="2267">
        <f>W19+W24</f>
        <v>216429</v>
      </c>
      <c r="AD26" s="2303" t="s">
        <v>2027</v>
      </c>
      <c r="AE26" s="2351"/>
      <c r="AF26" s="2351"/>
      <c r="AG26" s="2351">
        <v>41579</v>
      </c>
      <c r="AH26" s="2351"/>
      <c r="AI26" s="2351"/>
      <c r="AJ26" s="2351"/>
      <c r="AK26" s="2351"/>
      <c r="AL26" s="2351"/>
    </row>
    <row r="27" spans="2:47">
      <c r="B27" s="477" t="s">
        <v>1845</v>
      </c>
      <c r="C27" s="2260"/>
      <c r="D27" s="2265"/>
      <c r="E27" s="2265"/>
      <c r="F27" s="2265"/>
      <c r="G27" s="2264"/>
      <c r="H27" s="2270">
        <f>ROUND(H$17*$I27,0)</f>
        <v>-443</v>
      </c>
      <c r="I27" s="2269">
        <v>4.9508674374747468E-3</v>
      </c>
      <c r="J27" s="477" t="s">
        <v>1844</v>
      </c>
      <c r="O27" s="477" t="s">
        <v>217</v>
      </c>
      <c r="P27" s="2260" t="s">
        <v>1896</v>
      </c>
      <c r="Q27" s="2271">
        <f>-V27</f>
        <v>36675</v>
      </c>
      <c r="R27" s="2251"/>
      <c r="S27" s="2251"/>
      <c r="T27" s="2251">
        <v>-36675</v>
      </c>
      <c r="U27" s="2251"/>
      <c r="V27" s="2271">
        <f t="shared" si="7"/>
        <v>-36675</v>
      </c>
      <c r="W27" s="2267">
        <f t="shared" ref="W27:W33" si="8">Q27+V27</f>
        <v>0</v>
      </c>
      <c r="AE27" s="2351"/>
      <c r="AF27" s="2351"/>
      <c r="AG27" s="2351"/>
      <c r="AH27" s="2351"/>
      <c r="AI27" s="2351"/>
      <c r="AJ27" s="2351"/>
      <c r="AK27" s="2351"/>
      <c r="AL27" s="2351"/>
    </row>
    <row r="28" spans="2:47">
      <c r="B28" s="477" t="s">
        <v>1843</v>
      </c>
      <c r="C28" s="2260"/>
      <c r="D28" s="2265"/>
      <c r="E28" s="2265"/>
      <c r="F28" s="2265"/>
      <c r="G28" s="2264"/>
      <c r="H28" s="2267">
        <f>ROUND(H$17*$I28,0)</f>
        <v>-358</v>
      </c>
      <c r="I28" s="2269">
        <v>4.0000000000000001E-3</v>
      </c>
      <c r="J28" s="477" t="s">
        <v>1842</v>
      </c>
      <c r="O28" s="477" t="s">
        <v>1619</v>
      </c>
      <c r="P28" s="2260" t="s">
        <v>1896</v>
      </c>
      <c r="Q28" s="2271">
        <f>-V28</f>
        <v>3727</v>
      </c>
      <c r="R28" s="2251"/>
      <c r="S28" s="2251"/>
      <c r="T28" s="2251">
        <v>-3727</v>
      </c>
      <c r="U28" s="2251"/>
      <c r="V28" s="2271">
        <f t="shared" si="7"/>
        <v>-3727</v>
      </c>
      <c r="W28" s="2267">
        <f t="shared" si="8"/>
        <v>0</v>
      </c>
      <c r="AD28" s="2276"/>
      <c r="AE28" s="2386"/>
      <c r="AF28" s="2386"/>
      <c r="AG28" s="2386"/>
      <c r="AH28" s="2386"/>
      <c r="AI28" s="2386"/>
      <c r="AJ28" s="2386"/>
      <c r="AK28" s="2386"/>
      <c r="AL28" s="2386"/>
      <c r="AM28" s="2276"/>
      <c r="AN28" s="2276"/>
      <c r="AO28" s="2276"/>
      <c r="AP28" s="2276"/>
      <c r="AQ28" s="2276"/>
      <c r="AR28" s="2276"/>
      <c r="AS28" s="2276"/>
      <c r="AT28" s="2276"/>
      <c r="AU28" s="2276"/>
    </row>
    <row r="29" spans="2:47">
      <c r="D29" s="2265"/>
      <c r="E29" s="2265"/>
      <c r="F29" s="2265"/>
      <c r="G29" s="2264"/>
      <c r="H29" s="2268">
        <f>SUM(H24:H28)</f>
        <v>-94600</v>
      </c>
      <c r="I29" s="896">
        <f>SUM(I26:I28)</f>
        <v>4.7280160023783213E-2</v>
      </c>
      <c r="J29" s="477" t="s">
        <v>1838</v>
      </c>
      <c r="O29" s="633" t="s">
        <v>1921</v>
      </c>
      <c r="P29" s="2260" t="s">
        <v>197</v>
      </c>
      <c r="Q29" s="2294">
        <v>0</v>
      </c>
      <c r="R29" s="2251"/>
      <c r="S29" s="2251"/>
      <c r="T29" s="2251"/>
      <c r="U29" s="2251">
        <v>0</v>
      </c>
      <c r="V29" s="2271">
        <f t="shared" si="7"/>
        <v>0</v>
      </c>
      <c r="W29" s="2267">
        <f t="shared" si="8"/>
        <v>0</v>
      </c>
      <c r="AD29" s="2354" t="s">
        <v>2035</v>
      </c>
      <c r="AE29" s="2351"/>
      <c r="AF29" s="2351"/>
      <c r="AG29" s="2351"/>
      <c r="AH29" s="2351"/>
      <c r="AI29" s="2351"/>
      <c r="AJ29" s="2351"/>
      <c r="AK29" s="2351"/>
      <c r="AL29" s="2351"/>
    </row>
    <row r="30" spans="2:47">
      <c r="D30" s="2265"/>
      <c r="E30" s="2265"/>
      <c r="F30" s="2265"/>
      <c r="G30" s="2264"/>
      <c r="H30" s="2267"/>
      <c r="O30" s="633" t="s">
        <v>1920</v>
      </c>
      <c r="P30" s="2260" t="s">
        <v>197</v>
      </c>
      <c r="Q30" s="2294">
        <v>0</v>
      </c>
      <c r="R30" s="2251"/>
      <c r="S30" s="2251"/>
      <c r="T30" s="2251"/>
      <c r="U30" s="2251"/>
      <c r="V30" s="2271">
        <f t="shared" si="7"/>
        <v>0</v>
      </c>
      <c r="W30" s="2267">
        <f t="shared" si="8"/>
        <v>0</v>
      </c>
      <c r="AD30" s="2342" t="s">
        <v>1960</v>
      </c>
      <c r="AE30" s="2351"/>
      <c r="AF30" s="2351"/>
      <c r="AG30" s="2351"/>
      <c r="AH30" s="2351"/>
      <c r="AI30" s="2351"/>
      <c r="AJ30" s="2351"/>
      <c r="AK30" s="2351"/>
      <c r="AL30" s="2351"/>
    </row>
    <row r="31" spans="2:47" ht="13">
      <c r="B31" s="531" t="s">
        <v>98</v>
      </c>
      <c r="C31" s="531"/>
      <c r="D31" s="2265"/>
      <c r="E31" s="2265"/>
      <c r="F31" s="2265"/>
      <c r="G31" s="2264"/>
      <c r="H31" s="2267">
        <f>H21-H29</f>
        <v>2433</v>
      </c>
      <c r="O31" s="477" t="s">
        <v>1919</v>
      </c>
      <c r="P31" s="2260" t="s">
        <v>1918</v>
      </c>
      <c r="Q31" s="2271">
        <f>-V31</f>
        <v>-6498</v>
      </c>
      <c r="R31" s="2251"/>
      <c r="S31" s="2251"/>
      <c r="T31" s="2251">
        <v>6498</v>
      </c>
      <c r="U31" s="2251"/>
      <c r="V31" s="2271">
        <f t="shared" si="7"/>
        <v>6498</v>
      </c>
      <c r="W31" s="2267">
        <f t="shared" si="8"/>
        <v>0</v>
      </c>
      <c r="AD31" s="2303" t="s">
        <v>1992</v>
      </c>
      <c r="AE31" s="2351"/>
      <c r="AF31" s="2351">
        <v>80993659.046190009</v>
      </c>
      <c r="AG31" s="2351">
        <v>7004339.4199599996</v>
      </c>
      <c r="AH31" s="2351" t="s">
        <v>2034</v>
      </c>
      <c r="AI31" s="2351">
        <v>480000</v>
      </c>
      <c r="AJ31" s="2351">
        <v>7217935</v>
      </c>
      <c r="AK31" s="2351">
        <v>23379996</v>
      </c>
      <c r="AL31" s="2351">
        <v>9627587</v>
      </c>
    </row>
    <row r="32" spans="2:47">
      <c r="B32" s="1415" t="s">
        <v>195</v>
      </c>
      <c r="C32" s="2260"/>
      <c r="D32" s="2265"/>
      <c r="E32" s="2265"/>
      <c r="F32" s="2265"/>
      <c r="G32" s="2264"/>
      <c r="H32" s="2267">
        <f>ROUND(H31*$I32,0)</f>
        <v>511</v>
      </c>
      <c r="I32" s="2266">
        <v>0.21</v>
      </c>
      <c r="O32" s="477" t="s">
        <v>1917</v>
      </c>
      <c r="P32" s="2260" t="s">
        <v>197</v>
      </c>
      <c r="Q32" s="2294">
        <f>1903+938</f>
        <v>2841</v>
      </c>
      <c r="R32" s="2251"/>
      <c r="S32" s="2251">
        <v>-127</v>
      </c>
      <c r="T32" s="2251">
        <v>0</v>
      </c>
      <c r="U32" s="2251"/>
      <c r="V32" s="2271">
        <f t="shared" si="7"/>
        <v>-127</v>
      </c>
      <c r="W32" s="2267">
        <f t="shared" si="8"/>
        <v>2714</v>
      </c>
      <c r="X32" s="3978" t="s">
        <v>1916</v>
      </c>
      <c r="Y32" s="3887"/>
      <c r="AD32" s="2303" t="s">
        <v>1991</v>
      </c>
      <c r="AE32" s="2351"/>
      <c r="AF32" s="2351">
        <v>55549613.811489999</v>
      </c>
      <c r="AG32" s="2351">
        <v>18294954.25451</v>
      </c>
      <c r="AH32" s="2351" t="s">
        <v>2033</v>
      </c>
      <c r="AI32" s="2351">
        <v>640871.58799999999</v>
      </c>
      <c r="AJ32" s="2351">
        <v>7083974</v>
      </c>
      <c r="AK32" s="2351">
        <v>5164136</v>
      </c>
      <c r="AL32" s="2351">
        <v>0</v>
      </c>
    </row>
    <row r="33" spans="2:38" ht="13.5" thickBot="1">
      <c r="B33" s="531" t="s">
        <v>1841</v>
      </c>
      <c r="C33" s="531"/>
      <c r="D33" s="2265"/>
      <c r="E33" s="2265"/>
      <c r="F33" s="2265"/>
      <c r="G33" s="2264"/>
      <c r="H33" s="2263">
        <f>H31-H32</f>
        <v>1922</v>
      </c>
      <c r="O33" s="633" t="s">
        <v>1915</v>
      </c>
      <c r="P33" s="2260" t="s">
        <v>1855</v>
      </c>
      <c r="Q33" s="2271">
        <f>Q34-SUM(Q27:Q32)</f>
        <v>373</v>
      </c>
      <c r="R33" s="2251"/>
      <c r="S33" s="2251"/>
      <c r="T33" s="2251"/>
      <c r="U33" s="2251"/>
      <c r="V33" s="2271">
        <f t="shared" si="7"/>
        <v>0</v>
      </c>
      <c r="W33" s="2267">
        <f t="shared" si="8"/>
        <v>373</v>
      </c>
      <c r="X33" s="3978"/>
      <c r="Y33" s="3887"/>
      <c r="AD33" s="2303" t="s">
        <v>1990</v>
      </c>
      <c r="AE33" s="2351"/>
      <c r="AF33" s="2351">
        <v>0</v>
      </c>
      <c r="AG33" s="2351">
        <v>31380403.08151</v>
      </c>
      <c r="AH33" s="2351"/>
      <c r="AI33" s="2351">
        <v>684750.42000000016</v>
      </c>
      <c r="AJ33" s="2351">
        <v>13394294</v>
      </c>
      <c r="AK33" s="2351">
        <v>0</v>
      </c>
      <c r="AL33" s="2351">
        <v>0</v>
      </c>
    </row>
    <row r="34" spans="2:38" ht="13" thickTop="1">
      <c r="G34" s="2262"/>
      <c r="H34" s="2261"/>
      <c r="O34" s="633" t="s">
        <v>1914</v>
      </c>
      <c r="P34" s="2260" t="s">
        <v>197</v>
      </c>
      <c r="Q34" s="2306">
        <f>42298-5180</f>
        <v>37118</v>
      </c>
      <c r="R34" s="2305">
        <f t="shared" ref="R34:W34" si="9">SUM(R27:R33)</f>
        <v>0</v>
      </c>
      <c r="S34" s="2305">
        <f t="shared" si="9"/>
        <v>-127</v>
      </c>
      <c r="T34" s="2305">
        <f t="shared" si="9"/>
        <v>-33904</v>
      </c>
      <c r="U34" s="2305">
        <f t="shared" si="9"/>
        <v>0</v>
      </c>
      <c r="V34" s="2305">
        <f t="shared" si="9"/>
        <v>-34031</v>
      </c>
      <c r="W34" s="2304">
        <f t="shared" si="9"/>
        <v>3087</v>
      </c>
      <c r="X34" s="3978"/>
      <c r="Y34" s="3887"/>
      <c r="AD34" s="2303" t="s">
        <v>1989</v>
      </c>
      <c r="AE34" s="2351"/>
      <c r="AF34" s="2351">
        <v>0</v>
      </c>
      <c r="AG34" s="2351">
        <v>5263380.6339700008</v>
      </c>
      <c r="AH34" s="2351"/>
      <c r="AI34" s="2351">
        <v>887244.47400021553</v>
      </c>
      <c r="AJ34" s="2351">
        <v>2724881</v>
      </c>
      <c r="AK34" s="2351">
        <v>5714117</v>
      </c>
      <c r="AL34" s="2351">
        <v>0</v>
      </c>
    </row>
    <row r="35" spans="2:38">
      <c r="B35" s="378" t="s">
        <v>1840</v>
      </c>
      <c r="C35" s="378"/>
      <c r="D35" s="199"/>
      <c r="E35" s="199"/>
      <c r="F35" s="199"/>
      <c r="G35" s="199"/>
      <c r="I35" s="199">
        <f>H17</f>
        <v>-89453</v>
      </c>
      <c r="J35" s="477" t="s">
        <v>1555</v>
      </c>
      <c r="O35" s="633" t="s">
        <v>1913</v>
      </c>
      <c r="P35" s="2303" t="s">
        <v>1855</v>
      </c>
      <c r="Q35" s="2278">
        <f t="shared" ref="Q35:W35" si="10">Q26+Q34</f>
        <v>288839</v>
      </c>
      <c r="R35" s="2278">
        <f t="shared" si="10"/>
        <v>-8646</v>
      </c>
      <c r="S35" s="2278">
        <f t="shared" si="10"/>
        <v>-99</v>
      </c>
      <c r="T35" s="2278">
        <f t="shared" si="10"/>
        <v>-60578</v>
      </c>
      <c r="U35" s="2278">
        <f t="shared" si="10"/>
        <v>0</v>
      </c>
      <c r="V35" s="2278">
        <f t="shared" si="10"/>
        <v>-69323</v>
      </c>
      <c r="W35" s="2277">
        <f t="shared" si="10"/>
        <v>219516</v>
      </c>
      <c r="X35" s="3978"/>
      <c r="Y35" s="3887"/>
      <c r="AD35" s="2303" t="s">
        <v>1988</v>
      </c>
      <c r="AE35" s="2351"/>
      <c r="AF35" s="2351">
        <v>0</v>
      </c>
      <c r="AG35" s="2351">
        <v>3945932.3859999999</v>
      </c>
      <c r="AH35" s="2351"/>
      <c r="AI35" s="2351">
        <v>0</v>
      </c>
      <c r="AJ35" s="2351">
        <v>1772268</v>
      </c>
      <c r="AK35" s="2351">
        <v>10047176</v>
      </c>
      <c r="AL35" s="2351">
        <v>0</v>
      </c>
    </row>
    <row r="36" spans="2:38">
      <c r="B36" s="3975" t="s">
        <v>1839</v>
      </c>
      <c r="C36" s="378"/>
      <c r="D36" s="2060"/>
      <c r="E36" s="2260"/>
      <c r="F36" s="2259">
        <f>ROUND(SUM(AK121:AL121)/1000,)</f>
        <v>1659</v>
      </c>
      <c r="I36" s="2258">
        <f>I29</f>
        <v>4.7280160023783213E-2</v>
      </c>
      <c r="J36" s="477" t="s">
        <v>1838</v>
      </c>
      <c r="P36" s="2303"/>
      <c r="Q36" s="199"/>
      <c r="R36" s="199"/>
      <c r="S36" s="199"/>
      <c r="T36" s="199"/>
      <c r="U36" s="199"/>
      <c r="V36" s="199"/>
      <c r="W36" s="2267"/>
      <c r="X36" s="3978"/>
      <c r="Y36" s="3887"/>
      <c r="AE36" s="2385"/>
      <c r="AF36" s="2385"/>
      <c r="AG36" s="2385"/>
      <c r="AH36" s="2385"/>
      <c r="AI36" s="2385"/>
      <c r="AJ36" s="2385"/>
      <c r="AK36" s="2385"/>
      <c r="AL36" s="2385"/>
    </row>
    <row r="37" spans="2:38" ht="13">
      <c r="B37" s="3975"/>
      <c r="C37" s="2257"/>
      <c r="F37" s="2256">
        <f>F15-F36</f>
        <v>3734</v>
      </c>
      <c r="G37" s="2255" t="s">
        <v>1837</v>
      </c>
      <c r="H37" s="2254"/>
      <c r="I37" s="199">
        <f>ROUND(I35*I36,0)</f>
        <v>-4229</v>
      </c>
      <c r="J37" s="477" t="s">
        <v>1836</v>
      </c>
      <c r="O37" s="2274" t="s">
        <v>11</v>
      </c>
      <c r="P37" s="2302"/>
      <c r="Q37" s="199"/>
      <c r="R37" s="199"/>
      <c r="S37" s="199"/>
      <c r="T37" s="199"/>
      <c r="U37" s="199"/>
      <c r="V37" s="2271"/>
      <c r="W37" s="2267"/>
      <c r="AD37" s="2303" t="s">
        <v>1985</v>
      </c>
      <c r="AE37" s="2351">
        <f>SUM(AF37:AL37)</f>
        <v>291251513.11563027</v>
      </c>
      <c r="AF37" s="2351">
        <f t="shared" ref="AF37:AL37" si="11">SUM(AF31:AF35)</f>
        <v>136543272.85768002</v>
      </c>
      <c r="AG37" s="2351">
        <f t="shared" si="11"/>
        <v>65889009.77595</v>
      </c>
      <c r="AH37" s="2351">
        <f t="shared" si="11"/>
        <v>0</v>
      </c>
      <c r="AI37" s="2351">
        <f t="shared" si="11"/>
        <v>2692866.4820002159</v>
      </c>
      <c r="AJ37" s="2351">
        <f t="shared" si="11"/>
        <v>32193352</v>
      </c>
      <c r="AK37" s="2351">
        <f t="shared" si="11"/>
        <v>44305425</v>
      </c>
      <c r="AL37" s="2351">
        <f t="shared" si="11"/>
        <v>9627587</v>
      </c>
    </row>
    <row r="38" spans="2:38">
      <c r="D38" s="2060"/>
      <c r="E38" s="2060"/>
      <c r="I38" s="2252">
        <f>SUM(H26:H28)</f>
        <v>-4230</v>
      </c>
      <c r="J38" s="477" t="s">
        <v>1189</v>
      </c>
      <c r="O38" s="477" t="s">
        <v>1912</v>
      </c>
      <c r="P38" s="2260" t="s">
        <v>1911</v>
      </c>
      <c r="Q38" s="2294">
        <v>8688</v>
      </c>
      <c r="R38" s="2271">
        <f>-Q38</f>
        <v>-8688</v>
      </c>
      <c r="S38" s="2251"/>
      <c r="T38" s="2251"/>
      <c r="U38" s="2251"/>
      <c r="V38" s="2271">
        <f t="shared" ref="V38:V45" si="12">SUM(R38:T38)</f>
        <v>-8688</v>
      </c>
      <c r="W38" s="2267">
        <f t="shared" ref="W38:W45" si="13">Q38+V38</f>
        <v>0</v>
      </c>
      <c r="AD38" s="2303" t="s">
        <v>1986</v>
      </c>
      <c r="AE38" s="2384">
        <f>SUM(AF38:AL38)</f>
        <v>0</v>
      </c>
      <c r="AF38" s="2384">
        <f t="shared" ref="AF38:AL38" si="14">AF15</f>
        <v>0</v>
      </c>
      <c r="AG38" s="2384">
        <f t="shared" si="14"/>
        <v>0</v>
      </c>
      <c r="AH38" s="2384">
        <f t="shared" si="14"/>
        <v>0</v>
      </c>
      <c r="AI38" s="2384">
        <f t="shared" si="14"/>
        <v>0</v>
      </c>
      <c r="AJ38" s="2384">
        <f t="shared" si="14"/>
        <v>0</v>
      </c>
      <c r="AK38" s="2384">
        <f t="shared" si="14"/>
        <v>0</v>
      </c>
      <c r="AL38" s="2384">
        <f t="shared" si="14"/>
        <v>0</v>
      </c>
    </row>
    <row r="39" spans="2:38">
      <c r="I39" s="199">
        <f>I37-I38</f>
        <v>1</v>
      </c>
      <c r="O39" s="477" t="s">
        <v>1849</v>
      </c>
      <c r="P39" s="2260" t="s">
        <v>1896</v>
      </c>
      <c r="Q39" s="2294">
        <f>139821-Q40</f>
        <v>122040</v>
      </c>
      <c r="R39" s="2251"/>
      <c r="S39" s="2251">
        <v>-57</v>
      </c>
      <c r="T39" s="2294">
        <f>-49394-T40</f>
        <v>-31613</v>
      </c>
      <c r="U39" s="2294"/>
      <c r="V39" s="2271">
        <f t="shared" si="12"/>
        <v>-31670</v>
      </c>
      <c r="W39" s="2267">
        <f t="shared" si="13"/>
        <v>90370</v>
      </c>
      <c r="AE39" s="2351"/>
      <c r="AF39" s="2351"/>
      <c r="AG39" s="2351"/>
      <c r="AH39" s="2351"/>
      <c r="AI39" s="2351"/>
      <c r="AJ39" s="2351"/>
      <c r="AK39" s="2351"/>
      <c r="AL39" s="2351"/>
    </row>
    <row r="40" spans="2:38">
      <c r="O40" s="477" t="s">
        <v>1910</v>
      </c>
      <c r="P40" s="2260" t="s">
        <v>1896</v>
      </c>
      <c r="Q40" s="2294">
        <v>17781</v>
      </c>
      <c r="R40" s="2251"/>
      <c r="S40" s="2251"/>
      <c r="T40" s="2271">
        <f>-Q40</f>
        <v>-17781</v>
      </c>
      <c r="U40" s="2271"/>
      <c r="V40" s="2271">
        <f t="shared" si="12"/>
        <v>-17781</v>
      </c>
      <c r="W40" s="2267">
        <f t="shared" si="13"/>
        <v>0</v>
      </c>
      <c r="AD40" s="2303" t="s">
        <v>1985</v>
      </c>
      <c r="AE40" s="2351">
        <f>SUM(AF40:AL40)</f>
        <v>291251513.11563027</v>
      </c>
      <c r="AF40" s="2351">
        <f t="shared" ref="AF40:AL40" si="15">AF37+AF38</f>
        <v>136543272.85768002</v>
      </c>
      <c r="AG40" s="2351">
        <f t="shared" si="15"/>
        <v>65889009.77595</v>
      </c>
      <c r="AH40" s="2351">
        <f t="shared" si="15"/>
        <v>0</v>
      </c>
      <c r="AI40" s="2351">
        <f t="shared" si="15"/>
        <v>2692866.4820002159</v>
      </c>
      <c r="AJ40" s="2351">
        <f t="shared" si="15"/>
        <v>32193352</v>
      </c>
      <c r="AK40" s="2351">
        <f t="shared" si="15"/>
        <v>44305425</v>
      </c>
      <c r="AL40" s="2351">
        <f t="shared" si="15"/>
        <v>9627587</v>
      </c>
    </row>
    <row r="41" spans="2:38">
      <c r="J41" s="2253"/>
      <c r="O41" s="477" t="s">
        <v>1909</v>
      </c>
      <c r="P41" s="2260" t="s">
        <v>197</v>
      </c>
      <c r="Q41" s="2294">
        <v>89</v>
      </c>
      <c r="R41" s="2251"/>
      <c r="S41" s="2251"/>
      <c r="T41" s="2260"/>
      <c r="U41" s="2260"/>
      <c r="V41" s="2271">
        <f t="shared" si="12"/>
        <v>0</v>
      </c>
      <c r="W41" s="2267">
        <f t="shared" si="13"/>
        <v>89</v>
      </c>
      <c r="AD41" s="2303" t="s">
        <v>2032</v>
      </c>
      <c r="AE41" s="2384">
        <f>SUM(AF41:AL41)</f>
        <v>0</v>
      </c>
      <c r="AF41" s="2384">
        <f t="shared" ref="AF41:AL41" si="16">AF18</f>
        <v>0</v>
      </c>
      <c r="AG41" s="2384">
        <f t="shared" si="16"/>
        <v>0</v>
      </c>
      <c r="AH41" s="2384">
        <f t="shared" si="16"/>
        <v>0</v>
      </c>
      <c r="AI41" s="2384">
        <f t="shared" si="16"/>
        <v>0</v>
      </c>
      <c r="AJ41" s="2384">
        <f t="shared" si="16"/>
        <v>0</v>
      </c>
      <c r="AK41" s="2384">
        <f t="shared" si="16"/>
        <v>0</v>
      </c>
      <c r="AL41" s="2384">
        <f t="shared" si="16"/>
        <v>0</v>
      </c>
    </row>
    <row r="42" spans="2:38">
      <c r="J42" s="1197"/>
      <c r="O42" s="477" t="s">
        <v>227</v>
      </c>
      <c r="P42" s="2260" t="s">
        <v>1896</v>
      </c>
      <c r="Q42" s="2294">
        <v>9133</v>
      </c>
      <c r="R42" s="2251"/>
      <c r="S42" s="2251"/>
      <c r="T42" s="2271">
        <f t="shared" ref="T42:T48" si="17">-Q42</f>
        <v>-9133</v>
      </c>
      <c r="U42" s="2271"/>
      <c r="V42" s="2271">
        <f t="shared" si="12"/>
        <v>-9133</v>
      </c>
      <c r="W42" s="2267">
        <f t="shared" si="13"/>
        <v>0</v>
      </c>
      <c r="AE42" s="2351"/>
      <c r="AF42" s="2351"/>
      <c r="AG42" s="2351"/>
      <c r="AH42" s="2351"/>
      <c r="AI42" s="2351"/>
      <c r="AJ42" s="2351"/>
      <c r="AK42" s="2351"/>
      <c r="AL42" s="2351"/>
    </row>
    <row r="43" spans="2:38">
      <c r="G43" s="1415"/>
      <c r="J43" s="199"/>
      <c r="O43" s="477" t="s">
        <v>1908</v>
      </c>
      <c r="P43" s="2260" t="s">
        <v>1896</v>
      </c>
      <c r="Q43" s="2294">
        <v>-344</v>
      </c>
      <c r="R43" s="2251"/>
      <c r="S43" s="2251"/>
      <c r="T43" s="2271">
        <f t="shared" si="17"/>
        <v>344</v>
      </c>
      <c r="U43" s="2271"/>
      <c r="V43" s="2271">
        <f t="shared" si="12"/>
        <v>344</v>
      </c>
      <c r="W43" s="2267">
        <f t="shared" si="13"/>
        <v>0</v>
      </c>
      <c r="AD43" s="2303" t="s">
        <v>2031</v>
      </c>
      <c r="AE43" s="2351">
        <f>SUM(AF43:AL43)</f>
        <v>291251513.11563027</v>
      </c>
      <c r="AF43" s="2351">
        <f t="shared" ref="AF43:AL43" si="18">AF40+AF41</f>
        <v>136543272.85768002</v>
      </c>
      <c r="AG43" s="2351">
        <f t="shared" si="18"/>
        <v>65889009.77595</v>
      </c>
      <c r="AH43" s="2351">
        <f t="shared" si="18"/>
        <v>0</v>
      </c>
      <c r="AI43" s="2351">
        <f t="shared" si="18"/>
        <v>2692866.4820002159</v>
      </c>
      <c r="AJ43" s="2351">
        <f t="shared" si="18"/>
        <v>32193352</v>
      </c>
      <c r="AK43" s="2351">
        <f t="shared" si="18"/>
        <v>44305425</v>
      </c>
      <c r="AL43" s="2351">
        <f t="shared" si="18"/>
        <v>9627587</v>
      </c>
    </row>
    <row r="44" spans="2:38">
      <c r="J44" s="2252"/>
      <c r="O44" s="477" t="s">
        <v>1907</v>
      </c>
      <c r="P44" s="2260" t="s">
        <v>1896</v>
      </c>
      <c r="Q44" s="2294">
        <v>13328</v>
      </c>
      <c r="R44" s="2251"/>
      <c r="S44" s="2251"/>
      <c r="T44" s="2271">
        <f t="shared" si="17"/>
        <v>-13328</v>
      </c>
      <c r="U44" s="2271"/>
      <c r="V44" s="2271">
        <f t="shared" si="12"/>
        <v>-13328</v>
      </c>
      <c r="W44" s="2267">
        <f t="shared" si="13"/>
        <v>0</v>
      </c>
      <c r="AD44" s="2303" t="s">
        <v>2030</v>
      </c>
      <c r="AE44" s="2384">
        <f>SUM(AF44:AL44)</f>
        <v>-379778</v>
      </c>
      <c r="AF44" s="2384">
        <f>AF21</f>
        <v>-436540</v>
      </c>
      <c r="AG44" s="2384">
        <f>AG21+AH21</f>
        <v>56762</v>
      </c>
      <c r="AH44" s="2384"/>
      <c r="AI44" s="2384">
        <f>AI21</f>
        <v>0</v>
      </c>
      <c r="AJ44" s="2384">
        <f>AJ21</f>
        <v>0</v>
      </c>
      <c r="AK44" s="2384">
        <f>AK21</f>
        <v>0</v>
      </c>
      <c r="AL44" s="2384">
        <f>AL21</f>
        <v>0</v>
      </c>
    </row>
    <row r="45" spans="2:38">
      <c r="G45" s="1415"/>
      <c r="J45" s="1197"/>
      <c r="O45" s="477" t="s">
        <v>1906</v>
      </c>
      <c r="P45" s="2260" t="s">
        <v>1896</v>
      </c>
      <c r="Q45" s="2294">
        <v>2</v>
      </c>
      <c r="R45" s="2251"/>
      <c r="S45" s="2251"/>
      <c r="T45" s="2271">
        <f t="shared" si="17"/>
        <v>-2</v>
      </c>
      <c r="U45" s="2271"/>
      <c r="V45" s="2271">
        <f t="shared" si="12"/>
        <v>-2</v>
      </c>
      <c r="W45" s="2267">
        <f t="shared" si="13"/>
        <v>0</v>
      </c>
      <c r="AE45" s="2351"/>
      <c r="AF45" s="2351"/>
      <c r="AG45" s="2351"/>
      <c r="AH45" s="2351"/>
      <c r="AI45" s="2351"/>
      <c r="AJ45" s="2351"/>
      <c r="AK45" s="2351"/>
      <c r="AL45" s="2351"/>
    </row>
    <row r="46" spans="2:38">
      <c r="G46" s="1415"/>
      <c r="O46" s="477" t="s">
        <v>1905</v>
      </c>
      <c r="P46" s="2260" t="s">
        <v>1896</v>
      </c>
      <c r="Q46" s="2294">
        <v>-49</v>
      </c>
      <c r="R46" s="2251"/>
      <c r="S46" s="2251"/>
      <c r="T46" s="2271">
        <f t="shared" si="17"/>
        <v>49</v>
      </c>
      <c r="U46" s="2271"/>
      <c r="V46" s="2271"/>
      <c r="W46" s="2267"/>
      <c r="AD46" s="2303" t="s">
        <v>2029</v>
      </c>
      <c r="AE46" s="2351">
        <f>IF(ROUND(SUM(AE43:AE44),3)&lt;&gt;ROUND(SUM(AF46:AL46),3),#VALUE!,SUM(AF46:AL46))</f>
        <v>290871735.11563027</v>
      </c>
      <c r="AF46" s="2351">
        <f t="shared" ref="AF46:AL46" si="19">AF43+AF44</f>
        <v>136106732.85768002</v>
      </c>
      <c r="AG46" s="2351">
        <f t="shared" si="19"/>
        <v>65945771.77595</v>
      </c>
      <c r="AH46" s="2351">
        <f t="shared" si="19"/>
        <v>0</v>
      </c>
      <c r="AI46" s="2351">
        <f t="shared" si="19"/>
        <v>2692866.4820002159</v>
      </c>
      <c r="AJ46" s="2351">
        <f t="shared" si="19"/>
        <v>32193352</v>
      </c>
      <c r="AK46" s="2351">
        <f t="shared" si="19"/>
        <v>44305425</v>
      </c>
      <c r="AL46" s="2351">
        <f t="shared" si="19"/>
        <v>9627587</v>
      </c>
    </row>
    <row r="47" spans="2:38">
      <c r="G47" s="1415"/>
      <c r="O47" s="477" t="s">
        <v>1904</v>
      </c>
      <c r="P47" s="2260" t="s">
        <v>1896</v>
      </c>
      <c r="Q47" s="2294">
        <v>48</v>
      </c>
      <c r="R47" s="2251"/>
      <c r="S47" s="2251"/>
      <c r="T47" s="2271">
        <f t="shared" si="17"/>
        <v>-48</v>
      </c>
      <c r="U47" s="2271"/>
      <c r="V47" s="2271"/>
      <c r="W47" s="2267"/>
      <c r="AE47" s="2351"/>
      <c r="AF47" s="2351"/>
      <c r="AG47" s="2351"/>
      <c r="AH47" s="2351"/>
      <c r="AI47" s="2351"/>
      <c r="AJ47" s="2351"/>
      <c r="AK47" s="2351"/>
      <c r="AL47" s="2351"/>
    </row>
    <row r="48" spans="2:38">
      <c r="G48" s="1415"/>
      <c r="O48" s="633" t="s">
        <v>1903</v>
      </c>
      <c r="P48" s="2260" t="s">
        <v>1896</v>
      </c>
      <c r="Q48" s="2294">
        <v>0</v>
      </c>
      <c r="R48" s="2251"/>
      <c r="S48" s="2251"/>
      <c r="T48" s="2271">
        <f t="shared" si="17"/>
        <v>0</v>
      </c>
      <c r="U48" s="2271"/>
      <c r="V48" s="2271">
        <f>SUM(R48:T48)</f>
        <v>0</v>
      </c>
      <c r="W48" s="2267">
        <f>Q48+V48</f>
        <v>0</v>
      </c>
      <c r="AD48" s="2303" t="s">
        <v>2028</v>
      </c>
      <c r="AE48" s="2351"/>
      <c r="AF48" s="2351">
        <f t="shared" ref="AF48:AL48" si="20">AF25</f>
        <v>2077306</v>
      </c>
      <c r="AG48" s="2351">
        <f t="shared" si="20"/>
        <v>0</v>
      </c>
      <c r="AH48" s="2351">
        <f t="shared" si="20"/>
        <v>0</v>
      </c>
      <c r="AI48" s="2351">
        <f t="shared" si="20"/>
        <v>48</v>
      </c>
      <c r="AJ48" s="2351">
        <f t="shared" si="20"/>
        <v>420</v>
      </c>
      <c r="AK48" s="2351">
        <f t="shared" si="20"/>
        <v>36</v>
      </c>
      <c r="AL48" s="2351">
        <f t="shared" si="20"/>
        <v>12</v>
      </c>
    </row>
    <row r="49" spans="7:47">
      <c r="G49" s="1415"/>
      <c r="O49" s="477" t="s">
        <v>1846</v>
      </c>
      <c r="P49" s="2260" t="s">
        <v>1902</v>
      </c>
      <c r="Q49" s="2300">
        <f>ROUND(Q$26*$X49,0)</f>
        <v>9648</v>
      </c>
      <c r="R49" s="2301"/>
      <c r="S49" s="2300">
        <f t="shared" ref="S49:U51" si="21">ROUND(S$26*$X49,0)</f>
        <v>1</v>
      </c>
      <c r="T49" s="2300">
        <f t="shared" si="21"/>
        <v>-1022</v>
      </c>
      <c r="U49" s="2300">
        <f t="shared" si="21"/>
        <v>0</v>
      </c>
      <c r="V49" s="2300">
        <f>SUM(R49:T49)</f>
        <v>-1021</v>
      </c>
      <c r="W49" s="2267">
        <f>Q49+V49</f>
        <v>8627</v>
      </c>
      <c r="X49" s="2269">
        <f>'G-3.01 PF Rev Norm'!I26</f>
        <v>3.8329292586308468E-2</v>
      </c>
      <c r="Y49" s="477" t="s">
        <v>1842</v>
      </c>
      <c r="AD49" s="2303" t="s">
        <v>2027</v>
      </c>
      <c r="AE49" s="2351"/>
      <c r="AF49" s="2351">
        <f>AF26</f>
        <v>0</v>
      </c>
      <c r="AG49" s="2351">
        <v>41579</v>
      </c>
      <c r="AH49" s="2351"/>
      <c r="AI49" s="2351"/>
      <c r="AJ49" s="2351"/>
      <c r="AK49" s="2351"/>
      <c r="AL49" s="2351"/>
    </row>
    <row r="50" spans="7:47">
      <c r="O50" s="477" t="s">
        <v>1845</v>
      </c>
      <c r="P50" s="2260" t="s">
        <v>1902</v>
      </c>
      <c r="Q50" s="2300">
        <f>ROUND(Q$26*$X50,0)</f>
        <v>1246</v>
      </c>
      <c r="R50" s="2301"/>
      <c r="S50" s="2300">
        <f t="shared" si="21"/>
        <v>0</v>
      </c>
      <c r="T50" s="2300">
        <f t="shared" si="21"/>
        <v>-132</v>
      </c>
      <c r="U50" s="2300">
        <f t="shared" si="21"/>
        <v>0</v>
      </c>
      <c r="V50" s="2300">
        <f>SUM(R50:T50)</f>
        <v>-132</v>
      </c>
      <c r="W50" s="2267">
        <f>Q50+V50</f>
        <v>1114</v>
      </c>
      <c r="X50" s="2269">
        <f>'G-3.01 PF Rev Norm'!I27</f>
        <v>4.9508674374747468E-3</v>
      </c>
      <c r="Y50" s="477" t="s">
        <v>1844</v>
      </c>
      <c r="AE50" s="2260"/>
      <c r="AF50" s="2383"/>
      <c r="AG50" s="2383">
        <v>2</v>
      </c>
      <c r="AH50" s="2383">
        <v>3</v>
      </c>
      <c r="AI50" s="2383">
        <v>4</v>
      </c>
      <c r="AJ50" s="2383">
        <v>5</v>
      </c>
      <c r="AK50" s="2383">
        <v>6</v>
      </c>
      <c r="AL50" s="2383">
        <v>7</v>
      </c>
    </row>
    <row r="51" spans="7:47">
      <c r="O51" s="477" t="s">
        <v>1843</v>
      </c>
      <c r="P51" s="2260" t="s">
        <v>1902</v>
      </c>
      <c r="Q51" s="2300">
        <f>ROUND(Q$26*$X51,0)</f>
        <v>1007</v>
      </c>
      <c r="R51" s="2301"/>
      <c r="S51" s="2300">
        <f t="shared" si="21"/>
        <v>0</v>
      </c>
      <c r="T51" s="2300">
        <f t="shared" si="21"/>
        <v>-107</v>
      </c>
      <c r="U51" s="2300">
        <f t="shared" si="21"/>
        <v>0</v>
      </c>
      <c r="V51" s="2300">
        <f>SUM(R51:T51)</f>
        <v>-107</v>
      </c>
      <c r="W51" s="2267">
        <f>Q51+V51</f>
        <v>900</v>
      </c>
      <c r="X51" s="2269">
        <f>'G-3.01 PF Rev Norm'!I28</f>
        <v>4.0000000000000001E-3</v>
      </c>
      <c r="Y51" s="477" t="s">
        <v>1842</v>
      </c>
      <c r="AE51" s="2260"/>
      <c r="AF51" s="2382"/>
      <c r="AG51" s="2382"/>
      <c r="AH51" s="2382"/>
      <c r="AI51" s="2382"/>
      <c r="AJ51" s="2382"/>
      <c r="AK51" s="2260"/>
    </row>
    <row r="52" spans="7:47">
      <c r="G52" s="1415"/>
      <c r="O52" s="477" t="s">
        <v>1901</v>
      </c>
      <c r="Q52" s="2282">
        <f t="shared" ref="Q52:V52" si="22">SUM(Q38:Q51)</f>
        <v>182617</v>
      </c>
      <c r="R52" s="2282">
        <f t="shared" si="22"/>
        <v>-8688</v>
      </c>
      <c r="S52" s="2282">
        <f t="shared" si="22"/>
        <v>-56</v>
      </c>
      <c r="T52" s="2282">
        <f t="shared" si="22"/>
        <v>-72773</v>
      </c>
      <c r="U52" s="2282">
        <f t="shared" si="22"/>
        <v>0</v>
      </c>
      <c r="V52" s="2282">
        <f t="shared" si="22"/>
        <v>-81518</v>
      </c>
      <c r="W52" s="2268">
        <f>SUM(W39:W51)</f>
        <v>101100</v>
      </c>
      <c r="X52" s="896">
        <f>SUM(X49:X51)</f>
        <v>4.7280160023783213E-2</v>
      </c>
      <c r="Y52" s="477" t="s">
        <v>1838</v>
      </c>
      <c r="AE52" s="2260"/>
      <c r="AL52" s="2276" t="s">
        <v>2002</v>
      </c>
    </row>
    <row r="53" spans="7:47">
      <c r="G53" s="1415"/>
      <c r="K53" s="911"/>
      <c r="Q53" s="2251"/>
      <c r="R53" s="2251"/>
      <c r="S53" s="2251"/>
      <c r="T53" s="2251"/>
      <c r="U53" s="2251"/>
      <c r="V53" s="2271"/>
      <c r="W53" s="2267"/>
      <c r="X53" s="2299">
        <f>1/(1-X52)</f>
        <v>1.0496265093261452</v>
      </c>
      <c r="Y53" s="633" t="s">
        <v>1900</v>
      </c>
      <c r="AC53" s="2330" t="s">
        <v>1966</v>
      </c>
      <c r="AD53" s="2276"/>
      <c r="AE53" s="2276" t="s">
        <v>110</v>
      </c>
      <c r="AF53" s="2276" t="s">
        <v>2006</v>
      </c>
      <c r="AG53" s="2276" t="s">
        <v>2005</v>
      </c>
      <c r="AH53" s="2276" t="s">
        <v>2004</v>
      </c>
      <c r="AI53" s="2276" t="s">
        <v>2003</v>
      </c>
      <c r="AJ53" s="2276" t="s">
        <v>2002</v>
      </c>
      <c r="AK53" s="2276" t="s">
        <v>2002</v>
      </c>
      <c r="AL53" s="2276" t="s">
        <v>2001</v>
      </c>
      <c r="AM53" s="2276"/>
      <c r="AN53" s="2276"/>
      <c r="AO53" s="2317" t="e">
        <f ca="1">"selected in cell "&amp;CELL("address",Base1_Billing2)&amp;":"</f>
        <v>#N/A</v>
      </c>
      <c r="AP53" s="2276"/>
      <c r="AQ53" s="2276"/>
      <c r="AR53" s="2276"/>
      <c r="AS53" s="2276"/>
      <c r="AT53" s="2276"/>
      <c r="AU53" s="2276"/>
    </row>
    <row r="54" spans="7:47">
      <c r="G54" s="1415"/>
      <c r="O54" s="633" t="s">
        <v>1899</v>
      </c>
      <c r="Q54" s="199">
        <f>Q35-Q52</f>
        <v>106222</v>
      </c>
      <c r="R54" s="199">
        <f>R35-R52</f>
        <v>42</v>
      </c>
      <c r="S54" s="199">
        <f>S35-S52</f>
        <v>-43</v>
      </c>
      <c r="T54" s="199">
        <f>T35-T52</f>
        <v>12195</v>
      </c>
      <c r="U54" s="199">
        <f>U35-U52</f>
        <v>0</v>
      </c>
      <c r="V54" s="2271">
        <f>SUM(R54:U54)</f>
        <v>12194</v>
      </c>
      <c r="W54" s="2298">
        <f>W35-W52</f>
        <v>118416</v>
      </c>
      <c r="AC54" s="2330" t="s">
        <v>1963</v>
      </c>
      <c r="AD54" s="2329"/>
      <c r="AE54" s="2329" t="s">
        <v>198</v>
      </c>
      <c r="AF54" s="2329" t="s">
        <v>1958</v>
      </c>
      <c r="AG54" s="2329" t="s">
        <v>1952</v>
      </c>
      <c r="AH54" s="2329" t="s">
        <v>2000</v>
      </c>
      <c r="AI54" s="2329" t="s">
        <v>1999</v>
      </c>
      <c r="AJ54" s="2329" t="s">
        <v>1998</v>
      </c>
      <c r="AK54" s="2329" t="s">
        <v>1997</v>
      </c>
      <c r="AL54" s="2329" t="s">
        <v>1996</v>
      </c>
      <c r="AM54" s="2276"/>
      <c r="AN54" s="2276"/>
      <c r="AO54" s="2381" t="str">
        <f>AQ10</f>
        <v>Base</v>
      </c>
      <c r="AP54" s="2276"/>
      <c r="AQ54" s="2276"/>
      <c r="AR54" s="2276"/>
      <c r="AS54" s="2276"/>
      <c r="AT54" s="2276"/>
      <c r="AU54" s="2276"/>
    </row>
    <row r="55" spans="7:47">
      <c r="G55" s="199"/>
      <c r="O55" s="378"/>
      <c r="P55" s="378"/>
      <c r="Q55" s="378"/>
      <c r="R55" s="199"/>
      <c r="S55" s="199"/>
      <c r="T55" s="378"/>
      <c r="U55" s="199"/>
      <c r="V55" s="199"/>
      <c r="AD55" s="2354" t="s">
        <v>2026</v>
      </c>
      <c r="AK55" s="2380">
        <v>-1</v>
      </c>
      <c r="AL55" s="2380">
        <v>-2</v>
      </c>
      <c r="AO55" s="2317" t="str">
        <f>"Rates_"&amp;$AO$54&amp;"_Present"</f>
        <v>Rates_Base_Present</v>
      </c>
      <c r="AQ55" s="2379" t="s">
        <v>2025</v>
      </c>
    </row>
    <row r="56" spans="7:47" ht="13">
      <c r="O56" s="2274" t="s">
        <v>1898</v>
      </c>
      <c r="P56" s="378"/>
      <c r="Q56" s="378"/>
      <c r="R56" s="199"/>
      <c r="S56" s="199"/>
      <c r="T56" s="378"/>
      <c r="U56" s="199"/>
      <c r="V56" s="199"/>
      <c r="AC56" s="2377"/>
      <c r="AD56" s="2303" t="s">
        <v>1994</v>
      </c>
      <c r="AF56" s="2376">
        <v>9.5</v>
      </c>
      <c r="AG56" s="2376">
        <v>0</v>
      </c>
      <c r="AH56" s="2376">
        <v>0</v>
      </c>
      <c r="AI56" s="2376">
        <v>0</v>
      </c>
      <c r="AJ56" s="2376">
        <v>700</v>
      </c>
      <c r="AK56" s="2375">
        <v>200</v>
      </c>
      <c r="AL56" s="2375">
        <v>26332</v>
      </c>
      <c r="AM56" s="2372">
        <v>1</v>
      </c>
      <c r="AO56" s="2317" t="str">
        <f>"Rates_"&amp;$AO$54&amp;"_Proposed"</f>
        <v>Rates_Base_Proposed</v>
      </c>
      <c r="AQ56" s="2379" t="s">
        <v>2024</v>
      </c>
    </row>
    <row r="57" spans="7:47">
      <c r="O57" s="633" t="s">
        <v>1561</v>
      </c>
      <c r="P57" s="2260" t="s">
        <v>1896</v>
      </c>
      <c r="Q57" s="2271">
        <f>-T57</f>
        <v>-2560.9499999999998</v>
      </c>
      <c r="R57" s="2271"/>
      <c r="S57" s="2271"/>
      <c r="T57" s="2271">
        <f>T54*0.21</f>
        <v>2560.9499999999998</v>
      </c>
      <c r="U57" s="2271"/>
      <c r="V57" s="2271"/>
      <c r="AC57" s="2377"/>
      <c r="AD57" s="2303" t="s">
        <v>1993</v>
      </c>
      <c r="AF57" s="2376">
        <v>0</v>
      </c>
      <c r="AG57" s="2376">
        <v>130.58000000000001</v>
      </c>
      <c r="AH57" s="2376">
        <v>0</v>
      </c>
      <c r="AI57" s="2376">
        <v>0</v>
      </c>
      <c r="AJ57" s="2378"/>
      <c r="AK57" s="2375">
        <v>0</v>
      </c>
      <c r="AL57" s="2375">
        <v>0</v>
      </c>
      <c r="AM57" s="2372">
        <v>2</v>
      </c>
    </row>
    <row r="58" spans="7:47">
      <c r="G58" s="1415"/>
      <c r="O58" s="633" t="s">
        <v>1897</v>
      </c>
      <c r="P58" s="2260" t="s">
        <v>1896</v>
      </c>
      <c r="Q58" s="2297">
        <f>-6685-2941</f>
        <v>-9626</v>
      </c>
      <c r="R58" s="2296"/>
      <c r="S58" s="2296"/>
      <c r="T58" s="2295">
        <f>-Q58</f>
        <v>9626</v>
      </c>
      <c r="U58" s="2295"/>
      <c r="V58" s="2271"/>
      <c r="AK58" s="2374"/>
      <c r="AL58" s="2374"/>
    </row>
    <row r="59" spans="7:47">
      <c r="G59" s="1415"/>
      <c r="P59" s="2260"/>
      <c r="Q59" s="2294"/>
      <c r="R59" s="2251"/>
      <c r="S59" s="2251"/>
      <c r="T59" s="2271">
        <f>T58+T57</f>
        <v>12186.95</v>
      </c>
      <c r="U59" s="2271"/>
      <c r="V59" s="2271"/>
      <c r="AC59" s="2377"/>
      <c r="AD59" s="2303" t="s">
        <v>2021</v>
      </c>
      <c r="AF59" s="2371">
        <v>50.668999999999997</v>
      </c>
      <c r="AG59" s="2371">
        <v>0</v>
      </c>
      <c r="AH59" s="2371">
        <v>0</v>
      </c>
      <c r="AI59" s="2371">
        <v>30.317</v>
      </c>
      <c r="AJ59" s="2371">
        <v>12.43</v>
      </c>
      <c r="AK59" s="2373">
        <v>2.8</v>
      </c>
      <c r="AL59" s="2373">
        <v>1</v>
      </c>
      <c r="AM59" s="2372">
        <v>3</v>
      </c>
    </row>
    <row r="60" spans="7:47">
      <c r="P60" s="2260"/>
      <c r="Q60" s="2294"/>
      <c r="R60" s="2251"/>
      <c r="S60" s="2251"/>
      <c r="T60" s="2271"/>
      <c r="U60" s="2271"/>
      <c r="V60" s="2271"/>
      <c r="AC60" s="2377"/>
      <c r="AD60" s="2303" t="s">
        <v>2020</v>
      </c>
      <c r="AF60" s="2371">
        <v>65.852999999999994</v>
      </c>
      <c r="AG60" s="2371">
        <v>38.764000000000003</v>
      </c>
      <c r="AH60" s="2371">
        <v>0</v>
      </c>
      <c r="AI60" s="2371">
        <v>24.337</v>
      </c>
      <c r="AJ60" s="2371">
        <v>11.058</v>
      </c>
      <c r="AK60" s="2373">
        <v>4.5</v>
      </c>
      <c r="AL60" s="2373">
        <v>0</v>
      </c>
      <c r="AM60" s="2372">
        <v>4</v>
      </c>
    </row>
    <row r="61" spans="7:47">
      <c r="O61" s="477" t="s">
        <v>1841</v>
      </c>
      <c r="T61" s="199">
        <f>T54-T59</f>
        <v>8.0499999999992724</v>
      </c>
      <c r="V61" s="2271"/>
      <c r="AC61" s="2377"/>
      <c r="AD61" s="2303" t="s">
        <v>2019</v>
      </c>
      <c r="AF61" s="2371">
        <v>0</v>
      </c>
      <c r="AG61" s="2371">
        <v>29.547000000000001</v>
      </c>
      <c r="AH61" s="2371">
        <v>0</v>
      </c>
      <c r="AI61" s="2371">
        <v>22.869</v>
      </c>
      <c r="AJ61" s="2371">
        <v>9.9710000000000001</v>
      </c>
      <c r="AK61" s="2373"/>
      <c r="AL61" s="2373">
        <v>0</v>
      </c>
      <c r="AM61" s="2372">
        <v>5</v>
      </c>
    </row>
    <row r="62" spans="7:47">
      <c r="T62" s="199"/>
      <c r="V62" s="2271"/>
      <c r="AC62" s="2377"/>
      <c r="AD62" s="2303" t="s">
        <v>2018</v>
      </c>
      <c r="AF62" s="2371">
        <v>0</v>
      </c>
      <c r="AG62" s="2371">
        <v>25.210999999999999</v>
      </c>
      <c r="AH62" s="2371">
        <v>0</v>
      </c>
      <c r="AI62" s="2371">
        <v>20.433</v>
      </c>
      <c r="AJ62" s="2371">
        <v>9.2210000000000001</v>
      </c>
      <c r="AK62" s="2373">
        <v>2.5</v>
      </c>
      <c r="AL62" s="2373">
        <v>0</v>
      </c>
      <c r="AM62" s="2372">
        <v>6</v>
      </c>
    </row>
    <row r="63" spans="7:47">
      <c r="O63" s="633" t="s">
        <v>1895</v>
      </c>
      <c r="V63" s="2271"/>
      <c r="AC63" s="2377"/>
      <c r="AD63" s="2303" t="s">
        <v>2017</v>
      </c>
      <c r="AF63" s="2371">
        <v>0</v>
      </c>
      <c r="AG63" s="2371">
        <v>17.686</v>
      </c>
      <c r="AH63" s="2371">
        <v>0</v>
      </c>
      <c r="AI63" s="2371">
        <v>0</v>
      </c>
      <c r="AJ63" s="2371">
        <v>6.93</v>
      </c>
      <c r="AK63" s="2373">
        <v>2.0910000000000002</v>
      </c>
      <c r="AL63" s="2373">
        <v>0</v>
      </c>
      <c r="AM63" s="2372">
        <v>7</v>
      </c>
    </row>
    <row r="64" spans="7:47">
      <c r="S64" s="867" t="s">
        <v>1894</v>
      </c>
      <c r="T64" s="2060"/>
      <c r="U64" s="2060"/>
      <c r="AF64" s="2371"/>
      <c r="AG64" s="2371"/>
      <c r="AH64" s="2371"/>
      <c r="AI64" s="2371"/>
      <c r="AJ64" s="2371"/>
      <c r="AK64" s="2371"/>
      <c r="AL64" s="2371"/>
    </row>
    <row r="65" spans="6:39">
      <c r="AD65" s="2303" t="s">
        <v>2016</v>
      </c>
      <c r="AF65" s="2371">
        <v>56.846274924802486</v>
      </c>
      <c r="AG65" s="2371">
        <v>27.908527268096844</v>
      </c>
      <c r="AH65" s="2371"/>
      <c r="AI65" s="2371">
        <v>23.743351342287188</v>
      </c>
      <c r="AJ65" s="2371">
        <v>10.530620297010387</v>
      </c>
      <c r="AK65" s="2371"/>
      <c r="AL65" s="2371"/>
    </row>
    <row r="66" spans="6:39">
      <c r="O66" s="477" t="s">
        <v>1893</v>
      </c>
      <c r="S66" s="2293">
        <v>261694309</v>
      </c>
      <c r="AF66" s="2318"/>
      <c r="AG66" s="2318"/>
      <c r="AH66" s="2318"/>
      <c r="AI66" s="2318"/>
      <c r="AJ66" s="2318"/>
      <c r="AK66" s="2318"/>
      <c r="AL66" s="2318"/>
    </row>
    <row r="67" spans="6:39">
      <c r="O67" s="477" t="s">
        <v>1892</v>
      </c>
      <c r="S67" s="2293"/>
      <c r="AC67" s="2303"/>
    </row>
    <row r="68" spans="6:39">
      <c r="I68" s="867"/>
      <c r="O68" s="1415" t="s">
        <v>213</v>
      </c>
      <c r="P68" s="1415"/>
      <c r="S68" s="2293">
        <v>88066</v>
      </c>
      <c r="AC68" s="2303"/>
    </row>
    <row r="69" spans="6:39">
      <c r="O69" s="1415" t="s">
        <v>1891</v>
      </c>
      <c r="P69" s="1415"/>
      <c r="S69" s="2293">
        <v>7633</v>
      </c>
      <c r="AC69" s="2303"/>
    </row>
    <row r="70" spans="6:39">
      <c r="I70" s="2251"/>
      <c r="O70" s="1415" t="s">
        <v>220</v>
      </c>
      <c r="P70" s="1415"/>
      <c r="S70" s="2293">
        <v>2428</v>
      </c>
      <c r="Y70" s="2253"/>
      <c r="AF70" s="2318"/>
      <c r="AG70" s="2318"/>
      <c r="AH70" s="2318"/>
      <c r="AI70" s="2318"/>
      <c r="AJ70" s="2318"/>
      <c r="AK70" s="2318"/>
      <c r="AL70" s="2318"/>
    </row>
    <row r="71" spans="6:39">
      <c r="I71" s="2251"/>
      <c r="O71" s="1415" t="s">
        <v>1890</v>
      </c>
      <c r="P71" s="1415"/>
      <c r="S71" s="2293">
        <v>96364261</v>
      </c>
      <c r="Y71" s="1197"/>
      <c r="AF71" s="2318"/>
      <c r="AG71" s="2318"/>
      <c r="AH71" s="2318"/>
      <c r="AI71" s="2318"/>
      <c r="AJ71" s="2318"/>
      <c r="AK71" s="2318"/>
      <c r="AL71" s="2318"/>
    </row>
    <row r="72" spans="6:39">
      <c r="I72" s="2251"/>
      <c r="O72" s="1415" t="s">
        <v>221</v>
      </c>
      <c r="P72" s="1415"/>
      <c r="S72" s="2293">
        <v>8713935</v>
      </c>
      <c r="Y72" s="199"/>
      <c r="AF72" s="2318"/>
      <c r="AG72" s="2318"/>
      <c r="AH72" s="2318"/>
      <c r="AI72" s="2318"/>
      <c r="AJ72" s="2318"/>
      <c r="AK72" s="2318"/>
      <c r="AL72" s="2318"/>
    </row>
    <row r="73" spans="6:39">
      <c r="G73" s="1415"/>
      <c r="I73" s="2251"/>
      <c r="O73" s="477" t="s">
        <v>998</v>
      </c>
      <c r="S73" s="2278">
        <f>S66-SUM(S68:S72)</f>
        <v>156517986</v>
      </c>
      <c r="Y73" s="2252"/>
      <c r="AD73" s="2354" t="s">
        <v>2023</v>
      </c>
      <c r="AK73" s="2326"/>
      <c r="AL73" s="2326"/>
    </row>
    <row r="74" spans="6:39">
      <c r="G74" s="199"/>
      <c r="I74" s="2251"/>
      <c r="S74" s="199"/>
      <c r="Y74" s="1197"/>
      <c r="AD74" s="2303" t="s">
        <v>1994</v>
      </c>
      <c r="AF74" s="2376">
        <v>9.5</v>
      </c>
      <c r="AG74" s="2376">
        <v>0</v>
      </c>
      <c r="AH74" s="2376">
        <v>0</v>
      </c>
      <c r="AI74" s="2376">
        <v>0</v>
      </c>
      <c r="AJ74" s="2376">
        <v>700</v>
      </c>
      <c r="AK74" s="2375">
        <v>200</v>
      </c>
      <c r="AL74" s="2375">
        <v>26332</v>
      </c>
      <c r="AM74" s="2372">
        <v>1</v>
      </c>
    </row>
    <row r="75" spans="6:39">
      <c r="I75" s="2251"/>
      <c r="O75" s="477" t="s">
        <v>1889</v>
      </c>
      <c r="S75" s="2293">
        <f>156212088</f>
        <v>156212088</v>
      </c>
      <c r="AD75" s="2303" t="s">
        <v>2022</v>
      </c>
      <c r="AF75" s="2376">
        <v>0</v>
      </c>
      <c r="AG75" s="2376">
        <v>130.58000000000001</v>
      </c>
      <c r="AH75" s="2376">
        <v>0</v>
      </c>
      <c r="AI75" s="2376">
        <v>0</v>
      </c>
      <c r="AJ75" s="2376">
        <v>0</v>
      </c>
      <c r="AK75" s="2375">
        <v>0</v>
      </c>
      <c r="AL75" s="2375">
        <v>0</v>
      </c>
      <c r="AM75" s="2372">
        <v>2</v>
      </c>
    </row>
    <row r="76" spans="6:39">
      <c r="F76" s="199"/>
      <c r="I76" s="2251"/>
      <c r="O76" s="1415" t="s">
        <v>1888</v>
      </c>
      <c r="P76" s="1415"/>
      <c r="S76" s="199">
        <f>S69</f>
        <v>7633</v>
      </c>
      <c r="T76" s="633"/>
      <c r="U76" s="633"/>
      <c r="AK76" s="2374"/>
      <c r="AL76" s="2374"/>
    </row>
    <row r="77" spans="6:39">
      <c r="F77" s="199"/>
      <c r="I77" s="199"/>
      <c r="O77" s="1415" t="s">
        <v>1887</v>
      </c>
      <c r="P77" s="1415"/>
      <c r="S77" s="2293">
        <f>26132*12</f>
        <v>313584</v>
      </c>
      <c r="T77" s="2251"/>
      <c r="U77" s="2251"/>
      <c r="AD77" s="2303" t="s">
        <v>2021</v>
      </c>
      <c r="AF77" s="2371">
        <v>50.668999999999997</v>
      </c>
      <c r="AG77" s="2371">
        <v>0</v>
      </c>
      <c r="AH77" s="2371">
        <v>0</v>
      </c>
      <c r="AI77" s="2371">
        <v>30.317</v>
      </c>
      <c r="AJ77" s="2371">
        <v>12.43</v>
      </c>
      <c r="AK77" s="2373">
        <v>2.8</v>
      </c>
      <c r="AL77" s="2373">
        <v>1</v>
      </c>
      <c r="AM77" s="2372">
        <v>3</v>
      </c>
    </row>
    <row r="78" spans="6:39">
      <c r="F78" s="199"/>
      <c r="I78" s="199"/>
      <c r="O78" s="477" t="s">
        <v>998</v>
      </c>
      <c r="S78" s="2278">
        <f>S75-S76+S77</f>
        <v>156518039</v>
      </c>
      <c r="AD78" s="2303" t="s">
        <v>2020</v>
      </c>
      <c r="AF78" s="2371">
        <v>65.852999999999994</v>
      </c>
      <c r="AG78" s="2371">
        <v>38.764000000000003</v>
      </c>
      <c r="AH78" s="2371">
        <v>0</v>
      </c>
      <c r="AI78" s="2371">
        <v>24.337</v>
      </c>
      <c r="AJ78" s="2371">
        <v>11.058</v>
      </c>
      <c r="AK78" s="2373">
        <v>4.5</v>
      </c>
      <c r="AL78" s="2373">
        <v>0</v>
      </c>
      <c r="AM78" s="2372">
        <v>4</v>
      </c>
    </row>
    <row r="79" spans="6:39">
      <c r="F79" s="199"/>
      <c r="I79" s="2251"/>
      <c r="S79" s="199">
        <f>S78-S73</f>
        <v>53</v>
      </c>
      <c r="AD79" s="2303" t="s">
        <v>2019</v>
      </c>
      <c r="AF79" s="2371">
        <v>0</v>
      </c>
      <c r="AG79" s="2371">
        <v>29.547000000000001</v>
      </c>
      <c r="AH79" s="2371">
        <v>0</v>
      </c>
      <c r="AI79" s="2371">
        <v>22.869</v>
      </c>
      <c r="AJ79" s="2371">
        <v>9.9710000000000001</v>
      </c>
      <c r="AK79" s="2373"/>
      <c r="AL79" s="2373">
        <v>0</v>
      </c>
      <c r="AM79" s="2372">
        <v>5</v>
      </c>
    </row>
    <row r="80" spans="6:39">
      <c r="F80" s="199"/>
      <c r="I80" s="199"/>
      <c r="S80" s="199"/>
      <c r="AD80" s="2303" t="s">
        <v>2018</v>
      </c>
      <c r="AF80" s="2371">
        <v>0</v>
      </c>
      <c r="AG80" s="2371">
        <v>25.210999999999999</v>
      </c>
      <c r="AH80" s="2371">
        <v>0</v>
      </c>
      <c r="AI80" s="2371">
        <v>20.433</v>
      </c>
      <c r="AJ80" s="2371">
        <v>9.2210000000000001</v>
      </c>
      <c r="AK80" s="2373">
        <v>2.5</v>
      </c>
      <c r="AL80" s="2373">
        <v>0</v>
      </c>
      <c r="AM80" s="2372">
        <v>6</v>
      </c>
    </row>
    <row r="81" spans="6:39">
      <c r="F81" s="199"/>
      <c r="I81" s="2251"/>
      <c r="O81" s="477" t="s">
        <v>1886</v>
      </c>
      <c r="S81" s="2293">
        <f>-(3207892-8371+2426338)</f>
        <v>-5625859</v>
      </c>
      <c r="AD81" s="2303" t="s">
        <v>2017</v>
      </c>
      <c r="AF81" s="2371">
        <v>0</v>
      </c>
      <c r="AG81" s="2371">
        <v>17.686</v>
      </c>
      <c r="AH81" s="2371">
        <v>0</v>
      </c>
      <c r="AI81" s="2371">
        <v>0</v>
      </c>
      <c r="AJ81" s="2371">
        <v>6.93</v>
      </c>
      <c r="AK81" s="2373">
        <v>2.0910000000000002</v>
      </c>
      <c r="AL81" s="2373">
        <v>0</v>
      </c>
      <c r="AM81" s="2372">
        <v>7</v>
      </c>
    </row>
    <row r="82" spans="6:39">
      <c r="F82" s="199"/>
      <c r="I82" s="199"/>
      <c r="O82" s="477" t="s">
        <v>1885</v>
      </c>
      <c r="S82" s="2293">
        <f>-(-79734+3133)</f>
        <v>76601</v>
      </c>
      <c r="AF82" s="2371"/>
      <c r="AG82" s="2371"/>
      <c r="AH82" s="2371"/>
      <c r="AI82" s="2371"/>
      <c r="AJ82" s="2371"/>
      <c r="AK82" s="2370"/>
      <c r="AL82" s="2370"/>
    </row>
    <row r="83" spans="6:39">
      <c r="I83" s="199"/>
      <c r="O83" s="477" t="s">
        <v>1872</v>
      </c>
      <c r="S83" s="2278">
        <f>SUM(S78:S82)</f>
        <v>150968834</v>
      </c>
      <c r="AD83" s="2303" t="s">
        <v>2016</v>
      </c>
      <c r="AF83" s="2371">
        <v>56.846274924802486</v>
      </c>
      <c r="AG83" s="2371">
        <v>27.908527268096844</v>
      </c>
      <c r="AH83" s="2371"/>
      <c r="AI83" s="2371">
        <v>23.743351342287188</v>
      </c>
      <c r="AJ83" s="2371">
        <v>10.530620297010387</v>
      </c>
      <c r="AK83" s="2370"/>
      <c r="AL83" s="2370"/>
    </row>
    <row r="84" spans="6:39">
      <c r="I84" s="199"/>
      <c r="S84" s="199"/>
      <c r="AF84" s="2318"/>
      <c r="AG84" s="2318"/>
      <c r="AH84" s="2318"/>
      <c r="AI84" s="2318"/>
      <c r="AJ84" s="2318"/>
      <c r="AK84" s="2357"/>
      <c r="AL84" s="2357"/>
    </row>
    <row r="85" spans="6:39">
      <c r="I85" s="2251"/>
      <c r="O85" s="477" t="s">
        <v>1884</v>
      </c>
      <c r="S85" s="199"/>
      <c r="AC85" s="2303"/>
    </row>
    <row r="86" spans="6:39">
      <c r="I86" s="2251"/>
      <c r="O86" s="1415" t="s">
        <v>1883</v>
      </c>
      <c r="P86" s="1415"/>
      <c r="S86" s="2293">
        <f>59964740.48+48000501.79</f>
        <v>107965242.27</v>
      </c>
      <c r="AC86" s="2303"/>
      <c r="AD86" s="2333"/>
    </row>
    <row r="87" spans="6:39">
      <c r="I87" s="199"/>
      <c r="O87" s="1415" t="s">
        <v>1882</v>
      </c>
      <c r="P87" s="1415"/>
      <c r="S87" s="2293">
        <f>20135647.48+14450863.77</f>
        <v>34586511.25</v>
      </c>
      <c r="AD87" s="2326" t="s">
        <v>2015</v>
      </c>
      <c r="AE87" s="2326"/>
      <c r="AF87" s="2357"/>
      <c r="AG87" s="2357"/>
      <c r="AH87" s="2318"/>
      <c r="AI87" s="2318"/>
      <c r="AJ87" s="2318"/>
      <c r="AK87" s="2318"/>
      <c r="AL87" s="2318"/>
    </row>
    <row r="88" spans="6:39">
      <c r="I88" s="199"/>
      <c r="O88" s="1415" t="s">
        <v>1881</v>
      </c>
      <c r="P88" s="1415"/>
      <c r="S88" s="2293">
        <v>0</v>
      </c>
      <c r="AD88" s="2326" t="s">
        <v>2014</v>
      </c>
      <c r="AE88" s="2326"/>
      <c r="AF88" s="2357"/>
      <c r="AG88" s="2357"/>
      <c r="AH88" s="2318"/>
      <c r="AI88" s="2318"/>
      <c r="AJ88" s="2318"/>
      <c r="AK88" s="2318"/>
      <c r="AL88" s="2318"/>
    </row>
    <row r="89" spans="6:39">
      <c r="I89" s="199"/>
      <c r="O89" s="1415" t="s">
        <v>1880</v>
      </c>
      <c r="P89" s="1415"/>
      <c r="S89" s="2293">
        <f>2156259.82+1280529.46</f>
        <v>3436789.28</v>
      </c>
      <c r="AD89" s="2326"/>
      <c r="AE89" s="2326"/>
      <c r="AF89" s="2357"/>
      <c r="AG89" s="2357"/>
      <c r="AH89" s="2318"/>
      <c r="AI89" s="2318"/>
      <c r="AJ89" s="2318"/>
      <c r="AK89" s="2318"/>
      <c r="AL89" s="2318"/>
    </row>
    <row r="90" spans="6:39">
      <c r="I90" s="2251"/>
      <c r="J90" s="199"/>
      <c r="O90" s="1415" t="s">
        <v>1879</v>
      </c>
      <c r="P90" s="1415"/>
      <c r="S90" s="2293">
        <f>249328.84+125566.33</f>
        <v>374895.17</v>
      </c>
      <c r="AD90" s="2326" t="s">
        <v>2013</v>
      </c>
      <c r="AE90" s="2326"/>
      <c r="AF90" s="2357"/>
      <c r="AG90" s="2357"/>
      <c r="AH90" s="2318"/>
      <c r="AI90" s="2318"/>
      <c r="AJ90" s="2318"/>
      <c r="AK90" s="2318"/>
      <c r="AL90" s="2318"/>
    </row>
    <row r="91" spans="6:39">
      <c r="I91" s="2251"/>
      <c r="J91" s="199"/>
      <c r="O91" s="1415" t="s">
        <v>1878</v>
      </c>
      <c r="P91" s="1415"/>
      <c r="S91" s="2293">
        <v>0</v>
      </c>
      <c r="AD91" s="2326" t="s">
        <v>2012</v>
      </c>
      <c r="AE91" s="2326"/>
      <c r="AF91" s="2357"/>
      <c r="AG91" s="2357"/>
      <c r="AH91" s="2318"/>
      <c r="AI91" s="2318"/>
      <c r="AJ91" s="2318"/>
      <c r="AK91" s="2318"/>
      <c r="AL91" s="2318"/>
    </row>
    <row r="92" spans="6:39">
      <c r="I92" s="2251"/>
      <c r="J92" s="199"/>
      <c r="O92" s="1415" t="s">
        <v>1877</v>
      </c>
      <c r="P92" s="1415"/>
      <c r="S92" s="2293">
        <f>392692.4+204339.49</f>
        <v>597031.89</v>
      </c>
      <c r="AD92" s="2326"/>
      <c r="AE92" s="2326"/>
      <c r="AF92" s="2357"/>
      <c r="AG92" s="2357"/>
      <c r="AH92" s="2318"/>
      <c r="AI92" s="2318"/>
      <c r="AJ92" s="2318"/>
      <c r="AK92" s="2318"/>
      <c r="AL92" s="2318"/>
    </row>
    <row r="93" spans="6:39">
      <c r="I93" s="2251"/>
      <c r="J93" s="199"/>
      <c r="O93" s="1415" t="s">
        <v>1876</v>
      </c>
      <c r="P93" s="1415"/>
      <c r="S93" s="2293">
        <f>1589710.31+831802.98</f>
        <v>2421513.29</v>
      </c>
      <c r="AD93" s="2326" t="s">
        <v>2011</v>
      </c>
      <c r="AE93" s="2326"/>
      <c r="AF93" s="2357"/>
      <c r="AG93" s="2357"/>
      <c r="AH93" s="2318"/>
      <c r="AI93" s="2318"/>
      <c r="AJ93" s="2318"/>
      <c r="AK93" s="2318"/>
      <c r="AL93" s="2318"/>
    </row>
    <row r="94" spans="6:39">
      <c r="I94" s="2251"/>
      <c r="J94" s="199"/>
      <c r="O94" s="1415" t="s">
        <v>1875</v>
      </c>
      <c r="P94" s="1415"/>
      <c r="S94" s="2293">
        <f>40151.06+8529.32</f>
        <v>48680.38</v>
      </c>
      <c r="X94" s="867"/>
    </row>
    <row r="95" spans="6:39">
      <c r="I95" s="2251"/>
      <c r="J95" s="199"/>
      <c r="O95" s="1415" t="s">
        <v>1874</v>
      </c>
      <c r="P95" s="1415"/>
      <c r="S95" s="2293">
        <f>795013.28+429526.89</f>
        <v>1224540.17</v>
      </c>
    </row>
    <row r="96" spans="6:39">
      <c r="I96" s="2251"/>
      <c r="J96" s="199"/>
      <c r="O96" s="1415" t="s">
        <v>1873</v>
      </c>
      <c r="P96" s="1415"/>
      <c r="S96" s="2293">
        <v>313584</v>
      </c>
      <c r="T96" s="2251"/>
      <c r="U96" s="2251"/>
      <c r="X96" s="2251"/>
    </row>
    <row r="97" spans="9:47">
      <c r="I97" s="2251"/>
      <c r="J97" s="199"/>
      <c r="O97" s="477" t="s">
        <v>1872</v>
      </c>
      <c r="S97" s="2278">
        <f>SUM(S86:S96)</f>
        <v>150968787.69999993</v>
      </c>
      <c r="X97" s="2251"/>
      <c r="AD97" s="2333" t="s">
        <v>2049</v>
      </c>
    </row>
    <row r="98" spans="9:47">
      <c r="I98" s="2251"/>
      <c r="J98" s="199"/>
      <c r="S98" s="199">
        <f>S97-S83</f>
        <v>-46.300000071525574</v>
      </c>
      <c r="X98" s="2251"/>
    </row>
    <row r="99" spans="9:47">
      <c r="I99" s="2251"/>
      <c r="J99" s="199"/>
      <c r="T99" s="199"/>
      <c r="X99" s="2251"/>
    </row>
    <row r="100" spans="9:47">
      <c r="I100" s="199"/>
      <c r="J100" s="199"/>
      <c r="V100" s="1415"/>
      <c r="X100" s="2251"/>
    </row>
    <row r="101" spans="9:47">
      <c r="I101" s="199"/>
      <c r="V101" s="1415"/>
      <c r="X101" s="2251"/>
      <c r="AL101" s="2276" t="s">
        <v>2002</v>
      </c>
    </row>
    <row r="102" spans="9:47">
      <c r="I102" s="199"/>
      <c r="V102" s="1415"/>
      <c r="X102" s="2251"/>
      <c r="AC102" s="2330" t="s">
        <v>1966</v>
      </c>
      <c r="AD102" s="2276"/>
      <c r="AE102" s="2276" t="s">
        <v>110</v>
      </c>
      <c r="AF102" s="2276" t="s">
        <v>2006</v>
      </c>
      <c r="AG102" s="2276" t="s">
        <v>2005</v>
      </c>
      <c r="AH102" s="2276" t="s">
        <v>2004</v>
      </c>
      <c r="AI102" s="2276" t="s">
        <v>2003</v>
      </c>
      <c r="AJ102" s="2276" t="s">
        <v>2002</v>
      </c>
      <c r="AK102" s="2276" t="s">
        <v>2002</v>
      </c>
      <c r="AL102" s="2276" t="s">
        <v>2001</v>
      </c>
      <c r="AM102" s="2276"/>
      <c r="AN102" s="2276"/>
      <c r="AO102" s="2276"/>
      <c r="AP102" s="2276"/>
      <c r="AQ102" s="2276"/>
      <c r="AR102" s="2276"/>
      <c r="AS102" s="2276"/>
      <c r="AT102" s="2276"/>
      <c r="AU102" s="2276"/>
    </row>
    <row r="103" spans="9:47">
      <c r="I103" s="199"/>
      <c r="X103" s="199"/>
      <c r="AC103" s="2330" t="s">
        <v>1963</v>
      </c>
      <c r="AD103" s="2329"/>
      <c r="AE103" s="2329" t="s">
        <v>198</v>
      </c>
      <c r="AF103" s="2329" t="s">
        <v>1958</v>
      </c>
      <c r="AG103" s="2329" t="s">
        <v>1952</v>
      </c>
      <c r="AH103" s="2329" t="s">
        <v>2000</v>
      </c>
      <c r="AI103" s="2329" t="s">
        <v>1999</v>
      </c>
      <c r="AJ103" s="2329" t="s">
        <v>1998</v>
      </c>
      <c r="AK103" s="2329" t="s">
        <v>1997</v>
      </c>
      <c r="AL103" s="2329" t="s">
        <v>1996</v>
      </c>
      <c r="AM103" s="2276"/>
      <c r="AN103" s="2276"/>
      <c r="AO103" s="2276"/>
      <c r="AP103" s="2276"/>
      <c r="AQ103" s="2276"/>
      <c r="AR103" s="2276"/>
      <c r="AS103" s="2276"/>
      <c r="AT103" s="2276"/>
      <c r="AU103" s="2276"/>
    </row>
    <row r="104" spans="9:47">
      <c r="I104" s="199"/>
      <c r="X104" s="199"/>
      <c r="AD104" s="2354" t="s">
        <v>2010</v>
      </c>
      <c r="AE104" s="2319"/>
      <c r="AF104" s="2319"/>
      <c r="AG104" s="2319"/>
      <c r="AH104" s="2319"/>
      <c r="AI104" s="2319"/>
      <c r="AJ104" s="2319"/>
      <c r="AK104" s="2319"/>
      <c r="AL104" s="2319"/>
    </row>
    <row r="105" spans="9:47">
      <c r="V105" s="1415"/>
      <c r="X105" s="2251"/>
      <c r="AD105" s="2303" t="s">
        <v>2050</v>
      </c>
      <c r="AE105" s="2319"/>
      <c r="AF105" s="2319"/>
      <c r="AG105" s="2319"/>
      <c r="AH105" s="2319"/>
      <c r="AI105" s="2319"/>
      <c r="AJ105" s="2319"/>
      <c r="AK105" s="2319"/>
      <c r="AL105" s="2319"/>
    </row>
    <row r="106" spans="9:47">
      <c r="V106" s="1415"/>
      <c r="X106" s="199"/>
      <c r="AD106" s="2307" t="s">
        <v>1994</v>
      </c>
      <c r="AE106" s="2348">
        <f t="shared" ref="AE106:AE113" si="23">SUM(AF106:AL106)</f>
        <v>20351591</v>
      </c>
      <c r="AF106" s="2353">
        <f t="shared" ref="AF106:AL106" si="24">AF25*AF56</f>
        <v>19734407</v>
      </c>
      <c r="AG106" s="2353">
        <f t="shared" si="24"/>
        <v>0</v>
      </c>
      <c r="AH106" s="2353">
        <f t="shared" si="24"/>
        <v>0</v>
      </c>
      <c r="AI106" s="2353">
        <f t="shared" si="24"/>
        <v>0</v>
      </c>
      <c r="AJ106" s="2353">
        <f t="shared" si="24"/>
        <v>294000</v>
      </c>
      <c r="AK106" s="2353">
        <f t="shared" si="24"/>
        <v>7200</v>
      </c>
      <c r="AL106" s="2353">
        <f t="shared" si="24"/>
        <v>315984</v>
      </c>
    </row>
    <row r="107" spans="9:47">
      <c r="V107" s="1415"/>
      <c r="X107" s="2251"/>
      <c r="AD107" s="2307" t="s">
        <v>1993</v>
      </c>
      <c r="AE107" s="2352">
        <f t="shared" si="23"/>
        <v>5479044.5334999999</v>
      </c>
      <c r="AF107" s="2351">
        <f>AF26*AF57</f>
        <v>0</v>
      </c>
      <c r="AG107" s="2351">
        <f>AG26*AG57</f>
        <v>5429385.8200000003</v>
      </c>
      <c r="AH107" s="2351">
        <f>AH26*AH57</f>
        <v>0</v>
      </c>
      <c r="AI107" s="2351">
        <f>AI26*AI57</f>
        <v>0</v>
      </c>
      <c r="AJ107" s="2351">
        <v>49658.713499999998</v>
      </c>
      <c r="AK107" s="2351">
        <f>AK26*AK57</f>
        <v>0</v>
      </c>
      <c r="AL107" s="2351">
        <f>AL26*AL57</f>
        <v>0</v>
      </c>
    </row>
    <row r="108" spans="9:47">
      <c r="V108" s="199"/>
      <c r="X108" s="199"/>
      <c r="AD108" s="2307" t="s">
        <v>1992</v>
      </c>
      <c r="AE108" s="2352">
        <f t="shared" si="23"/>
        <v>42832303.780000001</v>
      </c>
      <c r="AF108" s="2351">
        <f t="shared" ref="AF108:AL112" si="25">ROUND(AF8*AF59/100,2)</f>
        <v>41038677.100000001</v>
      </c>
      <c r="AG108" s="2351">
        <f t="shared" si="25"/>
        <v>0</v>
      </c>
      <c r="AH108" s="2351">
        <f t="shared" si="25"/>
        <v>0</v>
      </c>
      <c r="AI108" s="2351">
        <f t="shared" si="25"/>
        <v>145521.60000000001</v>
      </c>
      <c r="AJ108" s="2351">
        <f t="shared" si="25"/>
        <v>897189.32</v>
      </c>
      <c r="AK108" s="2351">
        <f t="shared" si="25"/>
        <v>654639.89</v>
      </c>
      <c r="AL108" s="2351">
        <f t="shared" si="25"/>
        <v>96275.87</v>
      </c>
    </row>
    <row r="109" spans="9:47">
      <c r="X109" s="199"/>
      <c r="AD109" s="2307" t="s">
        <v>1991</v>
      </c>
      <c r="AE109" s="2352">
        <f t="shared" si="23"/>
        <v>44844644.130000003</v>
      </c>
      <c r="AF109" s="2351">
        <f t="shared" si="25"/>
        <v>36581087.18</v>
      </c>
      <c r="AG109" s="2351">
        <f t="shared" si="25"/>
        <v>7091856.0700000003</v>
      </c>
      <c r="AH109" s="2351">
        <f t="shared" si="25"/>
        <v>0</v>
      </c>
      <c r="AI109" s="2351">
        <f t="shared" si="25"/>
        <v>155968.92000000001</v>
      </c>
      <c r="AJ109" s="2351">
        <f t="shared" si="25"/>
        <v>783345.84</v>
      </c>
      <c r="AK109" s="2351">
        <f t="shared" si="25"/>
        <v>232386.12</v>
      </c>
      <c r="AL109" s="2351">
        <f t="shared" si="25"/>
        <v>0</v>
      </c>
    </row>
    <row r="110" spans="9:47">
      <c r="X110" s="199"/>
      <c r="AD110" s="2307" t="s">
        <v>1990</v>
      </c>
      <c r="AE110" s="2352">
        <f t="shared" si="23"/>
        <v>10764108.32</v>
      </c>
      <c r="AF110" s="2351">
        <f t="shared" si="25"/>
        <v>0</v>
      </c>
      <c r="AG110" s="2351">
        <f t="shared" si="25"/>
        <v>9271967.6999999993</v>
      </c>
      <c r="AH110" s="2351">
        <f t="shared" si="25"/>
        <v>0</v>
      </c>
      <c r="AI110" s="2351">
        <f t="shared" si="25"/>
        <v>156595.57</v>
      </c>
      <c r="AJ110" s="2351">
        <f t="shared" si="25"/>
        <v>1335545.05</v>
      </c>
      <c r="AK110" s="2351">
        <f t="shared" si="25"/>
        <v>0</v>
      </c>
      <c r="AL110" s="2351">
        <f t="shared" si="25"/>
        <v>0</v>
      </c>
    </row>
    <row r="111" spans="9:47">
      <c r="V111" s="1415"/>
      <c r="X111" s="2251"/>
      <c r="AD111" s="2307" t="s">
        <v>1989</v>
      </c>
      <c r="AE111" s="2352">
        <f t="shared" si="23"/>
        <v>1902355.7599999998</v>
      </c>
      <c r="AF111" s="2351">
        <f t="shared" si="25"/>
        <v>0</v>
      </c>
      <c r="AG111" s="2351">
        <f t="shared" si="25"/>
        <v>1326950.8899999999</v>
      </c>
      <c r="AH111" s="2351">
        <f t="shared" si="25"/>
        <v>0</v>
      </c>
      <c r="AI111" s="2351">
        <f t="shared" si="25"/>
        <v>181290.66</v>
      </c>
      <c r="AJ111" s="2351">
        <f t="shared" si="25"/>
        <v>251261.28</v>
      </c>
      <c r="AK111" s="2351">
        <f t="shared" si="25"/>
        <v>142852.93</v>
      </c>
      <c r="AL111" s="2351">
        <f t="shared" si="25"/>
        <v>0</v>
      </c>
    </row>
    <row r="112" spans="9:47">
      <c r="V112" s="1415"/>
      <c r="X112" s="2251"/>
      <c r="AD112" s="2307" t="s">
        <v>1988</v>
      </c>
      <c r="AE112" s="2352">
        <f t="shared" si="23"/>
        <v>1030782.22</v>
      </c>
      <c r="AF112" s="2351">
        <f t="shared" si="25"/>
        <v>0</v>
      </c>
      <c r="AG112" s="2351">
        <f t="shared" si="25"/>
        <v>697877.6</v>
      </c>
      <c r="AH112" s="2351">
        <f t="shared" si="25"/>
        <v>0</v>
      </c>
      <c r="AI112" s="2351">
        <f t="shared" si="25"/>
        <v>0</v>
      </c>
      <c r="AJ112" s="2351">
        <f t="shared" si="25"/>
        <v>122818.17</v>
      </c>
      <c r="AK112" s="2351">
        <f t="shared" si="25"/>
        <v>210086.45</v>
      </c>
      <c r="AL112" s="2351">
        <f t="shared" si="25"/>
        <v>0</v>
      </c>
    </row>
    <row r="113" spans="22:47">
      <c r="X113" s="199"/>
      <c r="AD113" s="2307" t="s">
        <v>1987</v>
      </c>
      <c r="AE113" s="2352">
        <f t="shared" si="23"/>
        <v>0</v>
      </c>
      <c r="AF113" s="2351"/>
      <c r="AG113" s="2351"/>
      <c r="AH113" s="2351"/>
      <c r="AI113" s="2351"/>
      <c r="AJ113" s="2351"/>
      <c r="AK113" s="2351"/>
      <c r="AL113" s="2351">
        <v>0</v>
      </c>
    </row>
    <row r="114" spans="22:47">
      <c r="X114" s="199"/>
      <c r="AC114" s="2303"/>
      <c r="AE114" s="2321"/>
      <c r="AF114" s="2321"/>
      <c r="AG114" s="2321"/>
      <c r="AH114" s="2321"/>
      <c r="AI114" s="2321"/>
      <c r="AJ114" s="2325"/>
      <c r="AK114" s="2321"/>
      <c r="AL114" s="2325"/>
    </row>
    <row r="115" spans="22:47">
      <c r="X115" s="199"/>
      <c r="AD115" s="2303" t="s">
        <v>1985</v>
      </c>
      <c r="AE115" s="2369">
        <f>IF(ROUND(SUM(AF115:AL115),3)&lt;&gt;ROUND(SUM(AE106:AE113),3),#VALUE!,SUM(AF115:AL115))</f>
        <v>127204829.74350001</v>
      </c>
      <c r="AF115" s="2319">
        <f t="shared" ref="AF115:AL115" si="26">SUM(AF106:AF113)</f>
        <v>97354171.280000001</v>
      </c>
      <c r="AG115" s="2319">
        <f t="shared" si="26"/>
        <v>23818038.080000002</v>
      </c>
      <c r="AH115" s="2319">
        <f t="shared" si="26"/>
        <v>0</v>
      </c>
      <c r="AI115" s="2319">
        <f t="shared" si="26"/>
        <v>639376.75</v>
      </c>
      <c r="AJ115" s="2368">
        <f t="shared" si="26"/>
        <v>3733818.3734999993</v>
      </c>
      <c r="AK115" s="2368">
        <f t="shared" si="26"/>
        <v>1247165.3899999999</v>
      </c>
      <c r="AL115" s="2368">
        <f t="shared" si="26"/>
        <v>412259.87</v>
      </c>
    </row>
    <row r="116" spans="22:47">
      <c r="X116" s="2251"/>
      <c r="AC116" s="2303"/>
      <c r="AD116" s="2303" t="s">
        <v>1986</v>
      </c>
      <c r="AE116" s="2349"/>
      <c r="AF116" s="2338"/>
      <c r="AG116" s="2338"/>
      <c r="AH116" s="2338"/>
      <c r="AI116" s="2338"/>
      <c r="AJ116" s="2338"/>
      <c r="AK116" s="2338"/>
      <c r="AL116" s="2338"/>
    </row>
    <row r="117" spans="22:47">
      <c r="X117" s="2251"/>
      <c r="AE117" s="2348"/>
      <c r="AF117" s="2319"/>
      <c r="AG117" s="2319"/>
      <c r="AH117" s="2319"/>
      <c r="AI117" s="2319"/>
      <c r="AJ117" s="2319"/>
      <c r="AK117" s="2319"/>
      <c r="AL117" s="2319"/>
    </row>
    <row r="118" spans="22:47">
      <c r="X118" s="2251"/>
      <c r="AD118" s="2303" t="s">
        <v>1985</v>
      </c>
      <c r="AE118" s="2348">
        <f>SUM(AF118:AL118)</f>
        <v>127204829.74350001</v>
      </c>
      <c r="AF118" s="2319">
        <f t="shared" ref="AF118:AL118" si="27">AF115+AF116</f>
        <v>97354171.280000001</v>
      </c>
      <c r="AG118" s="2319">
        <f t="shared" si="27"/>
        <v>23818038.080000002</v>
      </c>
      <c r="AH118" s="2319">
        <f t="shared" si="27"/>
        <v>0</v>
      </c>
      <c r="AI118" s="2319">
        <f t="shared" si="27"/>
        <v>639376.75</v>
      </c>
      <c r="AJ118" s="2319">
        <f t="shared" si="27"/>
        <v>3733818.3734999993</v>
      </c>
      <c r="AK118" s="2319">
        <f t="shared" si="27"/>
        <v>1247165.3899999999</v>
      </c>
      <c r="AL118" s="2319">
        <f t="shared" si="27"/>
        <v>412259.87</v>
      </c>
    </row>
    <row r="119" spans="22:47">
      <c r="X119" s="2251"/>
      <c r="Y119" s="199"/>
      <c r="AD119" s="2303" t="s">
        <v>1984</v>
      </c>
      <c r="AE119" s="2367">
        <f>SUM(AF119:AL119)</f>
        <v>0</v>
      </c>
      <c r="AF119" s="2320">
        <f>ROUND(AF18*AF65/100,2)</f>
        <v>0</v>
      </c>
      <c r="AG119" s="2320">
        <f>ROUND(AG18*AG65/100,2)</f>
        <v>0</v>
      </c>
      <c r="AH119" s="2320"/>
      <c r="AI119" s="2320">
        <f>ROUND(AI18*AI65/100,2)</f>
        <v>0</v>
      </c>
      <c r="AJ119" s="2320">
        <f>ROUND(AJ18*AJ65/100,2)</f>
        <v>0</v>
      </c>
      <c r="AK119" s="2320">
        <f>ROUND(AK18*AK65/100,2)</f>
        <v>0</v>
      </c>
      <c r="AL119" s="2320">
        <f>ROUND(AL18*AL65/100,2)</f>
        <v>0</v>
      </c>
    </row>
    <row r="120" spans="22:47">
      <c r="X120" s="2251"/>
      <c r="Y120" s="199"/>
      <c r="AE120" s="2350"/>
      <c r="AF120" s="2325"/>
      <c r="AG120" s="2325"/>
      <c r="AH120" s="2325"/>
      <c r="AI120" s="2325"/>
      <c r="AJ120" s="2325"/>
      <c r="AK120" s="2325"/>
      <c r="AL120" s="2325"/>
    </row>
    <row r="121" spans="22:47">
      <c r="X121" s="2251"/>
      <c r="Y121" s="199"/>
      <c r="AD121" s="2317" t="s">
        <v>2051</v>
      </c>
      <c r="AE121" s="2348">
        <f>IF(ROUND(AE118+AE119,3)&lt;&gt;ROUND(SUM(AF121:AL121),3),#VALUE!,SUM(AF121:AL121))</f>
        <v>127204829.74350001</v>
      </c>
      <c r="AF121" s="2319">
        <f t="shared" ref="AF121:AL121" si="28">AF118+AF119</f>
        <v>97354171.280000001</v>
      </c>
      <c r="AG121" s="2319">
        <f t="shared" si="28"/>
        <v>23818038.080000002</v>
      </c>
      <c r="AH121" s="2319">
        <f t="shared" si="28"/>
        <v>0</v>
      </c>
      <c r="AI121" s="2319">
        <f t="shared" si="28"/>
        <v>639376.75</v>
      </c>
      <c r="AJ121" s="2319">
        <f t="shared" si="28"/>
        <v>3733818.3734999993</v>
      </c>
      <c r="AK121" s="2319">
        <f t="shared" si="28"/>
        <v>1247165.3899999999</v>
      </c>
      <c r="AL121" s="2319">
        <f t="shared" si="28"/>
        <v>412259.87</v>
      </c>
    </row>
    <row r="122" spans="22:47">
      <c r="X122" s="2251"/>
      <c r="Y122" s="199"/>
    </row>
    <row r="123" spans="22:47">
      <c r="X123" s="2251"/>
      <c r="Y123" s="199"/>
    </row>
    <row r="124" spans="22:47">
      <c r="X124" s="2251"/>
      <c r="Y124" s="199"/>
      <c r="AD124" s="2317" t="s">
        <v>1983</v>
      </c>
      <c r="AE124" s="2319"/>
      <c r="AF124" s="2319"/>
      <c r="AG124" s="2319"/>
      <c r="AH124" s="2319"/>
      <c r="AI124" s="2319"/>
      <c r="AJ124" s="2319"/>
      <c r="AK124" s="2319"/>
      <c r="AL124" s="2319"/>
    </row>
    <row r="125" spans="22:47">
      <c r="X125" s="2251"/>
      <c r="Y125" s="199"/>
      <c r="AD125" s="2346" t="s">
        <v>1982</v>
      </c>
      <c r="AE125" s="2319"/>
      <c r="AF125" s="2319"/>
      <c r="AG125" s="2319"/>
      <c r="AH125" s="2319"/>
      <c r="AI125" s="2319"/>
      <c r="AJ125" s="2319"/>
      <c r="AK125" s="2319"/>
      <c r="AL125" s="2319"/>
    </row>
    <row r="126" spans="22:47">
      <c r="V126" s="1415"/>
      <c r="X126" s="199"/>
      <c r="Y126" s="199"/>
      <c r="AD126" s="2345" t="s">
        <v>2009</v>
      </c>
      <c r="AE126" s="2363">
        <f>SUM(AF126:AL126)</f>
        <v>-543151</v>
      </c>
      <c r="AF126" s="2366">
        <v>-480676</v>
      </c>
      <c r="AG126" s="2366">
        <v>-62475</v>
      </c>
      <c r="AH126" s="2366"/>
      <c r="AI126" s="2365"/>
      <c r="AJ126" s="2365"/>
      <c r="AK126" s="2260"/>
      <c r="AL126" s="2260"/>
      <c r="AM126" s="2260"/>
      <c r="AN126" s="2260"/>
      <c r="AO126" s="2260"/>
      <c r="AP126" s="2260"/>
      <c r="AQ126" s="2260"/>
      <c r="AR126" s="2260"/>
      <c r="AS126" s="2260"/>
      <c r="AT126" s="2260"/>
      <c r="AU126" s="2260"/>
    </row>
    <row r="127" spans="22:47">
      <c r="V127" s="199"/>
      <c r="X127" s="199"/>
      <c r="Y127" s="199"/>
      <c r="AD127" s="2344" t="s">
        <v>2008</v>
      </c>
      <c r="AE127" s="2348"/>
      <c r="AF127" s="2318">
        <f>AF65</f>
        <v>56.846274924802486</v>
      </c>
      <c r="AG127" s="2318">
        <f>AG65</f>
        <v>27.908527268096844</v>
      </c>
      <c r="AH127" s="2318"/>
      <c r="AI127" s="2318"/>
      <c r="AJ127" s="2318">
        <f>AJ65</f>
        <v>10.530620297010387</v>
      </c>
      <c r="AK127" s="2318"/>
      <c r="AL127" s="2318"/>
      <c r="AM127" s="2318"/>
      <c r="AN127" s="2318"/>
      <c r="AO127" s="2318"/>
      <c r="AP127" s="2318"/>
      <c r="AQ127" s="2318"/>
      <c r="AR127" s="2318"/>
      <c r="AS127" s="2318"/>
      <c r="AT127" s="2318"/>
      <c r="AU127" s="2318"/>
    </row>
    <row r="128" spans="22:47">
      <c r="X128" s="199"/>
      <c r="Y128" s="199"/>
      <c r="AD128" s="2340" t="s">
        <v>2007</v>
      </c>
      <c r="AE128" s="2355">
        <f>SUM(AF128:AL128)</f>
        <v>-290682.25</v>
      </c>
      <c r="AF128" s="2325">
        <f>ROUND(AF126*AF127/100,2)</f>
        <v>-273246.40000000002</v>
      </c>
      <c r="AG128" s="2325">
        <f>ROUND(AG126*AG127/100,2)</f>
        <v>-17435.849999999999</v>
      </c>
      <c r="AH128" s="2325">
        <f>ROUND(AH126*AH127/100,2)</f>
        <v>0</v>
      </c>
      <c r="AI128" s="2325"/>
      <c r="AJ128" s="2325"/>
      <c r="AK128" s="2325"/>
      <c r="AL128" s="2325"/>
      <c r="AM128" s="2319"/>
      <c r="AN128" s="2319"/>
      <c r="AO128" s="2319"/>
      <c r="AP128" s="2319"/>
      <c r="AQ128" s="2319"/>
      <c r="AR128" s="2319"/>
      <c r="AS128" s="2319"/>
      <c r="AT128" s="2319"/>
      <c r="AU128" s="2319"/>
    </row>
    <row r="129" spans="24:47">
      <c r="X129" s="199"/>
      <c r="Y129" s="199"/>
      <c r="AD129" s="2340"/>
      <c r="AE129" s="2355"/>
      <c r="AF129" s="2319"/>
      <c r="AG129" s="2319"/>
      <c r="AH129" s="2319"/>
      <c r="AI129" s="2319"/>
      <c r="AJ129" s="2319"/>
      <c r="AK129" s="2319"/>
      <c r="AL129" s="2319"/>
      <c r="AM129" s="2319"/>
      <c r="AN129" s="2319"/>
      <c r="AO129" s="2319"/>
      <c r="AP129" s="2319"/>
      <c r="AQ129" s="2319"/>
      <c r="AR129" s="2319"/>
      <c r="AS129" s="2319"/>
      <c r="AT129" s="2319"/>
      <c r="AU129" s="2319"/>
    </row>
    <row r="130" spans="24:47">
      <c r="X130" s="199"/>
      <c r="AD130" s="2345" t="s">
        <v>1975</v>
      </c>
      <c r="AE130" s="2363">
        <f>SUM(AF130:AL130)</f>
        <v>0</v>
      </c>
      <c r="AF130" s="2364">
        <v>0</v>
      </c>
      <c r="AG130" s="2364">
        <v>0</v>
      </c>
      <c r="AH130" s="2359"/>
      <c r="AI130" s="2260"/>
      <c r="AJ130" s="2260"/>
      <c r="AK130" s="2260"/>
      <c r="AL130" s="2260"/>
      <c r="AM130" s="2260"/>
      <c r="AN130" s="2260"/>
      <c r="AO130" s="2260"/>
      <c r="AP130" s="2260"/>
      <c r="AQ130" s="2260"/>
      <c r="AR130" s="2260"/>
      <c r="AS130" s="2260"/>
      <c r="AT130" s="2260"/>
      <c r="AU130" s="2260"/>
    </row>
    <row r="131" spans="24:47">
      <c r="AD131" s="2344" t="s">
        <v>1974</v>
      </c>
      <c r="AE131" s="2355"/>
      <c r="AF131" s="2318">
        <f>AF59</f>
        <v>50.668999999999997</v>
      </c>
      <c r="AG131" s="2318">
        <f>AK232</f>
        <v>0</v>
      </c>
      <c r="AH131" s="2318"/>
      <c r="AI131" s="2318"/>
      <c r="AJ131" s="2318"/>
      <c r="AK131" s="2318"/>
      <c r="AL131" s="2318"/>
      <c r="AM131" s="2318"/>
      <c r="AN131" s="2318"/>
      <c r="AO131" s="2318"/>
      <c r="AP131" s="2318"/>
      <c r="AQ131" s="2318"/>
      <c r="AR131" s="2318"/>
      <c r="AS131" s="2318"/>
      <c r="AT131" s="2318"/>
      <c r="AU131" s="2318"/>
    </row>
    <row r="132" spans="24:47">
      <c r="AD132" s="2340" t="s">
        <v>1973</v>
      </c>
      <c r="AE132" s="2355">
        <f>SUM(AF132:AL132)</f>
        <v>0</v>
      </c>
      <c r="AF132" s="2325">
        <f>ROUND(AF130*AF131/100,2)</f>
        <v>0</v>
      </c>
      <c r="AG132" s="2325">
        <f>ROUND(AG130*AG131/100,2)</f>
        <v>0</v>
      </c>
      <c r="AH132" s="2325"/>
      <c r="AI132" s="2325"/>
      <c r="AJ132" s="2325"/>
      <c r="AK132" s="2321"/>
      <c r="AL132" s="2325"/>
      <c r="AM132" s="2319"/>
      <c r="AN132" s="2319"/>
      <c r="AO132" s="2319"/>
      <c r="AP132" s="2319"/>
      <c r="AQ132" s="2319"/>
      <c r="AR132" s="2319"/>
      <c r="AS132" s="2319"/>
      <c r="AT132" s="2319"/>
      <c r="AU132" s="2319"/>
    </row>
    <row r="133" spans="24:47">
      <c r="AD133" s="2340"/>
      <c r="AE133" s="2355"/>
      <c r="AF133" s="2319"/>
      <c r="AG133" s="2319"/>
      <c r="AH133" s="2319"/>
      <c r="AI133" s="2319"/>
      <c r="AJ133" s="2319"/>
      <c r="AL133" s="2319"/>
      <c r="AM133" s="2319"/>
      <c r="AN133" s="2319"/>
      <c r="AO133" s="2319"/>
      <c r="AP133" s="2319"/>
      <c r="AQ133" s="2319"/>
      <c r="AR133" s="2319"/>
      <c r="AS133" s="2319"/>
      <c r="AT133" s="2319"/>
      <c r="AU133" s="2319"/>
    </row>
    <row r="134" spans="24:47">
      <c r="AD134" s="2345" t="s">
        <v>1978</v>
      </c>
      <c r="AE134" s="2363">
        <f>IF(ROUND(SUM(AF134:AL134),3)&lt;&gt;ROUND(AE126+AE130,3),#VALUE!,SUM(AF134:AL134))</f>
        <v>-543151</v>
      </c>
      <c r="AF134" s="2363">
        <f>AF126+AF130</f>
        <v>-480676</v>
      </c>
      <c r="AG134" s="2363">
        <f>AG126+AG130</f>
        <v>-62475</v>
      </c>
      <c r="AH134" s="2320">
        <f>AH126+AH130</f>
        <v>0</v>
      </c>
      <c r="AI134" s="2320"/>
      <c r="AJ134" s="2320"/>
      <c r="AK134" s="2320"/>
      <c r="AL134" s="2320"/>
      <c r="AM134" s="2260"/>
      <c r="AN134" s="2260"/>
      <c r="AO134" s="2260"/>
      <c r="AP134" s="2260"/>
      <c r="AQ134" s="2260"/>
      <c r="AR134" s="2260"/>
      <c r="AS134" s="2260"/>
      <c r="AT134" s="2260"/>
      <c r="AU134" s="2260"/>
    </row>
    <row r="135" spans="24:47">
      <c r="AD135" s="2340" t="s">
        <v>1977</v>
      </c>
      <c r="AE135" s="2355">
        <f>IF(ROUND(SUM(AF135:AL135),3)&lt;&gt;ROUND(AE128+AE132,3),#VALUE!,SUM(AF135:AL135))</f>
        <v>-290682.25</v>
      </c>
      <c r="AF135" s="2319">
        <f>AF128+AF132</f>
        <v>-273246.40000000002</v>
      </c>
      <c r="AG135" s="2319">
        <f>AG128+AG132</f>
        <v>-17435.849999999999</v>
      </c>
      <c r="AH135" s="2319"/>
      <c r="AI135" s="2319"/>
      <c r="AJ135" s="2319"/>
      <c r="AK135" s="2319"/>
      <c r="AL135" s="2319"/>
      <c r="AM135" s="2319"/>
      <c r="AN135" s="2319"/>
      <c r="AO135" s="2319"/>
      <c r="AP135" s="2319"/>
      <c r="AQ135" s="2319"/>
      <c r="AR135" s="2319"/>
      <c r="AS135" s="2319"/>
      <c r="AT135" s="2319"/>
      <c r="AU135" s="2319"/>
    </row>
    <row r="136" spans="24:47">
      <c r="AD136" s="2346" t="s">
        <v>1976</v>
      </c>
      <c r="AE136" s="2355"/>
      <c r="AF136" s="2319"/>
      <c r="AG136" s="2319"/>
      <c r="AH136" s="2319"/>
      <c r="AI136" s="2319"/>
      <c r="AJ136" s="2319"/>
      <c r="AK136" s="2319"/>
      <c r="AL136" s="2319"/>
    </row>
    <row r="137" spans="24:47">
      <c r="AD137" s="2362" t="s">
        <v>1975</v>
      </c>
      <c r="AE137" s="2361">
        <f>SUM(AF137:AL137)</f>
        <v>163373</v>
      </c>
      <c r="AF137" s="2360">
        <v>44136</v>
      </c>
      <c r="AG137" s="2360">
        <v>119237</v>
      </c>
      <c r="AH137" s="2359"/>
      <c r="AI137" s="2358"/>
      <c r="AJ137" s="2320"/>
      <c r="AK137" s="2260"/>
      <c r="AL137" s="2260"/>
      <c r="AM137" s="2260"/>
      <c r="AN137" s="2260"/>
      <c r="AO137" s="2260"/>
      <c r="AP137" s="2260"/>
      <c r="AQ137" s="2260"/>
      <c r="AR137" s="2260"/>
      <c r="AS137" s="2260"/>
      <c r="AT137" s="2260"/>
      <c r="AU137" s="2260"/>
    </row>
    <row r="138" spans="24:47">
      <c r="AD138" s="2344" t="s">
        <v>1974</v>
      </c>
      <c r="AE138" s="2355"/>
      <c r="AF138" s="2357">
        <f>AF60</f>
        <v>65.852999999999994</v>
      </c>
      <c r="AG138" s="2357">
        <f>AG65</f>
        <v>27.908527268096844</v>
      </c>
      <c r="AH138" s="2318"/>
      <c r="AI138" s="2318"/>
      <c r="AJ138" s="2318"/>
      <c r="AK138" s="2318"/>
      <c r="AL138" s="2318"/>
      <c r="AM138" s="2318"/>
      <c r="AN138" s="2318"/>
      <c r="AO138" s="2318"/>
      <c r="AP138" s="2318"/>
      <c r="AQ138" s="2318"/>
      <c r="AR138" s="2318"/>
      <c r="AS138" s="2318"/>
      <c r="AT138" s="2318"/>
      <c r="AU138" s="2318"/>
    </row>
    <row r="139" spans="24:47">
      <c r="AD139" s="2340" t="s">
        <v>1973</v>
      </c>
      <c r="AE139" s="2355">
        <f>SUM(AF139:AL139)</f>
        <v>62342.17</v>
      </c>
      <c r="AF139" s="2325">
        <f>ROUND(AF137*AF138/100,2)</f>
        <v>29064.880000000001</v>
      </c>
      <c r="AG139" s="2325">
        <f>ROUND(AG137*AG138/100,2)</f>
        <v>33277.29</v>
      </c>
      <c r="AH139" s="2325">
        <f>ROUND(AH137*AH138/100,2)</f>
        <v>0</v>
      </c>
      <c r="AI139" s="2325"/>
      <c r="AJ139" s="2325"/>
      <c r="AK139" s="2325"/>
      <c r="AL139" s="2325"/>
      <c r="AM139" s="2319"/>
      <c r="AN139" s="2319"/>
      <c r="AO139" s="2319"/>
      <c r="AP139" s="2319"/>
      <c r="AQ139" s="2319"/>
      <c r="AR139" s="2319"/>
      <c r="AS139" s="2319"/>
      <c r="AT139" s="2319"/>
      <c r="AU139" s="2319"/>
    </row>
    <row r="140" spans="24:47">
      <c r="AD140" s="2340" t="s">
        <v>1972</v>
      </c>
      <c r="AE140" s="2356"/>
      <c r="AF140" s="2337"/>
      <c r="AG140" s="2337"/>
      <c r="AH140" s="2337"/>
      <c r="AI140" s="2337"/>
      <c r="AJ140" s="2337"/>
      <c r="AK140" s="2337"/>
      <c r="AL140" s="2337"/>
      <c r="AM140" s="2319"/>
      <c r="AN140" s="2319"/>
      <c r="AO140" s="2319"/>
      <c r="AP140" s="2319"/>
      <c r="AQ140" s="2319"/>
      <c r="AR140" s="2319"/>
      <c r="AS140" s="2319"/>
      <c r="AT140" s="2319"/>
      <c r="AU140" s="2319"/>
    </row>
    <row r="141" spans="24:47">
      <c r="AE141" s="2355"/>
      <c r="AF141" s="2319"/>
      <c r="AG141" s="2319"/>
      <c r="AH141" s="2319"/>
      <c r="AI141" s="2319"/>
      <c r="AJ141" s="2319"/>
      <c r="AK141" s="2319"/>
      <c r="AL141" s="2319"/>
    </row>
    <row r="142" spans="24:47">
      <c r="AD142" s="2303" t="s">
        <v>1971</v>
      </c>
      <c r="AE142" s="2355">
        <f>IF(ROUND(SUM(AF142:AL142),3)&lt;&gt;ROUND(AE135+AE139+AE140,3),#VALUE!,SUM(AF142:AL142))</f>
        <v>-228340.08000000002</v>
      </c>
      <c r="AF142" s="2319">
        <f>AF135+AF139+AF140</f>
        <v>-244181.52000000002</v>
      </c>
      <c r="AG142" s="2319">
        <f>AG135+AG139+AG140</f>
        <v>15841.440000000002</v>
      </c>
      <c r="AH142" s="2319"/>
      <c r="AI142" s="2319">
        <f>AI135+AI139+AI140</f>
        <v>0</v>
      </c>
      <c r="AJ142" s="2319">
        <f>AJ135+AJ139+AJ140</f>
        <v>0</v>
      </c>
      <c r="AK142" s="2319">
        <f>AK135+AK139+AK140</f>
        <v>0</v>
      </c>
      <c r="AL142" s="2319">
        <f>AL135+AL139+AL140</f>
        <v>0</v>
      </c>
    </row>
    <row r="143" spans="24:47">
      <c r="AD143" s="2303" t="s">
        <v>2051</v>
      </c>
      <c r="AE143" s="2349">
        <f>SUM(AF143:AL143)</f>
        <v>127204829.74350001</v>
      </c>
      <c r="AF143" s="2338">
        <f>AF121</f>
        <v>97354171.280000001</v>
      </c>
      <c r="AG143" s="2338">
        <f>AG121</f>
        <v>23818038.080000002</v>
      </c>
      <c r="AH143" s="2338"/>
      <c r="AI143" s="2338">
        <f>AI121</f>
        <v>639376.75</v>
      </c>
      <c r="AJ143" s="2338">
        <f>AJ121</f>
        <v>3733818.3734999993</v>
      </c>
      <c r="AK143" s="2338">
        <f>AK121</f>
        <v>1247165.3899999999</v>
      </c>
      <c r="AL143" s="2338">
        <f>AL121</f>
        <v>412259.87</v>
      </c>
    </row>
    <row r="144" spans="24:47">
      <c r="AE144" s="2348"/>
      <c r="AF144" s="2319"/>
      <c r="AG144" s="2319"/>
      <c r="AH144" s="2319"/>
      <c r="AI144" s="2319"/>
      <c r="AJ144" s="2319"/>
      <c r="AK144" s="2319"/>
      <c r="AL144" s="2319"/>
    </row>
    <row r="145" spans="29:47">
      <c r="AD145" s="2303" t="s">
        <v>1969</v>
      </c>
      <c r="AE145" s="2348">
        <f>IF(ROUND(SUM(AF145:AL145),3)&lt;&gt;ROUND(AE142+AE143,3),#VALUE!,SUM(AF145:AL145))</f>
        <v>126976489.66350001</v>
      </c>
      <c r="AF145" s="2319">
        <f>AF142+AF143</f>
        <v>97109989.760000005</v>
      </c>
      <c r="AG145" s="2319">
        <f>AG142+AG143</f>
        <v>23833879.520000003</v>
      </c>
      <c r="AH145" s="2319"/>
      <c r="AI145" s="2319">
        <f>AI142+AI143</f>
        <v>639376.75</v>
      </c>
      <c r="AJ145" s="2319">
        <f>AJ142+AJ143</f>
        <v>3733818.3734999993</v>
      </c>
      <c r="AK145" s="2319">
        <f>AK142+AK143</f>
        <v>1247165.3899999999</v>
      </c>
      <c r="AL145" s="2319">
        <f>AL142+AL143</f>
        <v>412259.87</v>
      </c>
    </row>
    <row r="146" spans="29:47">
      <c r="AE146" s="2348"/>
      <c r="AF146" s="2319"/>
      <c r="AG146" s="2319"/>
      <c r="AH146" s="2319"/>
      <c r="AI146" s="2319"/>
      <c r="AJ146" s="2319"/>
      <c r="AK146" s="2319"/>
      <c r="AL146" s="2319"/>
    </row>
    <row r="147" spans="29:47">
      <c r="AE147" s="2348"/>
      <c r="AF147" s="2319"/>
      <c r="AG147" s="2319"/>
      <c r="AH147" s="2319"/>
      <c r="AI147" s="2319"/>
      <c r="AJ147" s="2319"/>
      <c r="AK147" s="2319"/>
      <c r="AL147" s="2319"/>
    </row>
    <row r="148" spans="29:47">
      <c r="AD148" s="2276"/>
      <c r="AE148" s="2319"/>
      <c r="AF148" s="2319"/>
      <c r="AG148" s="2319"/>
      <c r="AH148" s="2319"/>
      <c r="AI148" s="2319"/>
      <c r="AJ148" s="2319"/>
      <c r="AK148" s="2319"/>
      <c r="AL148" s="2319"/>
      <c r="AM148" s="2276"/>
      <c r="AN148" s="2276"/>
      <c r="AO148" s="2276"/>
      <c r="AP148" s="2276"/>
      <c r="AQ148" s="2276"/>
      <c r="AR148" s="2276"/>
      <c r="AS148" s="2276"/>
      <c r="AT148" s="2276"/>
      <c r="AU148" s="2276"/>
    </row>
    <row r="149" spans="29:47">
      <c r="AD149" s="2276"/>
      <c r="AE149" s="2319"/>
      <c r="AF149" s="2319"/>
      <c r="AG149" s="2319"/>
      <c r="AH149" s="2319"/>
      <c r="AI149" s="2319"/>
      <c r="AJ149" s="2319"/>
      <c r="AK149" s="2319"/>
      <c r="AL149" s="2276"/>
      <c r="AM149" s="2276"/>
      <c r="AN149" s="2276"/>
      <c r="AO149" s="2276"/>
      <c r="AP149" s="2276"/>
      <c r="AQ149" s="2276"/>
      <c r="AR149" s="2276"/>
      <c r="AS149" s="2276"/>
      <c r="AT149" s="2276"/>
      <c r="AU149" s="2276"/>
    </row>
    <row r="150" spans="29:47">
      <c r="AD150" s="2276"/>
      <c r="AE150" s="2319"/>
      <c r="AF150" s="2319"/>
      <c r="AG150" s="2319"/>
      <c r="AH150" s="2319"/>
      <c r="AI150" s="2319"/>
      <c r="AJ150" s="2319"/>
      <c r="AK150" s="2319"/>
      <c r="AL150" s="2276" t="s">
        <v>2002</v>
      </c>
      <c r="AM150" s="2276"/>
      <c r="AN150" s="2276"/>
      <c r="AO150" s="2276"/>
      <c r="AP150" s="2276"/>
      <c r="AQ150" s="2276"/>
      <c r="AR150" s="2276"/>
      <c r="AS150" s="2276"/>
      <c r="AT150" s="2276"/>
      <c r="AU150" s="2276"/>
    </row>
    <row r="151" spans="29:47">
      <c r="AC151" s="2330" t="s">
        <v>1966</v>
      </c>
      <c r="AD151" s="2276"/>
      <c r="AE151" s="2276" t="s">
        <v>110</v>
      </c>
      <c r="AF151" s="2276" t="s">
        <v>2006</v>
      </c>
      <c r="AG151" s="2276" t="s">
        <v>2005</v>
      </c>
      <c r="AH151" s="2276" t="s">
        <v>2004</v>
      </c>
      <c r="AI151" s="2276" t="s">
        <v>2003</v>
      </c>
      <c r="AJ151" s="2276" t="s">
        <v>2002</v>
      </c>
      <c r="AK151" s="2276" t="s">
        <v>2002</v>
      </c>
      <c r="AL151" s="2276" t="s">
        <v>2001</v>
      </c>
      <c r="AM151" s="2276"/>
      <c r="AN151" s="2276"/>
      <c r="AO151" s="2276"/>
      <c r="AP151" s="2276"/>
      <c r="AQ151" s="2276"/>
      <c r="AR151" s="2276"/>
      <c r="AS151" s="2276"/>
      <c r="AT151" s="2276"/>
      <c r="AU151" s="2276"/>
    </row>
    <row r="152" spans="29:47">
      <c r="AC152" s="2330" t="s">
        <v>1963</v>
      </c>
      <c r="AD152" s="2329"/>
      <c r="AE152" s="2329" t="s">
        <v>198</v>
      </c>
      <c r="AF152" s="2329" t="s">
        <v>1958</v>
      </c>
      <c r="AG152" s="2329" t="s">
        <v>1952</v>
      </c>
      <c r="AH152" s="2329" t="s">
        <v>2000</v>
      </c>
      <c r="AI152" s="2329" t="s">
        <v>1999</v>
      </c>
      <c r="AJ152" s="2329" t="s">
        <v>1998</v>
      </c>
      <c r="AK152" s="2329" t="s">
        <v>1997</v>
      </c>
      <c r="AL152" s="2329" t="s">
        <v>1996</v>
      </c>
      <c r="AM152" s="2276"/>
      <c r="AN152" s="2276"/>
      <c r="AO152" s="2276"/>
      <c r="AP152" s="2276"/>
      <c r="AQ152" s="2276"/>
      <c r="AR152" s="2276"/>
      <c r="AS152" s="2276"/>
      <c r="AT152" s="2276"/>
      <c r="AU152" s="2276"/>
    </row>
    <row r="153" spans="29:47">
      <c r="AD153" s="2354" t="s">
        <v>1995</v>
      </c>
      <c r="AE153" s="2319"/>
      <c r="AF153" s="2319"/>
      <c r="AG153" s="2319"/>
      <c r="AH153" s="2319"/>
      <c r="AI153" s="2319"/>
      <c r="AJ153" s="2319"/>
      <c r="AK153" s="2319"/>
      <c r="AL153" s="2319"/>
    </row>
    <row r="154" spans="29:47">
      <c r="AD154" s="2303" t="s">
        <v>2050</v>
      </c>
      <c r="AE154" s="2319"/>
      <c r="AF154" s="2319"/>
      <c r="AG154" s="2319"/>
      <c r="AH154" s="2319"/>
      <c r="AI154" s="2319"/>
      <c r="AJ154" s="2319"/>
      <c r="AK154" s="2319"/>
      <c r="AL154" s="2319"/>
    </row>
    <row r="155" spans="29:47">
      <c r="AD155" s="2307" t="s">
        <v>1994</v>
      </c>
      <c r="AE155" s="2348">
        <f t="shared" ref="AE155:AE162" si="29">SUM(AF155:AL155)</f>
        <v>20351591</v>
      </c>
      <c r="AF155" s="2353">
        <f t="shared" ref="AF155:AL155" si="30">AF48*AF74</f>
        <v>19734407</v>
      </c>
      <c r="AG155" s="2353">
        <f t="shared" si="30"/>
        <v>0</v>
      </c>
      <c r="AH155" s="2353">
        <f t="shared" si="30"/>
        <v>0</v>
      </c>
      <c r="AI155" s="2353">
        <f t="shared" si="30"/>
        <v>0</v>
      </c>
      <c r="AJ155" s="2353">
        <f t="shared" si="30"/>
        <v>294000</v>
      </c>
      <c r="AK155" s="2353">
        <f t="shared" si="30"/>
        <v>7200</v>
      </c>
      <c r="AL155" s="2353">
        <f t="shared" si="30"/>
        <v>315984</v>
      </c>
    </row>
    <row r="156" spans="29:47">
      <c r="AD156" s="2307" t="s">
        <v>1993</v>
      </c>
      <c r="AE156" s="2352">
        <f t="shared" si="29"/>
        <v>5479044.5334999999</v>
      </c>
      <c r="AF156" s="2351">
        <f>AF49*AF75</f>
        <v>0</v>
      </c>
      <c r="AG156" s="2351">
        <f>AG49*AG75</f>
        <v>5429385.8200000003</v>
      </c>
      <c r="AH156" s="2351">
        <f>AH49*AH75</f>
        <v>0</v>
      </c>
      <c r="AI156" s="2351">
        <f>AI49*AI75</f>
        <v>0</v>
      </c>
      <c r="AJ156" s="2351">
        <v>49658.713499999998</v>
      </c>
      <c r="AK156" s="2351">
        <f>AK49*AK75</f>
        <v>0</v>
      </c>
      <c r="AL156" s="2351">
        <f>AL49*AL75</f>
        <v>0</v>
      </c>
    </row>
    <row r="157" spans="29:47">
      <c r="AD157" s="2307" t="s">
        <v>1992</v>
      </c>
      <c r="AE157" s="2352">
        <f t="shared" si="29"/>
        <v>42832303.780000001</v>
      </c>
      <c r="AF157" s="2351">
        <f t="shared" ref="AF157:AG161" si="31">ROUND(AF31*AF77/100,2)</f>
        <v>41038677.100000001</v>
      </c>
      <c r="AG157" s="2351">
        <f t="shared" si="31"/>
        <v>0</v>
      </c>
      <c r="AH157" s="2351"/>
      <c r="AI157" s="2351">
        <f t="shared" ref="AI157:AL161" si="32">ROUND(AI31*AI77/100,2)</f>
        <v>145521.60000000001</v>
      </c>
      <c r="AJ157" s="2351">
        <f t="shared" si="32"/>
        <v>897189.32</v>
      </c>
      <c r="AK157" s="2351">
        <f t="shared" si="32"/>
        <v>654639.89</v>
      </c>
      <c r="AL157" s="2351">
        <f t="shared" si="32"/>
        <v>96275.87</v>
      </c>
    </row>
    <row r="158" spans="29:47">
      <c r="AD158" s="2307" t="s">
        <v>1991</v>
      </c>
      <c r="AE158" s="2352">
        <f t="shared" si="29"/>
        <v>44844644.130000003</v>
      </c>
      <c r="AF158" s="2351">
        <f t="shared" si="31"/>
        <v>36581087.18</v>
      </c>
      <c r="AG158" s="2351">
        <f t="shared" si="31"/>
        <v>7091856.0700000003</v>
      </c>
      <c r="AH158" s="2351"/>
      <c r="AI158" s="2351">
        <f t="shared" si="32"/>
        <v>155968.92000000001</v>
      </c>
      <c r="AJ158" s="2351">
        <f t="shared" si="32"/>
        <v>783345.84</v>
      </c>
      <c r="AK158" s="2351">
        <f t="shared" si="32"/>
        <v>232386.12</v>
      </c>
      <c r="AL158" s="2351">
        <f t="shared" si="32"/>
        <v>0</v>
      </c>
    </row>
    <row r="159" spans="29:47">
      <c r="AD159" s="2307" t="s">
        <v>1990</v>
      </c>
      <c r="AE159" s="2352">
        <f t="shared" si="29"/>
        <v>10764108.32</v>
      </c>
      <c r="AF159" s="2351">
        <f t="shared" si="31"/>
        <v>0</v>
      </c>
      <c r="AG159" s="2351">
        <f t="shared" si="31"/>
        <v>9271967.6999999993</v>
      </c>
      <c r="AH159" s="2351">
        <f>ROUND(AH33*AH79/100,2)</f>
        <v>0</v>
      </c>
      <c r="AI159" s="2351">
        <f t="shared" si="32"/>
        <v>156595.57</v>
      </c>
      <c r="AJ159" s="2351">
        <f t="shared" si="32"/>
        <v>1335545.05</v>
      </c>
      <c r="AK159" s="2351">
        <f t="shared" si="32"/>
        <v>0</v>
      </c>
      <c r="AL159" s="2351">
        <f t="shared" si="32"/>
        <v>0</v>
      </c>
    </row>
    <row r="160" spans="29:47">
      <c r="AD160" s="2307" t="s">
        <v>1989</v>
      </c>
      <c r="AE160" s="2352">
        <f t="shared" si="29"/>
        <v>1902355.7599999998</v>
      </c>
      <c r="AF160" s="2351">
        <f t="shared" si="31"/>
        <v>0</v>
      </c>
      <c r="AG160" s="2351">
        <f t="shared" si="31"/>
        <v>1326950.8899999999</v>
      </c>
      <c r="AH160" s="2351">
        <f>ROUND(AH34*AH80/100,2)</f>
        <v>0</v>
      </c>
      <c r="AI160" s="2351">
        <f t="shared" si="32"/>
        <v>181290.66</v>
      </c>
      <c r="AJ160" s="2351">
        <f t="shared" si="32"/>
        <v>251261.28</v>
      </c>
      <c r="AK160" s="2351">
        <f t="shared" si="32"/>
        <v>142852.93</v>
      </c>
      <c r="AL160" s="2351">
        <f t="shared" si="32"/>
        <v>0</v>
      </c>
    </row>
    <row r="161" spans="29:47">
      <c r="AD161" s="2307" t="s">
        <v>1988</v>
      </c>
      <c r="AE161" s="2352">
        <f t="shared" si="29"/>
        <v>1030782.22</v>
      </c>
      <c r="AF161" s="2351">
        <f t="shared" si="31"/>
        <v>0</v>
      </c>
      <c r="AG161" s="2351">
        <f t="shared" si="31"/>
        <v>697877.6</v>
      </c>
      <c r="AH161" s="2351">
        <f>ROUND(AH35*AH81/100,2)</f>
        <v>0</v>
      </c>
      <c r="AI161" s="2351">
        <f t="shared" si="32"/>
        <v>0</v>
      </c>
      <c r="AJ161" s="2351">
        <f t="shared" si="32"/>
        <v>122818.17</v>
      </c>
      <c r="AK161" s="2351">
        <f t="shared" si="32"/>
        <v>210086.45</v>
      </c>
      <c r="AL161" s="2351">
        <f t="shared" si="32"/>
        <v>0</v>
      </c>
    </row>
    <row r="162" spans="29:47">
      <c r="AD162" s="2307" t="s">
        <v>1987</v>
      </c>
      <c r="AE162" s="2352">
        <f t="shared" si="29"/>
        <v>0</v>
      </c>
      <c r="AF162" s="2351"/>
      <c r="AG162" s="2351"/>
      <c r="AH162" s="2351"/>
      <c r="AI162" s="2351"/>
      <c r="AJ162" s="2351"/>
      <c r="AK162" s="2351"/>
      <c r="AL162" s="2351">
        <v>0</v>
      </c>
    </row>
    <row r="163" spans="29:47">
      <c r="AC163" s="2303"/>
      <c r="AE163" s="2350"/>
      <c r="AF163" s="2321"/>
      <c r="AG163" s="2321"/>
      <c r="AH163" s="2321"/>
      <c r="AI163" s="2321"/>
      <c r="AJ163" s="2321"/>
      <c r="AK163" s="2321"/>
      <c r="AL163" s="2321"/>
    </row>
    <row r="164" spans="29:47">
      <c r="AD164" s="2303" t="s">
        <v>1985</v>
      </c>
      <c r="AE164" s="2348">
        <f>IF(ROUND(SUM(AF164:AL164),3)&lt;&gt;ROUND(SUM(AE155:AE162),3),#VALUE!,SUM(AF164:AL164))</f>
        <v>127204829.74350001</v>
      </c>
      <c r="AF164" s="2319">
        <f t="shared" ref="AF164:AL164" si="33">SUM(AF155:AF163)</f>
        <v>97354171.280000001</v>
      </c>
      <c r="AG164" s="2319">
        <f t="shared" si="33"/>
        <v>23818038.080000002</v>
      </c>
      <c r="AH164" s="2319">
        <f t="shared" si="33"/>
        <v>0</v>
      </c>
      <c r="AI164" s="2319">
        <f t="shared" si="33"/>
        <v>639376.75</v>
      </c>
      <c r="AJ164" s="2319">
        <f t="shared" si="33"/>
        <v>3733818.3734999993</v>
      </c>
      <c r="AK164" s="2319">
        <f t="shared" si="33"/>
        <v>1247165.3899999999</v>
      </c>
      <c r="AL164" s="2319">
        <f t="shared" si="33"/>
        <v>412259.87</v>
      </c>
    </row>
    <row r="165" spans="29:47">
      <c r="AC165" s="2303"/>
      <c r="AD165" s="2303" t="s">
        <v>1986</v>
      </c>
      <c r="AE165" s="2349"/>
      <c r="AF165" s="2338"/>
      <c r="AG165" s="2338"/>
      <c r="AH165" s="2338"/>
      <c r="AI165" s="2338"/>
      <c r="AJ165" s="2338"/>
      <c r="AK165" s="2338"/>
      <c r="AL165" s="2338"/>
    </row>
    <row r="166" spans="29:47">
      <c r="AE166" s="2348"/>
      <c r="AF166" s="2319"/>
      <c r="AG166" s="2319"/>
      <c r="AH166" s="2319"/>
      <c r="AI166" s="2319"/>
      <c r="AJ166" s="2319"/>
      <c r="AK166" s="2319"/>
      <c r="AL166" s="2319"/>
    </row>
    <row r="167" spans="29:47">
      <c r="AD167" s="2303" t="s">
        <v>1985</v>
      </c>
      <c r="AE167" s="2348">
        <f>SUM(AF167:AL167)</f>
        <v>127204829.74350001</v>
      </c>
      <c r="AF167" s="2319">
        <f t="shared" ref="AF167:AL167" si="34">AF164+AF165</f>
        <v>97354171.280000001</v>
      </c>
      <c r="AG167" s="2319">
        <f t="shared" si="34"/>
        <v>23818038.080000002</v>
      </c>
      <c r="AH167" s="2319">
        <f t="shared" si="34"/>
        <v>0</v>
      </c>
      <c r="AI167" s="2319">
        <f t="shared" si="34"/>
        <v>639376.75</v>
      </c>
      <c r="AJ167" s="2319">
        <f t="shared" si="34"/>
        <v>3733818.3734999993</v>
      </c>
      <c r="AK167" s="2319">
        <f t="shared" si="34"/>
        <v>1247165.3899999999</v>
      </c>
      <c r="AL167" s="2319">
        <f t="shared" si="34"/>
        <v>412259.87</v>
      </c>
    </row>
    <row r="168" spans="29:47">
      <c r="AD168" s="2303" t="s">
        <v>1984</v>
      </c>
      <c r="AE168" s="2349">
        <f>SUM(AF168:AL168)</f>
        <v>0</v>
      </c>
      <c r="AF168" s="2338">
        <f>ROUND(AF41*AF83/100,2)</f>
        <v>0</v>
      </c>
      <c r="AG168" s="2338">
        <f>ROUND(AG41*AG83/100,2)</f>
        <v>0</v>
      </c>
      <c r="AH168" s="2338"/>
      <c r="AI168" s="2338">
        <f>ROUND(AI41*AI83/100,2)</f>
        <v>0</v>
      </c>
      <c r="AJ168" s="2338">
        <f>ROUND(AJ41*AJ83/100,2)</f>
        <v>0</v>
      </c>
      <c r="AK168" s="2338">
        <f>ROUND(AK41*AK83/100,2)</f>
        <v>0</v>
      </c>
      <c r="AL168" s="2338">
        <f>ROUND(AL41*AL83/100,2)</f>
        <v>0</v>
      </c>
    </row>
    <row r="169" spans="29:47">
      <c r="AE169" s="2348"/>
      <c r="AF169" s="2319"/>
      <c r="AG169" s="2319"/>
      <c r="AH169" s="2319"/>
      <c r="AI169" s="2319"/>
      <c r="AJ169" s="2319"/>
      <c r="AK169" s="2319"/>
      <c r="AL169" s="2319"/>
    </row>
    <row r="170" spans="29:47">
      <c r="AD170" s="2303" t="s">
        <v>2051</v>
      </c>
      <c r="AE170" s="2348">
        <f>IF(ROUND(SUM(AF170:AL170),3)&lt;&gt;ROUND(AE167+AE168,3),#VALUE!,SUM(AF170:AL170))</f>
        <v>127204829.74350001</v>
      </c>
      <c r="AF170" s="2319">
        <f t="shared" ref="AF170:AL170" si="35">AF167+AF168</f>
        <v>97354171.280000001</v>
      </c>
      <c r="AG170" s="2319">
        <f t="shared" si="35"/>
        <v>23818038.080000002</v>
      </c>
      <c r="AH170" s="2319">
        <f t="shared" si="35"/>
        <v>0</v>
      </c>
      <c r="AI170" s="2319">
        <f t="shared" si="35"/>
        <v>639376.75</v>
      </c>
      <c r="AJ170" s="2319">
        <f t="shared" si="35"/>
        <v>3733818.3734999993</v>
      </c>
      <c r="AK170" s="2319">
        <f t="shared" si="35"/>
        <v>1247165.3899999999</v>
      </c>
      <c r="AL170" s="2319">
        <f t="shared" si="35"/>
        <v>412259.87</v>
      </c>
    </row>
    <row r="171" spans="29:47">
      <c r="AE171" s="2348"/>
      <c r="AF171" s="2319"/>
      <c r="AG171" s="2319"/>
      <c r="AH171" s="2319"/>
      <c r="AI171" s="2319"/>
      <c r="AJ171" s="2319"/>
      <c r="AK171" s="2319"/>
      <c r="AL171" s="2319"/>
    </row>
    <row r="172" spans="29:47">
      <c r="AD172" s="2317" t="s">
        <v>1983</v>
      </c>
      <c r="AE172" s="2319"/>
      <c r="AF172" s="2319"/>
      <c r="AG172" s="2319"/>
      <c r="AH172" s="2319"/>
      <c r="AI172" s="2319"/>
      <c r="AJ172" s="2319"/>
      <c r="AK172" s="2319"/>
      <c r="AL172" s="2319"/>
    </row>
    <row r="173" spans="29:47">
      <c r="AD173" s="2346" t="s">
        <v>1982</v>
      </c>
      <c r="AE173" s="2320"/>
      <c r="AF173" s="2320"/>
      <c r="AG173" s="2320"/>
      <c r="AH173" s="2320"/>
      <c r="AI173" s="2319"/>
      <c r="AJ173" s="2319"/>
      <c r="AK173" s="2319"/>
      <c r="AL173" s="2319"/>
    </row>
    <row r="174" spans="29:47">
      <c r="AC174" s="2260"/>
      <c r="AD174" s="2345" t="s">
        <v>1981</v>
      </c>
      <c r="AE174" s="2320">
        <f>SUM(AF174:AL174)</f>
        <v>-543151</v>
      </c>
      <c r="AF174" s="2320">
        <f>AF126</f>
        <v>-480676</v>
      </c>
      <c r="AG174" s="2320">
        <f>AG126+AH126</f>
        <v>-62475</v>
      </c>
      <c r="AH174" s="2320">
        <v>0</v>
      </c>
      <c r="AI174" s="2260"/>
      <c r="AJ174" s="2260"/>
      <c r="AL174" s="2260"/>
      <c r="AM174" s="2260"/>
      <c r="AN174" s="2260"/>
      <c r="AO174" s="2260"/>
      <c r="AP174" s="2260"/>
      <c r="AQ174" s="2260"/>
      <c r="AR174" s="2260"/>
      <c r="AS174" s="2260"/>
      <c r="AT174" s="2260"/>
      <c r="AU174" s="2260"/>
    </row>
    <row r="175" spans="29:47">
      <c r="AD175" s="2344" t="s">
        <v>1980</v>
      </c>
      <c r="AE175" s="2318"/>
      <c r="AF175" s="2341">
        <f>AF83</f>
        <v>56.846274924802486</v>
      </c>
      <c r="AG175" s="2341">
        <f>AG83</f>
        <v>27.908527268096844</v>
      </c>
      <c r="AH175" s="2341"/>
      <c r="AI175" s="2341"/>
      <c r="AJ175" s="2341">
        <f>AJ83</f>
        <v>10.530620297010387</v>
      </c>
      <c r="AK175" s="2342"/>
      <c r="AL175" s="2347"/>
      <c r="AM175" s="2318"/>
      <c r="AN175" s="2318"/>
      <c r="AO175" s="2318"/>
      <c r="AP175" s="2318"/>
      <c r="AQ175" s="2318"/>
      <c r="AR175" s="2318"/>
      <c r="AS175" s="2318"/>
      <c r="AT175" s="2318"/>
      <c r="AU175" s="2318"/>
    </row>
    <row r="176" spans="29:47">
      <c r="AD176" s="2340" t="s">
        <v>1979</v>
      </c>
      <c r="AE176" s="2319">
        <f>SUM(AF176:AL176)</f>
        <v>-290682.25</v>
      </c>
      <c r="AF176" s="2319">
        <f>ROUND(AF174*AF175/100,2)</f>
        <v>-273246.40000000002</v>
      </c>
      <c r="AG176" s="2319">
        <f>ROUND(AG174*AG175/100,2)</f>
        <v>-17435.849999999999</v>
      </c>
      <c r="AH176" s="2319">
        <f>ROUND(AH174*AH175/100,2)</f>
        <v>0</v>
      </c>
      <c r="AI176" s="2319"/>
      <c r="AJ176" s="2319"/>
      <c r="AL176" s="2319"/>
      <c r="AM176" s="2319"/>
      <c r="AN176" s="2319"/>
      <c r="AO176" s="2319"/>
      <c r="AP176" s="2319"/>
      <c r="AQ176" s="2319"/>
      <c r="AR176" s="2319"/>
      <c r="AS176" s="2319"/>
      <c r="AT176" s="2319"/>
      <c r="AU176" s="2319"/>
    </row>
    <row r="177" spans="30:47">
      <c r="AD177" s="2340"/>
      <c r="AE177" s="2319"/>
      <c r="AF177" s="2319"/>
      <c r="AG177" s="2319"/>
      <c r="AH177" s="2319"/>
      <c r="AI177" s="2319"/>
      <c r="AJ177" s="2319"/>
      <c r="AL177" s="2319"/>
      <c r="AM177" s="2319"/>
      <c r="AN177" s="2319"/>
      <c r="AO177" s="2319"/>
      <c r="AP177" s="2319"/>
      <c r="AQ177" s="2319"/>
      <c r="AR177" s="2319"/>
      <c r="AS177" s="2319"/>
      <c r="AT177" s="2319"/>
      <c r="AU177" s="2319"/>
    </row>
    <row r="178" spans="30:47">
      <c r="AD178" s="2345" t="s">
        <v>1975</v>
      </c>
      <c r="AE178" s="2320">
        <f>SUM(AF178:AL178)</f>
        <v>0</v>
      </c>
      <c r="AF178" s="2320">
        <f>AF130</f>
        <v>0</v>
      </c>
      <c r="AG178" s="2320">
        <f>AG130</f>
        <v>0</v>
      </c>
      <c r="AH178" s="2320">
        <f>AH130</f>
        <v>0</v>
      </c>
      <c r="AI178" s="2260"/>
      <c r="AJ178" s="2260"/>
      <c r="AL178" s="2260"/>
      <c r="AM178" s="2260"/>
      <c r="AN178" s="2260"/>
      <c r="AO178" s="2260"/>
      <c r="AP178" s="2260"/>
      <c r="AQ178" s="2260"/>
      <c r="AR178" s="2260"/>
      <c r="AS178" s="2260"/>
      <c r="AT178" s="2260"/>
      <c r="AU178" s="2260"/>
    </row>
    <row r="179" spans="30:47">
      <c r="AD179" s="2344" t="s">
        <v>1974</v>
      </c>
      <c r="AE179" s="2318"/>
      <c r="AF179" s="2341">
        <f>AF77</f>
        <v>50.668999999999997</v>
      </c>
      <c r="AG179" s="2341">
        <f>AK244</f>
        <v>0</v>
      </c>
      <c r="AH179" s="2341">
        <f>AH83</f>
        <v>0</v>
      </c>
      <c r="AI179" s="2341"/>
      <c r="AJ179" s="2341"/>
      <c r="AK179" s="2342"/>
      <c r="AL179" s="2341"/>
      <c r="AM179" s="2318"/>
      <c r="AN179" s="2318"/>
      <c r="AO179" s="2318"/>
      <c r="AP179" s="2318"/>
      <c r="AQ179" s="2318"/>
      <c r="AR179" s="2318"/>
      <c r="AS179" s="2318"/>
      <c r="AT179" s="2318"/>
      <c r="AU179" s="2318"/>
    </row>
    <row r="180" spans="30:47">
      <c r="AD180" s="2340" t="s">
        <v>1973</v>
      </c>
      <c r="AE180" s="2319">
        <f>SUM(AF180:AL180)</f>
        <v>0</v>
      </c>
      <c r="AF180" s="2319">
        <f>ROUND(AF178*AF179/100,2)</f>
        <v>0</v>
      </c>
      <c r="AG180" s="2319">
        <f>ROUND(AG178*AG179/100,2)</f>
        <v>0</v>
      </c>
      <c r="AH180" s="2319">
        <f>ROUND(AH178*AH179/100,2)</f>
        <v>0</v>
      </c>
      <c r="AI180" s="2319"/>
      <c r="AJ180" s="2319"/>
      <c r="AL180" s="2319"/>
      <c r="AM180" s="2319"/>
      <c r="AN180" s="2319"/>
      <c r="AO180" s="2319"/>
      <c r="AP180" s="2319"/>
      <c r="AQ180" s="2319"/>
      <c r="AR180" s="2319"/>
      <c r="AS180" s="2319"/>
      <c r="AT180" s="2319"/>
      <c r="AU180" s="2319"/>
    </row>
    <row r="181" spans="30:47">
      <c r="AD181" s="2340"/>
      <c r="AE181" s="2319"/>
      <c r="AF181" s="2319"/>
      <c r="AG181" s="2319"/>
      <c r="AH181" s="2319"/>
      <c r="AI181" s="2319"/>
      <c r="AJ181" s="2319"/>
      <c r="AL181" s="2319"/>
      <c r="AM181" s="2319"/>
      <c r="AN181" s="2319"/>
      <c r="AO181" s="2319"/>
      <c r="AP181" s="2319"/>
      <c r="AQ181" s="2319"/>
      <c r="AR181" s="2319"/>
      <c r="AS181" s="2319"/>
      <c r="AT181" s="2319"/>
      <c r="AU181" s="2319"/>
    </row>
    <row r="182" spans="30:47">
      <c r="AD182" s="2345" t="s">
        <v>1978</v>
      </c>
      <c r="AE182" s="2320">
        <f>AE174+AE178</f>
        <v>-543151</v>
      </c>
      <c r="AF182" s="2320">
        <f>AF174+AF178</f>
        <v>-480676</v>
      </c>
      <c r="AG182" s="2320">
        <f>AG174+AG178</f>
        <v>-62475</v>
      </c>
      <c r="AH182" s="2320">
        <f>AH174+AH178</f>
        <v>0</v>
      </c>
      <c r="AI182" s="2260"/>
      <c r="AJ182" s="2260"/>
      <c r="AL182" s="2260"/>
      <c r="AM182" s="2260"/>
      <c r="AN182" s="2260"/>
      <c r="AO182" s="2260"/>
      <c r="AP182" s="2260"/>
      <c r="AQ182" s="2260"/>
      <c r="AR182" s="2260"/>
      <c r="AS182" s="2260"/>
      <c r="AT182" s="2260"/>
      <c r="AU182" s="2260"/>
    </row>
    <row r="183" spans="30:47">
      <c r="AD183" s="2340" t="s">
        <v>1977</v>
      </c>
      <c r="AE183" s="2319">
        <f>AE176+AE180</f>
        <v>-290682.25</v>
      </c>
      <c r="AF183" s="2319">
        <f>AF176+AF180</f>
        <v>-273246.40000000002</v>
      </c>
      <c r="AG183" s="2319">
        <f>AG176+AG180</f>
        <v>-17435.849999999999</v>
      </c>
      <c r="AH183" s="2319"/>
      <c r="AI183" s="2319"/>
      <c r="AJ183" s="2319"/>
      <c r="AL183" s="2319"/>
      <c r="AM183" s="2319"/>
      <c r="AN183" s="2319"/>
      <c r="AO183" s="2319"/>
      <c r="AP183" s="2319"/>
      <c r="AQ183" s="2319"/>
      <c r="AR183" s="2319"/>
      <c r="AS183" s="2319"/>
      <c r="AT183" s="2319"/>
      <c r="AU183" s="2319"/>
    </row>
    <row r="184" spans="30:47">
      <c r="AD184" s="2346" t="s">
        <v>1976</v>
      </c>
      <c r="AE184" s="2319"/>
      <c r="AF184" s="2319"/>
      <c r="AG184" s="2319"/>
      <c r="AH184" s="2319"/>
      <c r="AI184" s="2319"/>
      <c r="AJ184" s="2319"/>
      <c r="AL184" s="2319"/>
    </row>
    <row r="185" spans="30:47">
      <c r="AD185" s="2345" t="s">
        <v>1975</v>
      </c>
      <c r="AE185" s="2320">
        <f>SUM(AF185:AL185)</f>
        <v>163373</v>
      </c>
      <c r="AF185" s="2320">
        <f>AF137</f>
        <v>44136</v>
      </c>
      <c r="AG185" s="2320">
        <f>AG137+AH137</f>
        <v>119237</v>
      </c>
      <c r="AH185" s="2320">
        <v>0</v>
      </c>
      <c r="AI185" s="2260"/>
      <c r="AJ185" s="2260"/>
      <c r="AL185" s="2260"/>
      <c r="AM185" s="2260"/>
      <c r="AN185" s="2260"/>
      <c r="AO185" s="2260"/>
      <c r="AP185" s="2260"/>
      <c r="AQ185" s="2260"/>
      <c r="AR185" s="2260"/>
      <c r="AS185" s="2260"/>
      <c r="AT185" s="2260"/>
      <c r="AU185" s="2260"/>
    </row>
    <row r="186" spans="30:47">
      <c r="AD186" s="2344" t="s">
        <v>1974</v>
      </c>
      <c r="AE186" s="2319"/>
      <c r="AF186" s="2343">
        <f>AF78</f>
        <v>65.852999999999994</v>
      </c>
      <c r="AG186" s="2343">
        <f>AG83</f>
        <v>27.908527268096844</v>
      </c>
      <c r="AH186" s="2341"/>
      <c r="AI186" s="2341"/>
      <c r="AJ186" s="2341"/>
      <c r="AK186" s="2342"/>
      <c r="AL186" s="2341"/>
      <c r="AM186" s="2318"/>
      <c r="AN186" s="2318"/>
      <c r="AO186" s="2318"/>
      <c r="AP186" s="2318"/>
      <c r="AQ186" s="2318"/>
      <c r="AR186" s="2318"/>
      <c r="AS186" s="2318"/>
      <c r="AT186" s="2318"/>
      <c r="AU186" s="2318"/>
    </row>
    <row r="187" spans="30:47">
      <c r="AD187" s="2340" t="s">
        <v>1973</v>
      </c>
      <c r="AE187" s="2319">
        <f>SUM(AF187:AL187)</f>
        <v>62342.17</v>
      </c>
      <c r="AF187" s="2319">
        <f>ROUND(AF185*AF186/100,2)</f>
        <v>29064.880000000001</v>
      </c>
      <c r="AG187" s="2319">
        <f>ROUND(AG185*AG186/100,2)</f>
        <v>33277.29</v>
      </c>
      <c r="AH187" s="2319">
        <f>ROUND(AH185*AH186/100,2)</f>
        <v>0</v>
      </c>
      <c r="AI187" s="2319"/>
      <c r="AJ187" s="2319"/>
      <c r="AK187" s="2319"/>
      <c r="AL187" s="2319"/>
      <c r="AM187" s="2319"/>
      <c r="AN187" s="2319"/>
      <c r="AO187" s="2319"/>
      <c r="AP187" s="2319"/>
      <c r="AQ187" s="2319"/>
      <c r="AR187" s="2319"/>
      <c r="AS187" s="2319"/>
      <c r="AT187" s="2319"/>
      <c r="AU187" s="2319"/>
    </row>
    <row r="188" spans="30:47">
      <c r="AD188" s="2340" t="s">
        <v>1972</v>
      </c>
      <c r="AE188" s="2337"/>
      <c r="AF188" s="2337"/>
      <c r="AG188" s="2337"/>
      <c r="AH188" s="2337"/>
      <c r="AI188" s="2337"/>
      <c r="AJ188" s="2337"/>
      <c r="AK188" s="2337"/>
      <c r="AL188" s="2337"/>
      <c r="AM188" s="2319"/>
      <c r="AN188" s="2319"/>
      <c r="AO188" s="2319"/>
      <c r="AP188" s="2319"/>
      <c r="AQ188" s="2319"/>
      <c r="AR188" s="2319"/>
      <c r="AS188" s="2319"/>
      <c r="AT188" s="2319"/>
      <c r="AU188" s="2319"/>
    </row>
    <row r="189" spans="30:47">
      <c r="AE189" s="2339"/>
      <c r="AF189" s="2319"/>
      <c r="AG189" s="2319"/>
      <c r="AH189" s="2319"/>
      <c r="AI189" s="2319"/>
      <c r="AJ189" s="2319"/>
      <c r="AK189" s="2319"/>
      <c r="AL189" s="2319"/>
    </row>
    <row r="190" spans="30:47">
      <c r="AD190" s="2303" t="s">
        <v>1971</v>
      </c>
      <c r="AE190" s="2319">
        <f>SUM(AF190:AL190)</f>
        <v>-228340.08000000002</v>
      </c>
      <c r="AF190" s="2319">
        <f t="shared" ref="AF190:AL190" si="36">AF187+AF183</f>
        <v>-244181.52000000002</v>
      </c>
      <c r="AG190" s="2319">
        <f t="shared" si="36"/>
        <v>15841.440000000002</v>
      </c>
      <c r="AH190" s="2319">
        <f t="shared" si="36"/>
        <v>0</v>
      </c>
      <c r="AI190" s="2319">
        <f t="shared" si="36"/>
        <v>0</v>
      </c>
      <c r="AJ190" s="2319">
        <f t="shared" si="36"/>
        <v>0</v>
      </c>
      <c r="AK190" s="2319">
        <f t="shared" si="36"/>
        <v>0</v>
      </c>
      <c r="AL190" s="2319">
        <f t="shared" si="36"/>
        <v>0</v>
      </c>
    </row>
    <row r="191" spans="30:47">
      <c r="AD191" s="2303" t="s">
        <v>2051</v>
      </c>
      <c r="AE191" s="2338">
        <f>SUM(AF191:AL191)</f>
        <v>127204829.74350001</v>
      </c>
      <c r="AF191" s="2338">
        <f t="shared" ref="AF191:AL191" si="37">AF170</f>
        <v>97354171.280000001</v>
      </c>
      <c r="AG191" s="2338">
        <f t="shared" si="37"/>
        <v>23818038.080000002</v>
      </c>
      <c r="AH191" s="2338">
        <f t="shared" si="37"/>
        <v>0</v>
      </c>
      <c r="AI191" s="2338">
        <f t="shared" si="37"/>
        <v>639376.75</v>
      </c>
      <c r="AJ191" s="2338">
        <f t="shared" si="37"/>
        <v>3733818.3734999993</v>
      </c>
      <c r="AK191" s="2338">
        <f t="shared" si="37"/>
        <v>1247165.3899999999</v>
      </c>
      <c r="AL191" s="2338">
        <f t="shared" si="37"/>
        <v>412259.87</v>
      </c>
    </row>
    <row r="192" spans="30:47">
      <c r="AD192" s="2303" t="s">
        <v>1970</v>
      </c>
      <c r="AE192" s="2319">
        <f>SUM(AF192:AL192)</f>
        <v>126976489.66350001</v>
      </c>
      <c r="AF192" s="2319">
        <f t="shared" ref="AF192:AL192" si="38">AF190+AF191</f>
        <v>97109989.760000005</v>
      </c>
      <c r="AG192" s="2319">
        <f t="shared" si="38"/>
        <v>23833879.520000003</v>
      </c>
      <c r="AH192" s="2319">
        <f t="shared" si="38"/>
        <v>0</v>
      </c>
      <c r="AI192" s="2319">
        <f t="shared" si="38"/>
        <v>639376.75</v>
      </c>
      <c r="AJ192" s="2319">
        <f t="shared" si="38"/>
        <v>3733818.3734999993</v>
      </c>
      <c r="AK192" s="2319">
        <f t="shared" si="38"/>
        <v>1247165.3899999999</v>
      </c>
      <c r="AL192" s="2319">
        <f t="shared" si="38"/>
        <v>412259.87</v>
      </c>
    </row>
    <row r="193" spans="29:47">
      <c r="AD193" s="2303" t="s">
        <v>1969</v>
      </c>
      <c r="AE193" s="2337">
        <f>SUM(AF193:AL193)</f>
        <v>126976489.66350001</v>
      </c>
      <c r="AF193" s="2337">
        <f>AF145</f>
        <v>97109989.760000005</v>
      </c>
      <c r="AG193" s="2337">
        <f>AG145</f>
        <v>23833879.520000003</v>
      </c>
      <c r="AH193" s="2337"/>
      <c r="AI193" s="2337">
        <f>AI145</f>
        <v>639376.75</v>
      </c>
      <c r="AJ193" s="2337">
        <f>AJ145</f>
        <v>3733818.3734999993</v>
      </c>
      <c r="AK193" s="2337">
        <f>AK145</f>
        <v>1247165.3899999999</v>
      </c>
      <c r="AL193" s="2337">
        <f>AL145</f>
        <v>412259.87</v>
      </c>
    </row>
    <row r="195" spans="29:47">
      <c r="AC195" s="2335"/>
      <c r="AD195" s="2333" t="s">
        <v>1968</v>
      </c>
      <c r="AE195" s="2336">
        <f>SUM(AF195:AL195)</f>
        <v>0</v>
      </c>
      <c r="AF195" s="2336">
        <f>AF192-AF193</f>
        <v>0</v>
      </c>
      <c r="AG195" s="2336">
        <f>AG192-AG193-AH193</f>
        <v>0</v>
      </c>
      <c r="AH195" s="2336"/>
      <c r="AI195" s="2336">
        <f>AI192-AI193</f>
        <v>0</v>
      </c>
      <c r="AJ195" s="2336">
        <f>AJ192-AJ193</f>
        <v>0</v>
      </c>
      <c r="AK195" s="2336">
        <f>AK192-AK193</f>
        <v>0</v>
      </c>
      <c r="AL195" s="2336">
        <f>AL192-AL193</f>
        <v>0</v>
      </c>
      <c r="AM195" s="2333"/>
      <c r="AN195" s="2333"/>
      <c r="AO195" s="2333"/>
      <c r="AP195" s="2333"/>
      <c r="AQ195" s="2333"/>
      <c r="AR195" s="2333"/>
      <c r="AS195" s="2333"/>
      <c r="AT195" s="2333"/>
      <c r="AU195" s="2333"/>
    </row>
    <row r="196" spans="29:47">
      <c r="AC196" s="2335"/>
      <c r="AD196" s="2333" t="s">
        <v>1967</v>
      </c>
      <c r="AE196" s="2334">
        <f>AE195/AE193</f>
        <v>0</v>
      </c>
      <c r="AF196" s="2334">
        <f>AF195/AF193</f>
        <v>0</v>
      </c>
      <c r="AG196" s="2334">
        <f>AG195/AG193</f>
        <v>0</v>
      </c>
      <c r="AH196" s="2334"/>
      <c r="AI196" s="2334">
        <f>AI195/AI193</f>
        <v>0</v>
      </c>
      <c r="AJ196" s="2334">
        <f>AJ195/AJ193</f>
        <v>0</v>
      </c>
      <c r="AK196" s="2334">
        <f>AK195/AK193</f>
        <v>0</v>
      </c>
      <c r="AL196" s="2334">
        <f>AL195/AL193</f>
        <v>0</v>
      </c>
      <c r="AM196" s="2333"/>
      <c r="AN196" s="2333"/>
      <c r="AO196" s="2333"/>
      <c r="AP196" s="2333"/>
      <c r="AQ196" s="2333"/>
      <c r="AR196" s="2333"/>
      <c r="AS196" s="2333"/>
      <c r="AT196" s="2333"/>
      <c r="AU196" s="2333"/>
    </row>
    <row r="197" spans="29:47">
      <c r="AD197" s="2276"/>
      <c r="AE197" s="2331"/>
      <c r="AF197" s="2331"/>
      <c r="AG197" s="2332"/>
      <c r="AH197" s="2332"/>
      <c r="AI197" s="2332"/>
      <c r="AJ197" s="2332"/>
      <c r="AK197" s="2332"/>
      <c r="AL197" s="2332"/>
      <c r="AM197" s="2276"/>
      <c r="AN197" s="2276"/>
      <c r="AO197" s="2276"/>
      <c r="AP197" s="2276"/>
      <c r="AQ197" s="2276"/>
      <c r="AR197" s="2276"/>
      <c r="AS197" s="2276"/>
      <c r="AT197" s="2276"/>
      <c r="AU197" s="2276"/>
    </row>
    <row r="198" spans="29:47">
      <c r="AD198" s="2276"/>
      <c r="AE198" s="2331"/>
      <c r="AF198" s="2331"/>
      <c r="AG198" s="2331"/>
      <c r="AH198" s="2331"/>
      <c r="AI198" s="2331"/>
      <c r="AJ198" s="2331"/>
      <c r="AK198" s="2331"/>
      <c r="AL198" s="2331"/>
      <c r="AM198" s="2276"/>
      <c r="AN198" s="2276"/>
      <c r="AO198" s="2276"/>
      <c r="AP198" s="2276"/>
      <c r="AQ198" s="2276"/>
      <c r="AR198" s="2276"/>
      <c r="AS198" s="2276"/>
      <c r="AT198" s="2276"/>
      <c r="AU198" s="2276"/>
    </row>
    <row r="199" spans="29:47">
      <c r="AD199" s="2276"/>
      <c r="AE199" s="2331"/>
      <c r="AF199" s="2331"/>
      <c r="AG199" s="2331"/>
      <c r="AH199" s="2331"/>
      <c r="AI199" s="2331"/>
      <c r="AJ199" s="2331"/>
      <c r="AK199" s="2331"/>
      <c r="AL199" s="2331"/>
      <c r="AM199" s="2276"/>
      <c r="AN199" s="2276"/>
      <c r="AO199" s="2276"/>
      <c r="AP199" s="2276"/>
      <c r="AQ199" s="2276"/>
      <c r="AR199" s="2276"/>
      <c r="AS199" s="2276"/>
      <c r="AT199" s="2276"/>
      <c r="AU199" s="2276"/>
    </row>
    <row r="200" spans="29:47">
      <c r="AC200" s="2330" t="s">
        <v>1966</v>
      </c>
      <c r="AD200" s="2276"/>
      <c r="AE200" s="2276" t="s">
        <v>110</v>
      </c>
      <c r="AF200" s="2276" t="s">
        <v>198</v>
      </c>
      <c r="AG200" s="2276" t="s">
        <v>198</v>
      </c>
      <c r="AH200" s="2276" t="s">
        <v>1965</v>
      </c>
      <c r="AI200" s="2276" t="s">
        <v>1965</v>
      </c>
      <c r="AJ200" s="2276" t="s">
        <v>1964</v>
      </c>
      <c r="AK200" s="2276" t="s">
        <v>1964</v>
      </c>
      <c r="AL200" s="2276"/>
      <c r="AM200" s="2276"/>
      <c r="AN200" s="2276"/>
      <c r="AO200" s="2276"/>
      <c r="AP200" s="2276"/>
      <c r="AQ200" s="2276"/>
      <c r="AR200" s="2276"/>
      <c r="AS200" s="2276"/>
      <c r="AT200" s="2276"/>
      <c r="AU200" s="2276"/>
    </row>
    <row r="201" spans="29:47">
      <c r="AC201" s="2330" t="s">
        <v>1963</v>
      </c>
      <c r="AD201" s="2276"/>
      <c r="AE201" s="2329" t="s">
        <v>1962</v>
      </c>
      <c r="AF201" s="2329" t="s">
        <v>1960</v>
      </c>
      <c r="AG201" s="2329" t="s">
        <v>1959</v>
      </c>
      <c r="AH201" s="2329" t="s">
        <v>1961</v>
      </c>
      <c r="AI201" s="2329" t="s">
        <v>1959</v>
      </c>
      <c r="AJ201" s="2329" t="s">
        <v>1960</v>
      </c>
      <c r="AK201" s="2329" t="s">
        <v>1959</v>
      </c>
      <c r="AL201" s="2276"/>
      <c r="AM201" s="2276"/>
      <c r="AN201" s="2276"/>
      <c r="AO201" s="2276"/>
      <c r="AP201" s="2276"/>
      <c r="AQ201" s="2276"/>
      <c r="AR201" s="2276"/>
      <c r="AS201" s="2276"/>
      <c r="AT201" s="2276"/>
      <c r="AU201" s="2276"/>
    </row>
    <row r="202" spans="29:47">
      <c r="AD202" s="2323" t="s">
        <v>1954</v>
      </c>
    </row>
    <row r="203" spans="29:47">
      <c r="AD203" s="2303" t="s">
        <v>1958</v>
      </c>
    </row>
    <row r="204" spans="29:47">
      <c r="AD204" s="2307" t="s">
        <v>1957</v>
      </c>
      <c r="AE204" s="2318">
        <v>0</v>
      </c>
      <c r="AF204" s="2260">
        <v>0</v>
      </c>
      <c r="AG204" s="2319">
        <f>AE204*AF204/100</f>
        <v>0</v>
      </c>
      <c r="AH204" s="2322">
        <f>MIN(AF204,AH207)</f>
        <v>0</v>
      </c>
      <c r="AI204" s="2319">
        <f>AH204*AE204/100</f>
        <v>0</v>
      </c>
      <c r="AJ204" s="2260">
        <f>AF204-AH204</f>
        <v>0</v>
      </c>
      <c r="AK204" s="2319">
        <f>AJ204*AE204/100</f>
        <v>0</v>
      </c>
      <c r="AM204" s="2328" t="e">
        <f>AJ204/AJ207</f>
        <v>#DIV/0!</v>
      </c>
    </row>
    <row r="205" spans="29:47">
      <c r="AD205" s="2307" t="s">
        <v>1956</v>
      </c>
      <c r="AE205" s="2318">
        <v>0</v>
      </c>
      <c r="AF205" s="2260">
        <v>0</v>
      </c>
      <c r="AG205" s="2319">
        <f>AE205*AF205/100</f>
        <v>0</v>
      </c>
      <c r="AH205" s="2322">
        <f>MIN(AH207-AH204,AF205)</f>
        <v>0</v>
      </c>
      <c r="AI205" s="2319">
        <f>AH205*AE205/100</f>
        <v>0</v>
      </c>
      <c r="AJ205" s="2260">
        <f>AF205-AH205</f>
        <v>0</v>
      </c>
      <c r="AK205" s="2319">
        <f>AJ205*AE205/100</f>
        <v>0</v>
      </c>
      <c r="AM205" s="2328" t="e">
        <f>AJ205/AJ207</f>
        <v>#DIV/0!</v>
      </c>
    </row>
    <row r="206" spans="29:47">
      <c r="AF206" s="2321"/>
      <c r="AG206" s="2321"/>
      <c r="AH206" s="2321"/>
      <c r="AI206" s="2321"/>
      <c r="AJ206" s="2321"/>
      <c r="AK206" s="2325"/>
    </row>
    <row r="207" spans="29:47">
      <c r="AD207" s="2303" t="s">
        <v>198</v>
      </c>
      <c r="AF207" s="2260">
        <f>AF204+AF205</f>
        <v>0</v>
      </c>
      <c r="AG207" s="2319">
        <f>AG204+AG205</f>
        <v>0</v>
      </c>
      <c r="AH207" s="2324">
        <v>0</v>
      </c>
      <c r="AI207" s="2319">
        <f>AI204+AI205</f>
        <v>0</v>
      </c>
      <c r="AJ207" s="2260">
        <f>AJ204+AJ205</f>
        <v>0</v>
      </c>
      <c r="AK207" s="2319">
        <f>AK204+AK205</f>
        <v>0</v>
      </c>
    </row>
    <row r="208" spans="29:47">
      <c r="AD208" s="2303" t="s">
        <v>1946</v>
      </c>
      <c r="AG208" s="2318">
        <v>0</v>
      </c>
      <c r="AH208" s="2318"/>
      <c r="AI208" s="2318">
        <v>0</v>
      </c>
      <c r="AK208" s="2318">
        <v>0</v>
      </c>
    </row>
    <row r="211" spans="30:37">
      <c r="AD211" s="2323" t="s">
        <v>1953</v>
      </c>
    </row>
    <row r="212" spans="30:37">
      <c r="AD212" s="2303" t="s">
        <v>1958</v>
      </c>
    </row>
    <row r="213" spans="30:37">
      <c r="AD213" s="2307" t="s">
        <v>1957</v>
      </c>
      <c r="AE213" s="2318">
        <v>0</v>
      </c>
      <c r="AF213" s="2260">
        <v>0</v>
      </c>
      <c r="AG213" s="2319">
        <f>AE213*AF213/100</f>
        <v>0</v>
      </c>
      <c r="AH213" s="2322">
        <f>MIN(AF213,AH216)</f>
        <v>0</v>
      </c>
      <c r="AI213" s="2319">
        <f>AH213*AE213/100</f>
        <v>0</v>
      </c>
      <c r="AJ213" s="2260">
        <f>AF213-AH213</f>
        <v>0</v>
      </c>
      <c r="AK213" s="2319">
        <f>AJ213*AE213/100</f>
        <v>0</v>
      </c>
    </row>
    <row r="214" spans="30:37">
      <c r="AD214" s="2307" t="s">
        <v>1956</v>
      </c>
      <c r="AE214" s="2318">
        <v>0</v>
      </c>
      <c r="AF214" s="2260">
        <v>0</v>
      </c>
      <c r="AG214" s="2319">
        <f>AE214*AF214/100</f>
        <v>0</v>
      </c>
      <c r="AH214" s="2322">
        <f>MIN(AH216-AH213,AF214)</f>
        <v>0</v>
      </c>
      <c r="AI214" s="2319">
        <f>AH214*AE214/100</f>
        <v>0</v>
      </c>
      <c r="AJ214" s="2260">
        <f>AF214-AH214</f>
        <v>0</v>
      </c>
      <c r="AK214" s="2319">
        <f>AJ214*AE214/100</f>
        <v>0</v>
      </c>
    </row>
    <row r="215" spans="30:37">
      <c r="AF215" s="2321"/>
      <c r="AG215" s="2321"/>
      <c r="AH215" s="2321"/>
      <c r="AI215" s="2321"/>
      <c r="AJ215" s="2321"/>
      <c r="AK215" s="2321"/>
    </row>
    <row r="216" spans="30:37">
      <c r="AD216" s="2303" t="s">
        <v>198</v>
      </c>
      <c r="AF216" s="2260">
        <f>AF213+AF214</f>
        <v>0</v>
      </c>
      <c r="AG216" s="2319">
        <f>AG213+AG214</f>
        <v>0</v>
      </c>
      <c r="AH216" s="2320">
        <f>AH207</f>
        <v>0</v>
      </c>
      <c r="AI216" s="2319">
        <f>AI213+AI214</f>
        <v>0</v>
      </c>
      <c r="AJ216" s="2260">
        <f>AJ213+AJ214</f>
        <v>0</v>
      </c>
      <c r="AK216" s="2260">
        <f>AK212+AK213+AK214</f>
        <v>0</v>
      </c>
    </row>
    <row r="217" spans="30:37">
      <c r="AD217" s="2303" t="s">
        <v>1946</v>
      </c>
      <c r="AG217" s="2318">
        <v>0</v>
      </c>
      <c r="AH217" s="2318"/>
      <c r="AI217" s="2318">
        <v>0</v>
      </c>
      <c r="AK217" s="2318">
        <v>0</v>
      </c>
    </row>
    <row r="219" spans="30:37">
      <c r="AG219" s="2319"/>
    </row>
    <row r="220" spans="30:37">
      <c r="AD220" s="2326" t="s">
        <v>1955</v>
      </c>
      <c r="AE220" s="2326"/>
      <c r="AF220" s="2326"/>
      <c r="AG220" s="2326"/>
      <c r="AH220" s="2326"/>
      <c r="AI220" s="2326"/>
    </row>
    <row r="221" spans="30:37">
      <c r="AD221" s="2327" t="s">
        <v>2052</v>
      </c>
      <c r="AE221" s="2326"/>
      <c r="AF221" s="2326"/>
      <c r="AG221" s="2326"/>
      <c r="AH221" s="2326"/>
      <c r="AI221" s="2326"/>
    </row>
    <row r="223" spans="30:37">
      <c r="AD223" s="2323" t="s">
        <v>1954</v>
      </c>
    </row>
    <row r="224" spans="30:37">
      <c r="AD224" s="2303" t="s">
        <v>1952</v>
      </c>
    </row>
    <row r="225" spans="30:37">
      <c r="AD225" s="2307" t="s">
        <v>1951</v>
      </c>
      <c r="AE225" s="2318">
        <v>0</v>
      </c>
      <c r="AF225" s="2260">
        <v>0</v>
      </c>
      <c r="AG225" s="2319">
        <f>AE225*AF225/100</f>
        <v>0</v>
      </c>
      <c r="AH225" s="2322">
        <f>MIN(AF225,AH231)</f>
        <v>0</v>
      </c>
      <c r="AI225" s="2319">
        <f>AH225*AE225/100</f>
        <v>0</v>
      </c>
      <c r="AJ225" s="2260">
        <f>AF225-AH225</f>
        <v>0</v>
      </c>
      <c r="AK225" s="2319">
        <f>AJ225*AE225/100</f>
        <v>0</v>
      </c>
    </row>
    <row r="226" spans="30:37">
      <c r="AD226" s="2307" t="s">
        <v>1950</v>
      </c>
      <c r="AE226" s="2318">
        <v>0</v>
      </c>
      <c r="AF226" s="2260">
        <v>0</v>
      </c>
      <c r="AG226" s="2319">
        <f>AE226*AF226/100</f>
        <v>0</v>
      </c>
      <c r="AH226" s="2322">
        <f>MIN(AH231-AH225,AF226)</f>
        <v>0</v>
      </c>
      <c r="AI226" s="2319">
        <f>AH226*AE226/100</f>
        <v>0</v>
      </c>
      <c r="AJ226" s="2260">
        <f>AF226-AH226</f>
        <v>0</v>
      </c>
      <c r="AK226" s="2319">
        <f>AJ226*AE226/100</f>
        <v>0</v>
      </c>
    </row>
    <row r="227" spans="30:37">
      <c r="AD227" s="2307" t="s">
        <v>1949</v>
      </c>
      <c r="AE227" s="2318">
        <v>0</v>
      </c>
      <c r="AF227" s="2260">
        <v>0</v>
      </c>
      <c r="AG227" s="2319">
        <f>AE227*AF227/100</f>
        <v>0</v>
      </c>
      <c r="AH227" s="2322">
        <f>MIN(AH231-AH225-AH226,AF227)</f>
        <v>0</v>
      </c>
      <c r="AI227" s="2319">
        <f>AH227*AE227/100</f>
        <v>0</v>
      </c>
      <c r="AJ227" s="2260">
        <f>AF227-AH227</f>
        <v>0</v>
      </c>
      <c r="AK227" s="2319">
        <f>AJ227*AE227/100</f>
        <v>0</v>
      </c>
    </row>
    <row r="228" spans="30:37">
      <c r="AD228" s="2307" t="s">
        <v>1948</v>
      </c>
      <c r="AE228" s="2318">
        <v>0</v>
      </c>
      <c r="AF228" s="2260">
        <v>0</v>
      </c>
      <c r="AG228" s="2319">
        <f>AE228*AF228/100</f>
        <v>0</v>
      </c>
      <c r="AH228" s="2322">
        <f>MIN(AH231-AH225-AH226-AH227,AF228)</f>
        <v>0</v>
      </c>
      <c r="AI228" s="2319">
        <f>AH228*AE228/100</f>
        <v>0</v>
      </c>
      <c r="AJ228" s="2260">
        <f>AF228-AH228</f>
        <v>0</v>
      </c>
      <c r="AK228" s="2319">
        <f>AJ228*AE228/100</f>
        <v>0</v>
      </c>
    </row>
    <row r="229" spans="30:37">
      <c r="AD229" s="2307" t="s">
        <v>1947</v>
      </c>
      <c r="AE229" s="2318">
        <v>0</v>
      </c>
      <c r="AF229" s="2260">
        <v>0</v>
      </c>
      <c r="AG229" s="2319">
        <f>AE229*AF229/100</f>
        <v>0</v>
      </c>
      <c r="AH229" s="2322">
        <f>MIN(AH231-AH225-AH226-AH227-AH228,AF229)</f>
        <v>0</v>
      </c>
      <c r="AI229" s="2319">
        <f>AH229*AE229/100</f>
        <v>0</v>
      </c>
      <c r="AJ229" s="2260">
        <f>AF229-AH229</f>
        <v>0</v>
      </c>
      <c r="AK229" s="2319">
        <f>AJ229*AE229/100</f>
        <v>0</v>
      </c>
    </row>
    <row r="230" spans="30:37">
      <c r="AF230" s="2321"/>
      <c r="AG230" s="2321"/>
      <c r="AH230" s="2321"/>
      <c r="AI230" s="2321"/>
      <c r="AJ230" s="2321"/>
      <c r="AK230" s="2325"/>
    </row>
    <row r="231" spans="30:37">
      <c r="AD231" s="2303" t="s">
        <v>198</v>
      </c>
      <c r="AF231" s="2260">
        <f>AF225+AF226+AF229+AF227+AF228</f>
        <v>0</v>
      </c>
      <c r="AG231" s="2319">
        <f>AG225+AG226+AG229+AG227+AG228</f>
        <v>0</v>
      </c>
      <c r="AH231" s="2324">
        <v>0</v>
      </c>
      <c r="AI231" s="2319">
        <f>AI225+AI226+AI229</f>
        <v>0</v>
      </c>
      <c r="AJ231" s="2260">
        <f>AJ225+AJ226+AJ229+AJ227+AJ228</f>
        <v>0</v>
      </c>
      <c r="AK231" s="2319">
        <f>AK225+AK226+AK229+AK227+AK228</f>
        <v>0</v>
      </c>
    </row>
    <row r="232" spans="30:37">
      <c r="AD232" s="2303" t="s">
        <v>1946</v>
      </c>
      <c r="AG232" s="2318">
        <v>0</v>
      </c>
      <c r="AH232" s="2318"/>
      <c r="AI232" s="2318">
        <v>0</v>
      </c>
      <c r="AK232" s="2318">
        <v>0</v>
      </c>
    </row>
    <row r="235" spans="30:37">
      <c r="AD235" s="2323" t="s">
        <v>1953</v>
      </c>
    </row>
    <row r="236" spans="30:37">
      <c r="AD236" s="2303" t="s">
        <v>1952</v>
      </c>
    </row>
    <row r="237" spans="30:37">
      <c r="AD237" s="2307" t="s">
        <v>1951</v>
      </c>
      <c r="AE237" s="2318">
        <v>0</v>
      </c>
      <c r="AF237" s="2260">
        <v>0</v>
      </c>
      <c r="AG237" s="2319">
        <f>AE237*AF237/100</f>
        <v>0</v>
      </c>
      <c r="AH237" s="2322">
        <f>MIN(AF237,AH243)</f>
        <v>0</v>
      </c>
      <c r="AI237" s="2319">
        <f>AH237*AE237/100</f>
        <v>0</v>
      </c>
      <c r="AJ237" s="2260">
        <f>AF237-AH237</f>
        <v>0</v>
      </c>
      <c r="AK237" s="2319">
        <f>AJ237*AE237/100</f>
        <v>0</v>
      </c>
    </row>
    <row r="238" spans="30:37">
      <c r="AD238" s="2307" t="s">
        <v>1950</v>
      </c>
      <c r="AE238" s="2318">
        <v>0</v>
      </c>
      <c r="AF238" s="2260">
        <v>0</v>
      </c>
      <c r="AG238" s="2319">
        <f>AE238*AF238/100</f>
        <v>0</v>
      </c>
      <c r="AH238" s="2322">
        <f>MIN(AH243-AH237,AF238)</f>
        <v>0</v>
      </c>
      <c r="AI238" s="2319">
        <f>AH238*AE238/100</f>
        <v>0</v>
      </c>
      <c r="AJ238" s="2260">
        <f>AF238-AH238</f>
        <v>0</v>
      </c>
      <c r="AK238" s="2319">
        <f>AJ238*AE238/100</f>
        <v>0</v>
      </c>
    </row>
    <row r="239" spans="30:37">
      <c r="AD239" s="2307" t="s">
        <v>1949</v>
      </c>
      <c r="AE239" s="2318">
        <v>0</v>
      </c>
      <c r="AF239" s="2260">
        <v>0</v>
      </c>
      <c r="AG239" s="2319">
        <f>AE239*AF239/100</f>
        <v>0</v>
      </c>
      <c r="AH239" s="2322">
        <f>MIN(AH243-AH237-AH238,AF239)</f>
        <v>0</v>
      </c>
      <c r="AI239" s="2319">
        <f>AH239*AE239/100</f>
        <v>0</v>
      </c>
      <c r="AJ239" s="2260">
        <f>AF239-AH239</f>
        <v>0</v>
      </c>
      <c r="AK239" s="2319">
        <f>AJ239*AE239/100</f>
        <v>0</v>
      </c>
    </row>
    <row r="240" spans="30:37">
      <c r="AD240" s="2307" t="s">
        <v>1948</v>
      </c>
      <c r="AE240" s="2318">
        <v>0</v>
      </c>
      <c r="AF240" s="2260">
        <v>0</v>
      </c>
      <c r="AG240" s="2319">
        <f>AE240*AF240/100</f>
        <v>0</v>
      </c>
      <c r="AH240" s="2322">
        <f>MIN(AH243-AH237-AH238-AH239,AF240)</f>
        <v>0</v>
      </c>
      <c r="AI240" s="2319">
        <f>AH240*AE240/100</f>
        <v>0</v>
      </c>
      <c r="AJ240" s="2260">
        <f>AF240-AH240</f>
        <v>0</v>
      </c>
      <c r="AK240" s="2319">
        <f>AJ240*AE240/100</f>
        <v>0</v>
      </c>
    </row>
    <row r="241" spans="30:37">
      <c r="AD241" s="2307" t="s">
        <v>1947</v>
      </c>
      <c r="AE241" s="2318">
        <v>0</v>
      </c>
      <c r="AF241" s="2260">
        <v>0</v>
      </c>
      <c r="AG241" s="2319">
        <f>AE241*AF241/100</f>
        <v>0</v>
      </c>
      <c r="AH241" s="2322">
        <f>MIN(AH243-AH237-AH238-AH239-AH240,AF241)</f>
        <v>0</v>
      </c>
      <c r="AI241" s="2319">
        <f>AH241*AE241/100</f>
        <v>0</v>
      </c>
      <c r="AJ241" s="2260">
        <f>AF241-AH241</f>
        <v>0</v>
      </c>
      <c r="AK241" s="2319">
        <f>AJ241*AE241/100</f>
        <v>0</v>
      </c>
    </row>
    <row r="242" spans="30:37">
      <c r="AF242" s="2321"/>
      <c r="AG242" s="2321"/>
      <c r="AH242" s="2321"/>
      <c r="AI242" s="2321"/>
      <c r="AJ242" s="2321"/>
      <c r="AK242" s="2321"/>
    </row>
    <row r="243" spans="30:37">
      <c r="AD243" s="2303" t="s">
        <v>198</v>
      </c>
      <c r="AF243" s="2260">
        <f>AF237+AF238+AF239+AF240+AF241</f>
        <v>0</v>
      </c>
      <c r="AG243" s="2319">
        <f>AG237+AG238+AG239+AG240+AG241</f>
        <v>0</v>
      </c>
      <c r="AH243" s="2320">
        <f>AH231</f>
        <v>0</v>
      </c>
      <c r="AI243" s="2319">
        <f>AI237+AI238+AI239</f>
        <v>0</v>
      </c>
      <c r="AJ243" s="2260">
        <f>AJ237+AJ238+AJ239+AJ240+AJ241</f>
        <v>0</v>
      </c>
      <c r="AK243" s="2260">
        <f>AK236+AK237+AK238+AK239+AK240+AK241</f>
        <v>0</v>
      </c>
    </row>
    <row r="244" spans="30:37">
      <c r="AD244" s="2303" t="s">
        <v>1946</v>
      </c>
      <c r="AG244" s="2318">
        <v>0</v>
      </c>
      <c r="AH244" s="2318"/>
      <c r="AI244" s="2318">
        <v>0</v>
      </c>
      <c r="AK244" s="2318">
        <v>0</v>
      </c>
    </row>
    <row r="245" spans="30:37">
      <c r="AF245" s="2260"/>
      <c r="AG245" s="2260"/>
    </row>
    <row r="247" spans="30:37">
      <c r="AD247" s="2303" t="s">
        <v>1945</v>
      </c>
    </row>
    <row r="248" spans="30:37">
      <c r="AD248" s="2317"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3"/>
  <cols>
    <col min="1" max="1" width="35.54296875" style="477" customWidth="1"/>
    <col min="2" max="2" width="11.54296875" style="477" customWidth="1"/>
    <col min="3" max="3" width="11.1796875" style="477" customWidth="1"/>
    <col min="4" max="4" width="12.26953125" style="477" bestFit="1" customWidth="1"/>
    <col min="5" max="6" width="11.453125" style="477" customWidth="1"/>
    <col min="7" max="7" width="4.1796875" style="941" customWidth="1"/>
    <col min="8" max="8" width="11.54296875" style="477" customWidth="1"/>
    <col min="9" max="9" width="11.453125" style="477" customWidth="1"/>
    <col min="10" max="10" width="11.54296875" style="477" customWidth="1"/>
    <col min="11" max="11" width="10.54296875" style="477" customWidth="1"/>
    <col min="12" max="12" width="11.453125" style="941" customWidth="1"/>
    <col min="13" max="13" width="11.453125" style="477" bestFit="1" customWidth="1"/>
    <col min="14" max="14" width="4.81640625" style="477" customWidth="1"/>
    <col min="15" max="15" width="1.7265625" style="2129" customWidth="1"/>
    <col min="17" max="17" width="8.81640625" style="2397"/>
    <col min="18" max="18" width="9.54296875" style="2397" customWidth="1"/>
    <col min="19" max="19" width="9.7265625" style="2399" customWidth="1"/>
    <col min="20" max="20" width="9.453125" style="2398" customWidth="1"/>
    <col min="21" max="21" width="18.1796875" style="2398" customWidth="1"/>
    <col min="22" max="22" width="14.453125" style="2398" customWidth="1"/>
    <col min="23" max="23" width="13.1796875" style="2398" customWidth="1"/>
    <col min="24" max="29" width="12.7265625" style="2397" customWidth="1"/>
    <col min="30" max="32" width="12.7265625" style="2397" hidden="1" customWidth="1"/>
    <col min="33" max="35" width="8" style="2397"/>
    <col min="36" max="36" width="12.26953125" style="2397" customWidth="1"/>
    <col min="37" max="37" width="8.81640625" style="2397"/>
  </cols>
  <sheetData>
    <row r="1" spans="1:37" ht="15.5">
      <c r="A1" s="3883" t="s">
        <v>111</v>
      </c>
      <c r="B1" s="3883"/>
      <c r="C1" s="3883"/>
      <c r="D1" s="3883"/>
      <c r="E1" s="3883"/>
      <c r="F1" s="3883"/>
      <c r="G1" s="3883"/>
      <c r="H1" s="3883"/>
      <c r="I1" s="3883"/>
      <c r="J1" s="3883"/>
      <c r="K1" s="3883"/>
      <c r="S1" s="2403"/>
      <c r="T1" s="2404"/>
      <c r="U1" s="2402"/>
      <c r="V1" s="2401"/>
      <c r="W1" s="2401"/>
      <c r="X1" s="2429"/>
      <c r="Y1" s="2429"/>
      <c r="Z1" s="2429"/>
      <c r="AA1" s="2429"/>
      <c r="AB1" s="2429"/>
      <c r="AC1" s="2429"/>
      <c r="AD1" s="2429"/>
      <c r="AE1" s="2429"/>
      <c r="AF1" s="2429"/>
      <c r="AJ1" s="2400"/>
      <c r="AK1" s="2400"/>
    </row>
    <row r="2" spans="1:37" ht="15.5">
      <c r="A2" s="3883" t="s">
        <v>895</v>
      </c>
      <c r="B2" s="3883"/>
      <c r="C2" s="3883"/>
      <c r="D2" s="3883"/>
      <c r="E2" s="3883"/>
      <c r="F2" s="3883"/>
      <c r="G2" s="3883"/>
      <c r="H2" s="3883"/>
      <c r="I2" s="3883"/>
      <c r="J2" s="3883"/>
      <c r="K2" s="3883"/>
      <c r="S2" s="2403"/>
      <c r="T2" s="2404"/>
      <c r="U2" s="2402"/>
      <c r="V2" s="2401"/>
      <c r="W2" s="2401"/>
      <c r="X2" s="2429"/>
      <c r="Y2" s="2429"/>
      <c r="Z2" s="2429"/>
      <c r="AA2" s="2429"/>
      <c r="AB2" s="2429"/>
      <c r="AC2" s="2429"/>
      <c r="AD2" s="2429"/>
      <c r="AE2" s="2429"/>
      <c r="AF2" s="2429"/>
      <c r="AJ2" s="2400"/>
      <c r="AK2" s="2400"/>
    </row>
    <row r="3" spans="1:37" ht="15.5">
      <c r="A3" s="3883" t="s">
        <v>580</v>
      </c>
      <c r="B3" s="3883"/>
      <c r="C3" s="3883"/>
      <c r="D3" s="3883"/>
      <c r="E3" s="3883"/>
      <c r="F3" s="3883"/>
      <c r="G3" s="3883"/>
      <c r="H3" s="3883"/>
      <c r="I3" s="3883"/>
      <c r="J3" s="3883"/>
      <c r="K3" s="3883"/>
      <c r="S3" s="2442" t="s">
        <v>2079</v>
      </c>
      <c r="T3" s="2441"/>
      <c r="U3" s="2440"/>
      <c r="V3" s="2439"/>
      <c r="W3" s="2438" t="s">
        <v>2078</v>
      </c>
      <c r="X3" s="2429"/>
      <c r="Y3" s="2429"/>
      <c r="Z3" s="2429" t="s">
        <v>111</v>
      </c>
      <c r="AA3" s="2429"/>
      <c r="AB3" s="2429"/>
      <c r="AC3" s="2429"/>
      <c r="AD3" s="2429"/>
      <c r="AE3" s="2429"/>
      <c r="AF3" s="2429"/>
      <c r="AJ3" s="2400"/>
      <c r="AK3" s="2400"/>
    </row>
    <row r="4" spans="1:37" ht="15.5">
      <c r="S4" s="2437" t="s">
        <v>2077</v>
      </c>
      <c r="T4" s="2436"/>
      <c r="U4" s="2435"/>
      <c r="V4" s="2434"/>
      <c r="W4" s="2433" t="s">
        <v>2080</v>
      </c>
      <c r="X4" s="2429" t="s">
        <v>2081</v>
      </c>
      <c r="Y4" s="2429"/>
      <c r="Z4" s="2429"/>
      <c r="AA4" s="2429"/>
      <c r="AB4" s="2429"/>
      <c r="AC4" s="2429"/>
      <c r="AD4" s="2429"/>
      <c r="AE4" s="2429"/>
      <c r="AF4" s="2429"/>
      <c r="AJ4" s="2400"/>
      <c r="AK4" s="2400"/>
    </row>
    <row r="5" spans="1:37" ht="15.5">
      <c r="C5" s="3892" t="s">
        <v>18</v>
      </c>
      <c r="D5" s="3893"/>
      <c r="E5" s="3894"/>
      <c r="H5" s="3892" t="s">
        <v>11</v>
      </c>
      <c r="I5" s="3893"/>
      <c r="J5" s="3894"/>
      <c r="S5" s="2432" t="s">
        <v>2082</v>
      </c>
      <c r="T5" s="2401"/>
      <c r="U5" s="2401"/>
      <c r="V5" s="2431"/>
      <c r="W5" s="2430"/>
      <c r="X5" s="2429"/>
      <c r="Y5" s="2429"/>
      <c r="Z5" s="2429"/>
      <c r="AA5" s="2429"/>
      <c r="AB5" s="2429"/>
      <c r="AC5" s="2429"/>
      <c r="AD5" s="2429"/>
      <c r="AE5" s="2429"/>
      <c r="AF5" s="2429"/>
      <c r="AJ5" s="2400"/>
      <c r="AK5" s="2400"/>
    </row>
    <row r="6" spans="1:37" ht="26">
      <c r="A6" s="477" t="s">
        <v>70</v>
      </c>
      <c r="B6" s="931" t="s">
        <v>2065</v>
      </c>
      <c r="C6" s="1153" t="s">
        <v>2064</v>
      </c>
      <c r="D6" s="931" t="s">
        <v>887</v>
      </c>
      <c r="E6" s="1154" t="s">
        <v>19</v>
      </c>
      <c r="F6" s="931" t="s">
        <v>904</v>
      </c>
      <c r="G6" s="931"/>
      <c r="H6" s="1153" t="s">
        <v>2063</v>
      </c>
      <c r="I6" s="931" t="s">
        <v>885</v>
      </c>
      <c r="J6" s="1152" t="s">
        <v>19</v>
      </c>
      <c r="K6" s="931" t="s">
        <v>883</v>
      </c>
      <c r="M6" s="931" t="s">
        <v>882</v>
      </c>
      <c r="S6" s="2428" t="s">
        <v>916</v>
      </c>
      <c r="T6" s="2424"/>
      <c r="U6" s="2422"/>
      <c r="V6" s="2427"/>
      <c r="W6" s="2426"/>
      <c r="X6" s="3980" t="s">
        <v>2076</v>
      </c>
      <c r="Y6" s="3981"/>
      <c r="Z6" s="3981"/>
      <c r="AA6" s="3981" t="s">
        <v>2075</v>
      </c>
      <c r="AB6" s="3981"/>
      <c r="AC6" s="3981"/>
      <c r="AD6" s="3981" t="s">
        <v>2074</v>
      </c>
      <c r="AE6" s="3981"/>
      <c r="AF6" s="3981"/>
      <c r="AJ6" s="2400"/>
      <c r="AK6" s="2400"/>
    </row>
    <row r="7" spans="1:37" ht="15.5">
      <c r="C7" s="935"/>
      <c r="E7" s="933"/>
      <c r="H7" s="935"/>
      <c r="J7" s="933"/>
      <c r="M7" s="941"/>
      <c r="S7" s="2425" t="s">
        <v>2073</v>
      </c>
      <c r="T7" s="2424" t="s">
        <v>818</v>
      </c>
      <c r="U7" s="2423" t="s">
        <v>70</v>
      </c>
      <c r="V7" s="2422"/>
      <c r="W7" s="2422"/>
      <c r="X7" s="2421" t="s">
        <v>686</v>
      </c>
      <c r="Y7" s="2421" t="s">
        <v>809</v>
      </c>
      <c r="Z7" s="2421" t="s">
        <v>24</v>
      </c>
      <c r="AA7" s="2421" t="s">
        <v>686</v>
      </c>
      <c r="AB7" s="2421" t="s">
        <v>809</v>
      </c>
      <c r="AC7" s="2421" t="s">
        <v>24</v>
      </c>
      <c r="AD7" s="2421" t="s">
        <v>686</v>
      </c>
      <c r="AE7" s="2421" t="s">
        <v>809</v>
      </c>
      <c r="AF7" s="2421" t="s">
        <v>24</v>
      </c>
      <c r="AJ7" s="2400"/>
      <c r="AK7" s="2400"/>
    </row>
    <row r="8" spans="1:37" ht="15.5">
      <c r="C8" s="935"/>
      <c r="E8" s="933"/>
      <c r="H8" s="935"/>
      <c r="J8" s="933"/>
      <c r="M8" s="941"/>
      <c r="Q8" s="2397">
        <v>434726</v>
      </c>
      <c r="R8" s="2397">
        <v>434731</v>
      </c>
      <c r="S8" s="2403">
        <v>99</v>
      </c>
      <c r="T8" s="2408">
        <v>407230</v>
      </c>
      <c r="U8" s="2402" t="s">
        <v>450</v>
      </c>
      <c r="V8" s="2401"/>
      <c r="W8" s="2401"/>
      <c r="X8" s="2405">
        <f t="shared" ref="X8:X27" si="0">AA8+AD8</f>
        <v>-30596</v>
      </c>
      <c r="Y8" s="2407">
        <v>0</v>
      </c>
      <c r="Z8" s="2406">
        <f t="shared" ref="Z8:Z27" si="1">X8+Y8</f>
        <v>-30596</v>
      </c>
      <c r="AA8" s="2412">
        <v>-30596</v>
      </c>
      <c r="AB8" s="2412">
        <v>0</v>
      </c>
      <c r="AC8" s="2413">
        <f t="shared" ref="AC8:AC27" si="2">AA8+AB8</f>
        <v>-30596</v>
      </c>
      <c r="AD8" s="2412">
        <v>0</v>
      </c>
      <c r="AE8" s="2412">
        <v>0</v>
      </c>
      <c r="AF8" s="2405">
        <f t="shared" ref="AF8:AF27" si="3">AD8+AE8</f>
        <v>0</v>
      </c>
      <c r="AG8" s="2411" t="s">
        <v>2066</v>
      </c>
      <c r="AH8" s="2410"/>
      <c r="AI8" s="2410"/>
      <c r="AJ8" s="2400"/>
      <c r="AK8" s="2400"/>
    </row>
    <row r="9" spans="1:37" ht="15.5">
      <c r="A9" s="477" t="s">
        <v>363</v>
      </c>
      <c r="B9" s="941">
        <v>10</v>
      </c>
      <c r="C9" s="1173">
        <v>0</v>
      </c>
      <c r="D9" s="1168">
        <v>0</v>
      </c>
      <c r="E9" s="1172">
        <f>C9-D9</f>
        <v>0</v>
      </c>
      <c r="F9" s="515" t="s">
        <v>876</v>
      </c>
      <c r="G9" s="1167"/>
      <c r="H9" s="1173">
        <v>0</v>
      </c>
      <c r="I9" s="1168">
        <v>0</v>
      </c>
      <c r="J9" s="1172">
        <f>H9-I9</f>
        <v>0</v>
      </c>
      <c r="M9" s="941" t="s">
        <v>903</v>
      </c>
      <c r="Q9" s="2397">
        <v>439679</v>
      </c>
      <c r="R9" s="2397">
        <v>439684</v>
      </c>
      <c r="S9" s="2403">
        <v>99</v>
      </c>
      <c r="T9" s="2408">
        <v>407302</v>
      </c>
      <c r="U9" s="2402" t="s">
        <v>451</v>
      </c>
      <c r="V9" s="2401"/>
      <c r="W9" s="2401"/>
      <c r="X9" s="2405">
        <f t="shared" si="0"/>
        <v>2037268</v>
      </c>
      <c r="Y9" s="2407">
        <v>0</v>
      </c>
      <c r="Z9" s="2406">
        <f t="shared" si="1"/>
        <v>2037268</v>
      </c>
      <c r="AA9" s="2412">
        <v>2037268</v>
      </c>
      <c r="AB9" s="2412">
        <v>0</v>
      </c>
      <c r="AC9" s="2413">
        <f t="shared" si="2"/>
        <v>2037268</v>
      </c>
      <c r="AD9" s="2418">
        <v>0</v>
      </c>
      <c r="AE9" s="2418">
        <v>0</v>
      </c>
      <c r="AF9" s="2417">
        <f t="shared" si="3"/>
        <v>0</v>
      </c>
      <c r="AG9" s="2411" t="s">
        <v>2066</v>
      </c>
      <c r="AH9" s="2410"/>
      <c r="AI9" s="2410"/>
      <c r="AJ9" s="2400"/>
      <c r="AK9" s="2400"/>
    </row>
    <row r="10" spans="1:37" ht="15.5">
      <c r="B10" s="941"/>
      <c r="C10" s="1173"/>
      <c r="D10" s="1168"/>
      <c r="E10" s="1172"/>
      <c r="F10" s="515"/>
      <c r="G10" s="1167"/>
      <c r="H10" s="1173"/>
      <c r="I10" s="1168"/>
      <c r="J10" s="1172"/>
      <c r="M10" s="941"/>
      <c r="Q10" s="2397">
        <v>451710</v>
      </c>
      <c r="R10" s="2397">
        <v>451715</v>
      </c>
      <c r="S10" s="2403">
        <v>99</v>
      </c>
      <c r="T10" s="2408">
        <v>407305</v>
      </c>
      <c r="U10" s="2402" t="s">
        <v>463</v>
      </c>
      <c r="V10" s="2401"/>
      <c r="W10" s="2401"/>
      <c r="X10" s="2405">
        <f t="shared" si="0"/>
        <v>0</v>
      </c>
      <c r="Y10" s="2407">
        <v>0</v>
      </c>
      <c r="Z10" s="2406">
        <f t="shared" si="1"/>
        <v>0</v>
      </c>
      <c r="AA10" s="2412">
        <v>0</v>
      </c>
      <c r="AB10" s="2412">
        <v>0</v>
      </c>
      <c r="AC10" s="2406">
        <f t="shared" si="2"/>
        <v>0</v>
      </c>
      <c r="AD10" s="2412">
        <v>0</v>
      </c>
      <c r="AE10" s="2412">
        <v>0</v>
      </c>
      <c r="AF10" s="2405">
        <f t="shared" si="3"/>
        <v>0</v>
      </c>
      <c r="AJ10" s="2400"/>
      <c r="AK10" s="2400"/>
    </row>
    <row r="11" spans="1:37" ht="15.5">
      <c r="A11" s="477" t="s">
        <v>364</v>
      </c>
      <c r="B11" s="941">
        <v>11</v>
      </c>
      <c r="C11" s="1171">
        <v>-1377.32</v>
      </c>
      <c r="D11" s="1170">
        <v>-1377</v>
      </c>
      <c r="E11" s="1169">
        <f>C11-D11</f>
        <v>-0.31999999999993634</v>
      </c>
      <c r="F11" s="515" t="s">
        <v>876</v>
      </c>
      <c r="G11" s="1167"/>
      <c r="H11" s="1171">
        <v>64.319999999999993</v>
      </c>
      <c r="I11" s="1170">
        <v>64.319999999999993</v>
      </c>
      <c r="J11" s="1169">
        <f>H11-I11</f>
        <v>0</v>
      </c>
      <c r="K11" s="477">
        <v>905000</v>
      </c>
      <c r="L11" s="941" t="s">
        <v>875</v>
      </c>
      <c r="M11" s="941" t="s">
        <v>902</v>
      </c>
      <c r="Q11" s="2397">
        <v>465294</v>
      </c>
      <c r="R11" s="2397">
        <v>465299</v>
      </c>
      <c r="S11" s="2403">
        <v>99</v>
      </c>
      <c r="T11" s="2408">
        <v>407306</v>
      </c>
      <c r="U11" s="2402" t="s">
        <v>586</v>
      </c>
      <c r="V11" s="2401"/>
      <c r="W11" s="2401"/>
      <c r="X11" s="2405">
        <f t="shared" si="0"/>
        <v>846808</v>
      </c>
      <c r="Y11" s="2407">
        <f>AB11+AE11</f>
        <v>0</v>
      </c>
      <c r="Z11" s="2406">
        <f t="shared" si="1"/>
        <v>846808</v>
      </c>
      <c r="AA11" s="2412">
        <v>846808</v>
      </c>
      <c r="AB11" s="2412">
        <v>0</v>
      </c>
      <c r="AC11" s="2406">
        <f t="shared" si="2"/>
        <v>846808</v>
      </c>
      <c r="AD11" s="2412">
        <v>0</v>
      </c>
      <c r="AE11" s="2412">
        <v>0</v>
      </c>
      <c r="AF11" s="2405">
        <f t="shared" si="3"/>
        <v>0</v>
      </c>
      <c r="AG11" s="2397" t="s">
        <v>2070</v>
      </c>
      <c r="AJ11" s="2400"/>
      <c r="AK11" s="2400"/>
    </row>
    <row r="12" spans="1:37" ht="15.5">
      <c r="B12" s="941"/>
      <c r="C12" s="1173"/>
      <c r="D12" s="1168"/>
      <c r="E12" s="1172"/>
      <c r="F12" s="515"/>
      <c r="G12" s="1167"/>
      <c r="H12" s="1173"/>
      <c r="I12" s="1168"/>
      <c r="J12" s="1172"/>
      <c r="M12" s="941"/>
      <c r="Q12" s="2397">
        <v>465280</v>
      </c>
      <c r="R12" s="2397">
        <v>465285</v>
      </c>
      <c r="S12" s="2403">
        <v>99</v>
      </c>
      <c r="T12" s="2408">
        <v>407307</v>
      </c>
      <c r="U12" s="2402" t="s">
        <v>587</v>
      </c>
      <c r="V12" s="2401"/>
      <c r="W12" s="2401"/>
      <c r="X12" s="2405">
        <f t="shared" si="0"/>
        <v>337810</v>
      </c>
      <c r="Y12" s="2407">
        <f>AB12+AE12</f>
        <v>0</v>
      </c>
      <c r="Z12" s="2406">
        <f t="shared" si="1"/>
        <v>337810</v>
      </c>
      <c r="AA12" s="2412">
        <v>337810</v>
      </c>
      <c r="AB12" s="2412">
        <v>0</v>
      </c>
      <c r="AC12" s="2406">
        <f t="shared" si="2"/>
        <v>337810</v>
      </c>
      <c r="AD12" s="2412">
        <v>0</v>
      </c>
      <c r="AE12" s="2412">
        <v>0</v>
      </c>
      <c r="AF12" s="2405">
        <f t="shared" si="3"/>
        <v>0</v>
      </c>
      <c r="AG12" s="2397" t="s">
        <v>2070</v>
      </c>
      <c r="AJ12" s="2400"/>
      <c r="AK12" s="2400"/>
    </row>
    <row r="13" spans="1:37" ht="15.5">
      <c r="A13" s="2089" t="s">
        <v>2062</v>
      </c>
      <c r="B13" s="941"/>
      <c r="C13" s="1173"/>
      <c r="D13" s="1168"/>
      <c r="E13" s="1172"/>
      <c r="F13" s="515"/>
      <c r="G13" s="1167"/>
      <c r="H13" s="1173"/>
      <c r="I13" s="1168"/>
      <c r="J13" s="1172"/>
      <c r="M13" s="941"/>
      <c r="Q13" s="2397">
        <v>445084</v>
      </c>
      <c r="R13" s="2397">
        <v>445089</v>
      </c>
      <c r="S13" s="2403">
        <v>99</v>
      </c>
      <c r="T13" s="2408">
        <v>407311</v>
      </c>
      <c r="U13" s="2402" t="s">
        <v>452</v>
      </c>
      <c r="V13" s="2401"/>
      <c r="W13" s="2401"/>
      <c r="X13" s="2405">
        <f t="shared" si="0"/>
        <v>59647</v>
      </c>
      <c r="Y13" s="2407">
        <f>AB13+AE13</f>
        <v>225445</v>
      </c>
      <c r="Z13" s="2406">
        <f t="shared" si="1"/>
        <v>285092</v>
      </c>
      <c r="AA13" s="2412">
        <v>47548</v>
      </c>
      <c r="AB13" s="2412">
        <v>160350</v>
      </c>
      <c r="AC13" s="2406">
        <f t="shared" si="2"/>
        <v>207898</v>
      </c>
      <c r="AD13" s="2412">
        <v>12099</v>
      </c>
      <c r="AE13" s="2412">
        <v>65095</v>
      </c>
      <c r="AF13" s="2405">
        <f t="shared" si="3"/>
        <v>77194</v>
      </c>
      <c r="AG13" s="2419" t="s">
        <v>2072</v>
      </c>
      <c r="AJ13" s="2400"/>
      <c r="AK13" s="2400"/>
    </row>
    <row r="14" spans="1:37" ht="15.5">
      <c r="A14" s="477" t="s">
        <v>2061</v>
      </c>
      <c r="B14" s="941"/>
      <c r="C14" s="1173"/>
      <c r="D14" s="1168"/>
      <c r="E14" s="1172"/>
      <c r="F14" s="515"/>
      <c r="G14" s="1167"/>
      <c r="H14" s="1173">
        <v>0</v>
      </c>
      <c r="I14" s="1168">
        <f>'G-3.02 PF Def DR&amp;CR'!AC8</f>
        <v>-30596</v>
      </c>
      <c r="J14" s="1172">
        <f t="shared" ref="J14:J20" si="4">H14-I14</f>
        <v>30596</v>
      </c>
      <c r="K14" s="477">
        <v>407230</v>
      </c>
      <c r="M14" s="941"/>
      <c r="Q14" s="2397">
        <v>452690</v>
      </c>
      <c r="R14" s="2397">
        <v>452695</v>
      </c>
      <c r="S14" s="2403">
        <v>99</v>
      </c>
      <c r="T14" s="2408">
        <v>407314</v>
      </c>
      <c r="U14" s="2402" t="s">
        <v>501</v>
      </c>
      <c r="V14" s="2401"/>
      <c r="W14" s="2401"/>
      <c r="X14" s="2405">
        <f t="shared" si="0"/>
        <v>158334</v>
      </c>
      <c r="Y14" s="2407">
        <f>AB14+AE14</f>
        <v>0</v>
      </c>
      <c r="Z14" s="2406">
        <f t="shared" si="1"/>
        <v>158334</v>
      </c>
      <c r="AA14" s="2412">
        <v>0</v>
      </c>
      <c r="AB14" s="2412">
        <v>0</v>
      </c>
      <c r="AC14" s="2406">
        <f t="shared" si="2"/>
        <v>0</v>
      </c>
      <c r="AD14" s="2412">
        <v>158334</v>
      </c>
      <c r="AE14" s="2412">
        <v>0</v>
      </c>
      <c r="AF14" s="2405">
        <f t="shared" si="3"/>
        <v>158334</v>
      </c>
      <c r="AJ14" s="2400"/>
      <c r="AK14" s="2400"/>
    </row>
    <row r="15" spans="1:37" ht="15.5">
      <c r="A15" s="477" t="s">
        <v>2060</v>
      </c>
      <c r="B15" s="941"/>
      <c r="C15" s="1173"/>
      <c r="D15" s="1168"/>
      <c r="E15" s="1172"/>
      <c r="F15" s="515"/>
      <c r="G15" s="1167"/>
      <c r="H15" s="1173">
        <v>0</v>
      </c>
      <c r="I15" s="1168">
        <f>'G-3.02 PF Def DR&amp;CR'!AC9</f>
        <v>2037268</v>
      </c>
      <c r="J15" s="1172">
        <f t="shared" si="4"/>
        <v>-2037268</v>
      </c>
      <c r="K15" s="477">
        <v>407302</v>
      </c>
      <c r="M15" s="941"/>
      <c r="Q15" s="2397">
        <v>445070</v>
      </c>
      <c r="R15" s="2397">
        <v>445075</v>
      </c>
      <c r="S15" s="2403">
        <v>99</v>
      </c>
      <c r="T15" s="2408">
        <v>407319</v>
      </c>
      <c r="U15" s="2402" t="s">
        <v>453</v>
      </c>
      <c r="V15" s="2401"/>
      <c r="W15" s="2401"/>
      <c r="X15" s="2405">
        <f t="shared" si="0"/>
        <v>0</v>
      </c>
      <c r="Y15" s="2407">
        <v>0</v>
      </c>
      <c r="Z15" s="2406">
        <f t="shared" si="1"/>
        <v>0</v>
      </c>
      <c r="AA15" s="2412">
        <v>0</v>
      </c>
      <c r="AB15" s="2412">
        <v>0</v>
      </c>
      <c r="AC15" s="2406">
        <f t="shared" si="2"/>
        <v>0</v>
      </c>
      <c r="AD15" s="2412">
        <v>0</v>
      </c>
      <c r="AE15" s="2412">
        <v>0</v>
      </c>
      <c r="AF15" s="2405">
        <f t="shared" si="3"/>
        <v>0</v>
      </c>
      <c r="AJ15" s="2400"/>
      <c r="AK15" s="2400"/>
    </row>
    <row r="16" spans="1:37" ht="15.5">
      <c r="A16" s="477" t="s">
        <v>2059</v>
      </c>
      <c r="B16" s="941"/>
      <c r="C16" s="1173"/>
      <c r="D16" s="1168"/>
      <c r="E16" s="1172"/>
      <c r="F16" s="515"/>
      <c r="G16" s="1167"/>
      <c r="H16" s="1173">
        <v>0</v>
      </c>
      <c r="I16" s="1168">
        <f>'G-3.02 PF Def DR&amp;CR'!AC18</f>
        <v>48374</v>
      </c>
      <c r="J16" s="1172">
        <f t="shared" si="4"/>
        <v>-48374</v>
      </c>
      <c r="K16" s="477">
        <v>407381</v>
      </c>
      <c r="M16" s="941"/>
      <c r="Q16" s="2397">
        <v>442081</v>
      </c>
      <c r="R16" s="2397">
        <v>442086</v>
      </c>
      <c r="S16" s="2403">
        <v>99</v>
      </c>
      <c r="T16" s="2408">
        <v>407332</v>
      </c>
      <c r="U16" s="2402" t="s">
        <v>454</v>
      </c>
      <c r="V16" s="2401"/>
      <c r="W16" s="2401"/>
      <c r="X16" s="2405">
        <f t="shared" si="0"/>
        <v>0</v>
      </c>
      <c r="Y16" s="2407">
        <v>0</v>
      </c>
      <c r="Z16" s="2406">
        <f t="shared" si="1"/>
        <v>0</v>
      </c>
      <c r="AA16" s="2412">
        <v>0</v>
      </c>
      <c r="AB16" s="2412">
        <v>0</v>
      </c>
      <c r="AC16" s="2406">
        <f t="shared" si="2"/>
        <v>0</v>
      </c>
      <c r="AD16" s="2412">
        <v>0</v>
      </c>
      <c r="AE16" s="2412">
        <v>0</v>
      </c>
      <c r="AF16" s="2405">
        <f t="shared" si="3"/>
        <v>0</v>
      </c>
      <c r="AJ16" s="2400"/>
      <c r="AK16" s="2400"/>
    </row>
    <row r="17" spans="1:37" ht="15.5">
      <c r="A17" s="477" t="s">
        <v>2058</v>
      </c>
      <c r="B17" s="941"/>
      <c r="C17" s="1173"/>
      <c r="D17" s="1168"/>
      <c r="E17" s="1172"/>
      <c r="F17" s="515"/>
      <c r="G17" s="1167"/>
      <c r="H17" s="1173">
        <v>0</v>
      </c>
      <c r="I17" s="1168">
        <f>'G-3.02 PF Def DR&amp;CR'!AC24</f>
        <v>-37628</v>
      </c>
      <c r="J17" s="1172">
        <f t="shared" si="4"/>
        <v>37628</v>
      </c>
      <c r="K17" s="477">
        <v>407452</v>
      </c>
      <c r="M17" s="941"/>
      <c r="Q17" s="2397">
        <v>459519</v>
      </c>
      <c r="R17" s="2397">
        <v>459524</v>
      </c>
      <c r="S17" s="2403">
        <v>99</v>
      </c>
      <c r="T17" s="2414" t="s">
        <v>502</v>
      </c>
      <c r="U17" s="2402" t="s">
        <v>503</v>
      </c>
      <c r="V17" s="2401"/>
      <c r="W17" s="2401"/>
      <c r="X17" s="2405">
        <f t="shared" si="0"/>
        <v>0</v>
      </c>
      <c r="Y17" s="2407">
        <f t="shared" ref="Y17:Y27" si="5">AB17+AE17</f>
        <v>0</v>
      </c>
      <c r="Z17" s="2406">
        <f t="shared" si="1"/>
        <v>0</v>
      </c>
      <c r="AA17" s="2412">
        <v>0</v>
      </c>
      <c r="AB17" s="2412">
        <v>0</v>
      </c>
      <c r="AC17" s="2406">
        <f t="shared" si="2"/>
        <v>0</v>
      </c>
      <c r="AD17" s="2412">
        <v>0</v>
      </c>
      <c r="AE17" s="2412">
        <v>0</v>
      </c>
      <c r="AF17" s="2405">
        <f t="shared" si="3"/>
        <v>0</v>
      </c>
      <c r="AJ17" s="2400"/>
      <c r="AK17" s="2400"/>
    </row>
    <row r="18" spans="1:37" ht="15.5">
      <c r="A18" s="477" t="s">
        <v>2057</v>
      </c>
      <c r="B18" s="941"/>
      <c r="C18" s="1173"/>
      <c r="D18" s="1168"/>
      <c r="E18" s="1172"/>
      <c r="F18" s="515"/>
      <c r="G18" s="1167"/>
      <c r="H18" s="1173">
        <v>0</v>
      </c>
      <c r="I18" s="1168">
        <f>'G-3.02 PF Def DR&amp;CR'!AC26</f>
        <v>-8413</v>
      </c>
      <c r="J18" s="1172">
        <f t="shared" si="4"/>
        <v>8413</v>
      </c>
      <c r="K18" s="477">
        <v>407459</v>
      </c>
      <c r="M18" s="941"/>
      <c r="Q18" s="2397">
        <v>470870</v>
      </c>
      <c r="R18" s="2397">
        <v>470875</v>
      </c>
      <c r="S18" s="2403">
        <v>99</v>
      </c>
      <c r="T18" s="2414" t="s">
        <v>588</v>
      </c>
      <c r="U18" s="2402" t="s">
        <v>589</v>
      </c>
      <c r="V18" s="2401"/>
      <c r="W18" s="2401"/>
      <c r="X18" s="2405">
        <f t="shared" si="0"/>
        <v>53773</v>
      </c>
      <c r="Y18" s="2407">
        <f t="shared" si="5"/>
        <v>0</v>
      </c>
      <c r="Z18" s="2406">
        <f t="shared" si="1"/>
        <v>53773</v>
      </c>
      <c r="AA18" s="2412">
        <v>48374</v>
      </c>
      <c r="AB18" s="2412">
        <v>0</v>
      </c>
      <c r="AC18" s="2413">
        <f t="shared" si="2"/>
        <v>48374</v>
      </c>
      <c r="AD18" s="2420">
        <v>5399</v>
      </c>
      <c r="AE18" s="2420">
        <v>0</v>
      </c>
      <c r="AF18" s="2420">
        <f t="shared" si="3"/>
        <v>5399</v>
      </c>
      <c r="AG18" s="2411" t="s">
        <v>2066</v>
      </c>
      <c r="AH18" s="2410"/>
      <c r="AI18" s="2410"/>
      <c r="AJ18" s="2400"/>
      <c r="AK18" s="2400"/>
    </row>
    <row r="19" spans="1:37" ht="15.5">
      <c r="A19" s="477" t="s">
        <v>2056</v>
      </c>
      <c r="B19" s="941"/>
      <c r="C19" s="1173"/>
      <c r="D19" s="1168"/>
      <c r="E19" s="1172"/>
      <c r="F19" s="515"/>
      <c r="G19" s="1167"/>
      <c r="H19" s="1173">
        <v>0</v>
      </c>
      <c r="I19" s="1168">
        <f>'G-3.02 PF Def DR&amp;CR'!AC27</f>
        <v>-34010</v>
      </c>
      <c r="J19" s="1172">
        <f t="shared" si="4"/>
        <v>34010</v>
      </c>
      <c r="K19" s="477">
        <v>407493</v>
      </c>
      <c r="M19" s="941"/>
      <c r="Q19" s="2397">
        <v>464884</v>
      </c>
      <c r="R19" s="2397">
        <v>464889</v>
      </c>
      <c r="S19" s="2403">
        <v>99</v>
      </c>
      <c r="T19" s="2414" t="s">
        <v>504</v>
      </c>
      <c r="U19" s="2402" t="s">
        <v>505</v>
      </c>
      <c r="V19" s="2401"/>
      <c r="W19" s="2401"/>
      <c r="X19" s="2405">
        <f t="shared" si="0"/>
        <v>-23742</v>
      </c>
      <c r="Y19" s="2407">
        <f t="shared" si="5"/>
        <v>0</v>
      </c>
      <c r="Z19" s="2406">
        <f t="shared" si="1"/>
        <v>-23742</v>
      </c>
      <c r="AA19" s="2412">
        <v>0</v>
      </c>
      <c r="AB19" s="2412">
        <v>0</v>
      </c>
      <c r="AC19" s="2406">
        <f t="shared" si="2"/>
        <v>0</v>
      </c>
      <c r="AD19" s="2412">
        <v>-23742</v>
      </c>
      <c r="AE19" s="2412">
        <v>0</v>
      </c>
      <c r="AF19" s="2405">
        <f t="shared" si="3"/>
        <v>-23742</v>
      </c>
      <c r="AG19" s="2419" t="s">
        <v>2071</v>
      </c>
      <c r="AJ19" s="2400"/>
      <c r="AK19" s="2400"/>
    </row>
    <row r="20" spans="1:37" ht="15.5">
      <c r="A20" s="477" t="s">
        <v>2055</v>
      </c>
      <c r="B20" s="941"/>
      <c r="C20" s="1173"/>
      <c r="D20" s="1168"/>
      <c r="E20" s="1172"/>
      <c r="F20" s="516"/>
      <c r="G20" s="2396"/>
      <c r="H20" s="1173">
        <v>0</v>
      </c>
      <c r="I20" s="1168">
        <f>'G-3.02 PF Def DR&amp;CR'!AC25</f>
        <v>-1731369</v>
      </c>
      <c r="J20" s="1172">
        <f t="shared" si="4"/>
        <v>1731369</v>
      </c>
      <c r="K20" s="477">
        <v>407454</v>
      </c>
      <c r="L20" s="3982" t="s">
        <v>2054</v>
      </c>
      <c r="M20" s="3982"/>
      <c r="Q20" s="2397">
        <v>464898</v>
      </c>
      <c r="R20" s="2397">
        <v>464903</v>
      </c>
      <c r="S20" s="2403">
        <v>99</v>
      </c>
      <c r="T20" s="2414" t="s">
        <v>506</v>
      </c>
      <c r="U20" s="2402" t="s">
        <v>507</v>
      </c>
      <c r="V20" s="2401"/>
      <c r="W20" s="2401"/>
      <c r="X20" s="2405">
        <f t="shared" si="0"/>
        <v>-119254</v>
      </c>
      <c r="Y20" s="2407">
        <f t="shared" si="5"/>
        <v>0</v>
      </c>
      <c r="Z20" s="2406">
        <f t="shared" si="1"/>
        <v>-119254</v>
      </c>
      <c r="AA20" s="2412">
        <v>-48910</v>
      </c>
      <c r="AB20" s="2412">
        <v>0</v>
      </c>
      <c r="AC20" s="2406">
        <f t="shared" si="2"/>
        <v>-48910</v>
      </c>
      <c r="AD20" s="2412">
        <v>-70344</v>
      </c>
      <c r="AE20" s="2412">
        <v>0</v>
      </c>
      <c r="AF20" s="2405">
        <f t="shared" si="3"/>
        <v>-70344</v>
      </c>
      <c r="AG20" s="2419" t="s">
        <v>2071</v>
      </c>
      <c r="AJ20" s="2400"/>
      <c r="AK20" s="2400"/>
    </row>
    <row r="21" spans="1:37" ht="16" thickBot="1">
      <c r="C21" s="2395"/>
      <c r="D21" s="1170"/>
      <c r="E21" s="1164"/>
      <c r="F21" s="515"/>
      <c r="G21" s="1167"/>
      <c r="H21" s="2395"/>
      <c r="I21" s="2394"/>
      <c r="J21" s="1172"/>
      <c r="L21" s="3982"/>
      <c r="M21" s="3982"/>
      <c r="Q21" s="2397">
        <v>433084</v>
      </c>
      <c r="R21" s="2397">
        <v>433089</v>
      </c>
      <c r="S21" s="2403">
        <v>99</v>
      </c>
      <c r="T21" s="2414" t="s">
        <v>455</v>
      </c>
      <c r="U21" s="2402" t="s">
        <v>464</v>
      </c>
      <c r="V21" s="2401"/>
      <c r="W21" s="2401"/>
      <c r="X21" s="2405">
        <f t="shared" si="0"/>
        <v>0</v>
      </c>
      <c r="Y21" s="2407">
        <f t="shared" si="5"/>
        <v>0</v>
      </c>
      <c r="Z21" s="2406">
        <f t="shared" si="1"/>
        <v>0</v>
      </c>
      <c r="AA21" s="2412">
        <v>0</v>
      </c>
      <c r="AB21" s="2412">
        <v>0</v>
      </c>
      <c r="AC21" s="2406">
        <f t="shared" si="2"/>
        <v>0</v>
      </c>
      <c r="AD21" s="2412">
        <v>0</v>
      </c>
      <c r="AE21" s="2412">
        <v>0</v>
      </c>
      <c r="AF21" s="2405">
        <f t="shared" si="3"/>
        <v>0</v>
      </c>
      <c r="AG21" s="2397" t="s">
        <v>2070</v>
      </c>
      <c r="AJ21" s="2400"/>
      <c r="AK21" s="2400"/>
    </row>
    <row r="22" spans="1:37" ht="16.5" thickTop="1" thickBot="1">
      <c r="A22" s="477" t="s">
        <v>871</v>
      </c>
      <c r="C22" s="1137">
        <f>SUM(C9:C11)</f>
        <v>-1377.32</v>
      </c>
      <c r="D22" s="1136">
        <f>SUM(D8:D11)</f>
        <v>-1377</v>
      </c>
      <c r="E22" s="1163">
        <f>SUM(E8:E11)</f>
        <v>-0.31999999999993634</v>
      </c>
      <c r="H22" s="1137">
        <f>SUM(H9:H21)</f>
        <v>64.319999999999993</v>
      </c>
      <c r="I22" s="1137">
        <f>SUM(I9:I21)</f>
        <v>243690.32000000007</v>
      </c>
      <c r="J22" s="1163">
        <f>SUM(J9:J21)</f>
        <v>-243626</v>
      </c>
      <c r="L22" s="3982"/>
      <c r="M22" s="3982"/>
      <c r="Q22" s="2397">
        <v>455686</v>
      </c>
      <c r="R22" s="2397">
        <v>455691</v>
      </c>
      <c r="S22" s="2403">
        <v>99</v>
      </c>
      <c r="T22" s="2414" t="s">
        <v>590</v>
      </c>
      <c r="U22" s="2402" t="s">
        <v>591</v>
      </c>
      <c r="V22" s="2401"/>
      <c r="W22" s="2401"/>
      <c r="X22" s="2405">
        <f t="shared" si="0"/>
        <v>-278685</v>
      </c>
      <c r="Y22" s="2407">
        <f t="shared" si="5"/>
        <v>0</v>
      </c>
      <c r="Z22" s="2406">
        <f t="shared" si="1"/>
        <v>-278685</v>
      </c>
      <c r="AA22" s="2412">
        <v>-278685</v>
      </c>
      <c r="AB22" s="2412">
        <v>0</v>
      </c>
      <c r="AC22" s="2406">
        <f t="shared" si="2"/>
        <v>-278685</v>
      </c>
      <c r="AD22" s="2412">
        <v>0</v>
      </c>
      <c r="AE22" s="2412">
        <v>0</v>
      </c>
      <c r="AF22" s="2405">
        <f t="shared" si="3"/>
        <v>0</v>
      </c>
      <c r="AG22" s="2419" t="s">
        <v>2069</v>
      </c>
      <c r="AJ22" s="2400"/>
      <c r="AK22" s="2400"/>
    </row>
    <row r="23" spans="1:37" ht="16" thickTop="1">
      <c r="Q23" s="2397">
        <v>457523</v>
      </c>
      <c r="R23" s="2397">
        <v>457528</v>
      </c>
      <c r="S23" s="2403">
        <v>99</v>
      </c>
      <c r="T23" s="2414" t="s">
        <v>508</v>
      </c>
      <c r="U23" s="2402" t="s">
        <v>509</v>
      </c>
      <c r="V23" s="2401"/>
      <c r="W23" s="2401"/>
      <c r="X23" s="2405">
        <f t="shared" si="0"/>
        <v>303710</v>
      </c>
      <c r="Y23" s="2407">
        <f t="shared" si="5"/>
        <v>0</v>
      </c>
      <c r="Z23" s="2406">
        <f t="shared" si="1"/>
        <v>303710</v>
      </c>
      <c r="AA23" s="2412">
        <v>303710</v>
      </c>
      <c r="AB23" s="2412">
        <v>0</v>
      </c>
      <c r="AC23" s="2406">
        <f t="shared" si="2"/>
        <v>303710</v>
      </c>
      <c r="AD23" s="2412">
        <v>0</v>
      </c>
      <c r="AE23" s="2412">
        <v>0</v>
      </c>
      <c r="AF23" s="2405">
        <f t="shared" si="3"/>
        <v>0</v>
      </c>
      <c r="AG23" s="2419" t="s">
        <v>2068</v>
      </c>
      <c r="AJ23" s="2400"/>
      <c r="AK23" s="2400"/>
    </row>
    <row r="24" spans="1:37" ht="15.5">
      <c r="A24" s="477" t="s">
        <v>901</v>
      </c>
      <c r="B24" s="941">
        <v>3</v>
      </c>
      <c r="D24" s="516">
        <v>3425834</v>
      </c>
      <c r="Q24" s="2397">
        <v>475712</v>
      </c>
      <c r="R24" s="2397">
        <v>475717</v>
      </c>
      <c r="S24" s="2403">
        <v>99</v>
      </c>
      <c r="T24" s="2414" t="s">
        <v>592</v>
      </c>
      <c r="U24" s="2402" t="s">
        <v>593</v>
      </c>
      <c r="V24" s="2401"/>
      <c r="W24" s="2401"/>
      <c r="X24" s="2405">
        <f t="shared" si="0"/>
        <v>-37628</v>
      </c>
      <c r="Y24" s="2407">
        <f t="shared" si="5"/>
        <v>0</v>
      </c>
      <c r="Z24" s="2406">
        <f t="shared" si="1"/>
        <v>-37628</v>
      </c>
      <c r="AA24" s="2412">
        <v>-37628</v>
      </c>
      <c r="AB24" s="2412">
        <v>0</v>
      </c>
      <c r="AC24" s="2413">
        <f t="shared" si="2"/>
        <v>-37628</v>
      </c>
      <c r="AD24" s="2418">
        <v>0</v>
      </c>
      <c r="AE24" s="2418">
        <v>0</v>
      </c>
      <c r="AF24" s="2417">
        <f t="shared" si="3"/>
        <v>0</v>
      </c>
      <c r="AG24" s="2411" t="s">
        <v>2066</v>
      </c>
      <c r="AH24" s="2410"/>
      <c r="AI24" s="2410"/>
      <c r="AJ24" s="2400"/>
      <c r="AK24" s="2400"/>
    </row>
    <row r="25" spans="1:37" ht="15.5">
      <c r="A25" s="477" t="s">
        <v>900</v>
      </c>
      <c r="B25" s="941">
        <v>1</v>
      </c>
      <c r="C25" s="515"/>
      <c r="D25" s="1162">
        <v>3922913</v>
      </c>
      <c r="J25" s="875"/>
      <c r="Q25" s="2397">
        <v>471885</v>
      </c>
      <c r="R25" s="2397">
        <v>471890</v>
      </c>
      <c r="S25" s="2403">
        <v>99</v>
      </c>
      <c r="T25" s="2414" t="s">
        <v>594</v>
      </c>
      <c r="U25" s="2402" t="s">
        <v>595</v>
      </c>
      <c r="V25" s="2401"/>
      <c r="W25" s="2401"/>
      <c r="X25" s="2405">
        <f t="shared" si="0"/>
        <v>-2392484</v>
      </c>
      <c r="Y25" s="2407">
        <f t="shared" si="5"/>
        <v>0</v>
      </c>
      <c r="Z25" s="2406">
        <f t="shared" si="1"/>
        <v>-2392484</v>
      </c>
      <c r="AA25" s="2412">
        <v>-1731369</v>
      </c>
      <c r="AB25" s="2412">
        <v>0</v>
      </c>
      <c r="AC25" s="2413">
        <f t="shared" si="2"/>
        <v>-1731369</v>
      </c>
      <c r="AD25" s="2412">
        <v>-661115</v>
      </c>
      <c r="AE25" s="2412">
        <v>0</v>
      </c>
      <c r="AF25" s="2405">
        <f t="shared" si="3"/>
        <v>-661115</v>
      </c>
      <c r="AG25" s="2416" t="s">
        <v>2067</v>
      </c>
      <c r="AH25" s="2415"/>
      <c r="AI25" s="2415"/>
      <c r="AJ25" s="2400"/>
      <c r="AK25" s="2400"/>
    </row>
    <row r="26" spans="1:37" ht="15.5">
      <c r="A26" s="477" t="s">
        <v>899</v>
      </c>
      <c r="B26" s="941">
        <v>2</v>
      </c>
      <c r="C26" s="515"/>
      <c r="D26" s="516">
        <v>15628895</v>
      </c>
      <c r="J26" s="875"/>
      <c r="Q26" s="2397">
        <v>473084</v>
      </c>
      <c r="R26" s="2397">
        <v>473089</v>
      </c>
      <c r="S26" s="2403">
        <v>99</v>
      </c>
      <c r="T26" s="2414" t="s">
        <v>596</v>
      </c>
      <c r="U26" s="2402" t="s">
        <v>597</v>
      </c>
      <c r="V26" s="2401"/>
      <c r="W26" s="2401"/>
      <c r="X26" s="2405">
        <f t="shared" si="0"/>
        <v>-8413</v>
      </c>
      <c r="Y26" s="2407">
        <f t="shared" si="5"/>
        <v>0</v>
      </c>
      <c r="Z26" s="2406">
        <f t="shared" si="1"/>
        <v>-8413</v>
      </c>
      <c r="AA26" s="2412">
        <v>-8413</v>
      </c>
      <c r="AB26" s="2412">
        <v>0</v>
      </c>
      <c r="AC26" s="2413">
        <f t="shared" si="2"/>
        <v>-8413</v>
      </c>
      <c r="AD26" s="2412">
        <v>0</v>
      </c>
      <c r="AE26" s="2412">
        <v>0</v>
      </c>
      <c r="AF26" s="2405">
        <f t="shared" si="3"/>
        <v>0</v>
      </c>
      <c r="AG26" s="2411" t="s">
        <v>2066</v>
      </c>
      <c r="AH26" s="2410"/>
      <c r="AI26" s="2410"/>
      <c r="AJ26" s="2400"/>
      <c r="AK26" s="2400"/>
    </row>
    <row r="27" spans="1:37" ht="15.5">
      <c r="A27" s="477" t="s">
        <v>869</v>
      </c>
      <c r="B27" s="941"/>
      <c r="C27" s="515"/>
      <c r="D27" s="516">
        <v>-13533894</v>
      </c>
      <c r="J27" s="875"/>
      <c r="Q27" s="2397">
        <v>456298</v>
      </c>
      <c r="R27" s="2397">
        <v>456303</v>
      </c>
      <c r="S27" s="2403">
        <v>99</v>
      </c>
      <c r="T27" s="2414" t="s">
        <v>510</v>
      </c>
      <c r="U27" s="2402" t="s">
        <v>598</v>
      </c>
      <c r="V27" s="2401"/>
      <c r="W27" s="2401"/>
      <c r="X27" s="2405">
        <f t="shared" si="0"/>
        <v>-34010</v>
      </c>
      <c r="Y27" s="2407">
        <f t="shared" si="5"/>
        <v>0</v>
      </c>
      <c r="Z27" s="2406">
        <f t="shared" si="1"/>
        <v>-34010</v>
      </c>
      <c r="AA27" s="2412">
        <v>-34010</v>
      </c>
      <c r="AB27" s="2412">
        <v>0</v>
      </c>
      <c r="AC27" s="2413">
        <f t="shared" si="2"/>
        <v>-34010</v>
      </c>
      <c r="AD27" s="2412">
        <v>0</v>
      </c>
      <c r="AE27" s="2412">
        <v>0</v>
      </c>
      <c r="AF27" s="2405">
        <f t="shared" si="3"/>
        <v>0</v>
      </c>
      <c r="AG27" s="2411" t="s">
        <v>2066</v>
      </c>
      <c r="AH27" s="2410"/>
      <c r="AI27" s="2410"/>
      <c r="AJ27" s="2400"/>
      <c r="AK27" s="2400"/>
    </row>
    <row r="28" spans="1:37">
      <c r="A28" s="477" t="s">
        <v>365</v>
      </c>
      <c r="B28" s="941">
        <v>12</v>
      </c>
      <c r="C28" s="515"/>
      <c r="D28" s="516">
        <v>15046912</v>
      </c>
      <c r="J28" s="875"/>
      <c r="AJ28" s="2400"/>
      <c r="AK28" s="2400"/>
    </row>
    <row r="29" spans="1:37">
      <c r="A29" s="477" t="s">
        <v>870</v>
      </c>
      <c r="B29" s="941"/>
      <c r="D29" s="516">
        <v>1594372</v>
      </c>
      <c r="J29" s="875"/>
      <c r="AJ29" s="2400"/>
      <c r="AK29" s="2400"/>
    </row>
    <row r="30" spans="1:37">
      <c r="A30" s="182" t="s">
        <v>898</v>
      </c>
      <c r="B30" s="941"/>
      <c r="C30" s="941"/>
      <c r="D30" s="516">
        <v>9458359</v>
      </c>
      <c r="J30" s="875"/>
      <c r="AA30" s="2400"/>
      <c r="AJ30" s="2400"/>
      <c r="AK30" s="2400"/>
    </row>
    <row r="31" spans="1:37" ht="14.5">
      <c r="A31" s="477" t="s">
        <v>897</v>
      </c>
      <c r="B31" s="941"/>
      <c r="D31" s="1161">
        <f>SUM(D22:D30)</f>
        <v>35542014</v>
      </c>
      <c r="AJ31" s="2400"/>
      <c r="AK31" s="2400"/>
    </row>
    <row r="32" spans="1:37">
      <c r="D32" s="875"/>
      <c r="AJ32" s="2400"/>
      <c r="AK32" s="2400"/>
    </row>
    <row r="33" spans="9:37">
      <c r="AJ33" s="2400"/>
      <c r="AK33" s="2400"/>
    </row>
    <row r="34" spans="9:37">
      <c r="J34" s="875"/>
      <c r="AJ34" s="2400"/>
      <c r="AK34" s="2400"/>
    </row>
    <row r="35" spans="9:37">
      <c r="I35" s="1131"/>
      <c r="J35" s="875"/>
      <c r="AJ35" s="2400"/>
      <c r="AK35" s="2400"/>
    </row>
    <row r="36" spans="9:37">
      <c r="AJ36" s="2400"/>
      <c r="AK36" s="2400"/>
    </row>
    <row r="37" spans="9:37">
      <c r="J37" s="875"/>
      <c r="AJ37" s="2400"/>
      <c r="AK37" s="2400"/>
    </row>
    <row r="38" spans="9:37">
      <c r="AJ38" s="2400"/>
      <c r="AK38" s="2400"/>
    </row>
    <row r="39" spans="9:37">
      <c r="AJ39" s="2400"/>
      <c r="AK39" s="2400"/>
    </row>
    <row r="40" spans="9:37">
      <c r="AJ40" s="2400"/>
      <c r="AK40" s="2400"/>
    </row>
    <row r="41" spans="9:37">
      <c r="AJ41" s="2400"/>
      <c r="AK41" s="2400"/>
    </row>
    <row r="42" spans="9:37">
      <c r="AJ42" s="2400"/>
      <c r="AK42" s="2400"/>
    </row>
    <row r="43" spans="9:37">
      <c r="AJ43" s="2400"/>
      <c r="AK43" s="2400"/>
    </row>
    <row r="44" spans="9:37">
      <c r="AJ44" s="2400"/>
      <c r="AK44" s="2400"/>
    </row>
    <row r="45" spans="9:37">
      <c r="AJ45" s="2400"/>
      <c r="AK45" s="2400"/>
    </row>
    <row r="46" spans="9:37">
      <c r="AJ46" s="2400"/>
      <c r="AK46" s="2400"/>
    </row>
    <row r="47" spans="9:37">
      <c r="AJ47" s="2400"/>
      <c r="AK47" s="2400"/>
    </row>
    <row r="48" spans="9:37">
      <c r="AJ48" s="2400"/>
      <c r="AK48" s="2400"/>
    </row>
    <row r="49" spans="36:37">
      <c r="AJ49" s="2400"/>
      <c r="AK49" s="2400"/>
    </row>
    <row r="50" spans="36:37">
      <c r="AJ50" s="2400"/>
      <c r="AK50" s="2400"/>
    </row>
    <row r="51" spans="36:37">
      <c r="AJ51" s="2400"/>
      <c r="AK51" s="2400"/>
    </row>
    <row r="52" spans="36:37">
      <c r="AJ52" s="2400"/>
      <c r="AK52" s="2400"/>
    </row>
    <row r="53" spans="36:37">
      <c r="AJ53" s="2400"/>
      <c r="AK53" s="2400"/>
    </row>
    <row r="54" spans="36:37">
      <c r="AJ54" s="2400"/>
      <c r="AK54" s="2400"/>
    </row>
    <row r="55" spans="36:37">
      <c r="AJ55" s="2400"/>
      <c r="AK55" s="2400"/>
    </row>
    <row r="56" spans="36:37">
      <c r="AJ56" s="2400"/>
      <c r="AK56" s="2400"/>
    </row>
    <row r="57" spans="36:37">
      <c r="AJ57" s="2400"/>
      <c r="AK57" s="2400"/>
    </row>
    <row r="58" spans="36:37">
      <c r="AJ58" s="2400"/>
      <c r="AK58" s="2400"/>
    </row>
    <row r="59" spans="36:37">
      <c r="AJ59" s="2400"/>
      <c r="AK59" s="2400"/>
    </row>
    <row r="60" spans="36:37">
      <c r="AJ60" s="2400"/>
      <c r="AK60" s="2400"/>
    </row>
    <row r="61" spans="36:37">
      <c r="AJ61" s="2400"/>
      <c r="AK61" s="2400"/>
    </row>
    <row r="62" spans="36:37">
      <c r="AJ62" s="2400"/>
      <c r="AK62" s="2400"/>
    </row>
    <row r="63" spans="36:37">
      <c r="AJ63" s="2400"/>
      <c r="AK63" s="2400"/>
    </row>
    <row r="64" spans="36:37">
      <c r="AJ64" s="2400"/>
      <c r="AK64" s="2400"/>
    </row>
    <row r="65" spans="36:37">
      <c r="AJ65" s="2400"/>
      <c r="AK65" s="2400"/>
    </row>
    <row r="66" spans="36:37">
      <c r="AJ66" s="2400"/>
      <c r="AK66" s="2400"/>
    </row>
    <row r="67" spans="36:37">
      <c r="AJ67" s="2400"/>
      <c r="AK67" s="2400"/>
    </row>
    <row r="68" spans="36:37">
      <c r="AJ68" s="2400"/>
      <c r="AK68" s="2400"/>
    </row>
    <row r="69" spans="36:37">
      <c r="AJ69" s="2400"/>
      <c r="AK69" s="2400"/>
    </row>
    <row r="70" spans="36:37">
      <c r="AJ70" s="2400"/>
      <c r="AK70" s="2400"/>
    </row>
    <row r="71" spans="36:37">
      <c r="AJ71" s="2400"/>
      <c r="AK71" s="2400"/>
    </row>
    <row r="72" spans="36:37">
      <c r="AJ72" s="2400"/>
      <c r="AK72" s="2400"/>
    </row>
    <row r="73" spans="36:37">
      <c r="AJ73" s="2400"/>
      <c r="AK73" s="2400"/>
    </row>
    <row r="74" spans="36:37">
      <c r="AJ74" s="2400"/>
      <c r="AK74" s="2400"/>
    </row>
    <row r="75" spans="36:37">
      <c r="AJ75" s="2400"/>
      <c r="AK75" s="2400"/>
    </row>
    <row r="76" spans="36:37">
      <c r="AJ76" s="2400"/>
      <c r="AK76" s="2400"/>
    </row>
    <row r="77" spans="36:37">
      <c r="AJ77" s="2400"/>
      <c r="AK77" s="2400"/>
    </row>
    <row r="78" spans="36:37">
      <c r="AJ78" s="2400"/>
      <c r="AK78" s="2400"/>
    </row>
    <row r="79" spans="36:37">
      <c r="AJ79" s="2400"/>
      <c r="AK79" s="2400"/>
    </row>
    <row r="80" spans="36:37">
      <c r="AJ80" s="2400"/>
      <c r="AK80" s="2400"/>
    </row>
    <row r="81" spans="36:37">
      <c r="AJ81" s="2400"/>
      <c r="AK81" s="2400"/>
    </row>
    <row r="82" spans="36:37">
      <c r="AJ82" s="2400"/>
      <c r="AK82" s="2400"/>
    </row>
    <row r="83" spans="36:37">
      <c r="AJ83" s="2400"/>
      <c r="AK83" s="2400"/>
    </row>
    <row r="84" spans="36:37">
      <c r="AJ84" s="2400"/>
      <c r="AK84" s="2400"/>
    </row>
    <row r="85" spans="36:37">
      <c r="AJ85" s="2400"/>
      <c r="AK85" s="2400"/>
    </row>
    <row r="86" spans="36:37">
      <c r="AJ86" s="2400"/>
      <c r="AK86" s="2400"/>
    </row>
    <row r="87" spans="36:37">
      <c r="AJ87" s="2400"/>
      <c r="AK87" s="2400"/>
    </row>
    <row r="88" spans="36:37">
      <c r="AJ88" s="2400"/>
      <c r="AK88" s="2400"/>
    </row>
    <row r="89" spans="36:37">
      <c r="AJ89" s="2400"/>
      <c r="AK89" s="2400"/>
    </row>
    <row r="90" spans="36:37">
      <c r="AJ90" s="2400"/>
      <c r="AK90" s="2400"/>
    </row>
    <row r="91" spans="36:37">
      <c r="AJ91" s="2400"/>
      <c r="AK91" s="2400"/>
    </row>
    <row r="92" spans="36:37">
      <c r="AJ92" s="2400"/>
      <c r="AK92" s="2400"/>
    </row>
    <row r="93" spans="36:37">
      <c r="AJ93" s="2400"/>
      <c r="AK93" s="2400"/>
    </row>
    <row r="94" spans="36:37">
      <c r="AJ94" s="2400"/>
      <c r="AK94" s="2400"/>
    </row>
    <row r="95" spans="36:37">
      <c r="AJ95" s="2400"/>
      <c r="AK95" s="2400"/>
    </row>
    <row r="96" spans="36:37">
      <c r="AJ96" s="2400"/>
      <c r="AK96" s="2400"/>
    </row>
    <row r="97" spans="36:37">
      <c r="AJ97" s="2400"/>
      <c r="AK97" s="2400"/>
    </row>
    <row r="98" spans="36:37">
      <c r="AJ98" s="2400"/>
      <c r="AK98" s="2400"/>
    </row>
    <row r="99" spans="36:37">
      <c r="AJ99" s="2400"/>
      <c r="AK99" s="2400"/>
    </row>
    <row r="100" spans="36:37">
      <c r="AJ100" s="2400"/>
      <c r="AK100" s="2400"/>
    </row>
    <row r="101" spans="36:37">
      <c r="AJ101" s="2400"/>
      <c r="AK101" s="2400"/>
    </row>
    <row r="102" spans="36:37">
      <c r="AJ102" s="2400"/>
      <c r="AK102" s="2400"/>
    </row>
    <row r="103" spans="36:37">
      <c r="AJ103" s="2400"/>
      <c r="AK103" s="2400"/>
    </row>
    <row r="104" spans="36:37">
      <c r="AJ104" s="2400"/>
      <c r="AK104" s="2400"/>
    </row>
    <row r="105" spans="36:37">
      <c r="AJ105" s="2400"/>
      <c r="AK105" s="2400"/>
    </row>
    <row r="106" spans="36:37">
      <c r="AJ106" s="2400"/>
      <c r="AK106" s="2400"/>
    </row>
    <row r="107" spans="36:37">
      <c r="AJ107" s="2400"/>
      <c r="AK107" s="2400"/>
    </row>
    <row r="108" spans="36:37">
      <c r="AJ108" s="2400"/>
      <c r="AK108" s="2400"/>
    </row>
    <row r="109" spans="36:37">
      <c r="AJ109" s="2400"/>
      <c r="AK109" s="2400"/>
    </row>
    <row r="110" spans="36:37">
      <c r="AJ110" s="2400"/>
      <c r="AK110" s="2400"/>
    </row>
    <row r="111" spans="36:37">
      <c r="AJ111" s="2400"/>
      <c r="AK111" s="2400"/>
    </row>
    <row r="112" spans="36:37">
      <c r="AJ112" s="2400"/>
      <c r="AK112" s="2400"/>
    </row>
    <row r="113" spans="36:37">
      <c r="AJ113" s="2400"/>
      <c r="AK113" s="2400"/>
    </row>
    <row r="114" spans="36:37">
      <c r="AJ114" s="2400"/>
      <c r="AK114" s="2400"/>
    </row>
    <row r="115" spans="36:37">
      <c r="AJ115" s="2400"/>
      <c r="AK115" s="2400"/>
    </row>
    <row r="116" spans="36:37">
      <c r="AJ116" s="2400"/>
      <c r="AK116" s="2400"/>
    </row>
    <row r="117" spans="36:37">
      <c r="AJ117" s="2400"/>
      <c r="AK117" s="2400"/>
    </row>
    <row r="118" spans="36:37">
      <c r="AJ118" s="2400"/>
      <c r="AK118" s="2400"/>
    </row>
    <row r="119" spans="36:37">
      <c r="AJ119" s="2400"/>
      <c r="AK119" s="2400"/>
    </row>
    <row r="120" spans="36:37">
      <c r="AJ120" s="2400"/>
      <c r="AK120" s="2400"/>
    </row>
    <row r="121" spans="36:37">
      <c r="AJ121" s="2409"/>
      <c r="AK121" s="2400"/>
    </row>
    <row r="122" spans="36:37">
      <c r="AJ122" s="2409"/>
      <c r="AK122" s="2400"/>
    </row>
    <row r="123" spans="36:37">
      <c r="AJ123" s="2400"/>
      <c r="AK123" s="2400"/>
    </row>
    <row r="124" spans="36:37">
      <c r="AJ124" s="2400"/>
      <c r="AK124" s="2400"/>
    </row>
    <row r="125" spans="36:37">
      <c r="AJ125" s="2400"/>
      <c r="AK125" s="2400"/>
    </row>
    <row r="126" spans="36:37">
      <c r="AJ126" s="2400"/>
      <c r="AK126" s="2400"/>
    </row>
    <row r="127" spans="36:37">
      <c r="AJ127" s="2400"/>
      <c r="AK127" s="2400"/>
    </row>
    <row r="128" spans="36:37">
      <c r="AJ128" s="2400"/>
      <c r="AK128" s="2400"/>
    </row>
    <row r="129" spans="36:37">
      <c r="AJ129" s="2400"/>
      <c r="AK129" s="2400"/>
    </row>
    <row r="130" spans="36:37">
      <c r="AJ130" s="2400"/>
      <c r="AK130" s="2400"/>
    </row>
    <row r="131" spans="36:37">
      <c r="AJ131" s="2409"/>
      <c r="AK131" s="2400"/>
    </row>
    <row r="132" spans="36:37">
      <c r="AJ132" s="2400"/>
      <c r="AK132" s="2400"/>
    </row>
    <row r="133" spans="36:37">
      <c r="AJ133" s="2400"/>
      <c r="AK133" s="2400"/>
    </row>
    <row r="134" spans="36:37">
      <c r="AJ134" s="2400"/>
      <c r="AK134" s="2400"/>
    </row>
    <row r="135" spans="36:37">
      <c r="AJ135" s="2400"/>
      <c r="AK135" s="2400"/>
    </row>
    <row r="136" spans="36:37">
      <c r="AJ136" s="2400"/>
      <c r="AK136" s="2400"/>
    </row>
    <row r="137" spans="36:37">
      <c r="AJ137" s="2409"/>
      <c r="AK137" s="2400"/>
    </row>
    <row r="138" spans="36:37">
      <c r="AJ138" s="2400"/>
      <c r="AK138" s="2400"/>
    </row>
    <row r="139" spans="36:37">
      <c r="AJ139" s="2409"/>
      <c r="AK139" s="2400"/>
    </row>
    <row r="140" spans="36:37">
      <c r="AJ140" s="2409"/>
      <c r="AK140" s="2400"/>
    </row>
    <row r="141" spans="36:37">
      <c r="AJ141" s="2400"/>
      <c r="AK141" s="2400"/>
    </row>
    <row r="142" spans="36:37">
      <c r="AJ142" s="2400"/>
      <c r="AK142" s="2400"/>
    </row>
    <row r="143" spans="36:37">
      <c r="AJ143" s="2400"/>
      <c r="AK143" s="2400"/>
    </row>
    <row r="144" spans="36:37">
      <c r="AJ144" s="2400"/>
      <c r="AK144" s="2400"/>
    </row>
    <row r="145" spans="36:37">
      <c r="AJ145" s="2400"/>
      <c r="AK145" s="2400"/>
    </row>
    <row r="146" spans="36:37">
      <c r="AJ146" s="2400"/>
      <c r="AK146" s="2400"/>
    </row>
    <row r="147" spans="36:37">
      <c r="AJ147" s="2400"/>
      <c r="AK147" s="2400"/>
    </row>
    <row r="148" spans="36:37">
      <c r="AJ148" s="2400"/>
      <c r="AK148" s="2400"/>
    </row>
    <row r="149" spans="36:37">
      <c r="AJ149" s="2400"/>
      <c r="AK149" s="2400"/>
    </row>
    <row r="150" spans="36:37">
      <c r="AJ150" s="2400"/>
      <c r="AK150" s="2400"/>
    </row>
    <row r="151" spans="36:37">
      <c r="AJ151" s="2400"/>
      <c r="AK151" s="2400"/>
    </row>
    <row r="152" spans="36:37">
      <c r="AJ152" s="2400"/>
      <c r="AK152" s="2400"/>
    </row>
    <row r="153" spans="36:37">
      <c r="AJ153" s="2400"/>
      <c r="AK153" s="2400"/>
    </row>
    <row r="154" spans="36:37">
      <c r="AJ154" s="2400"/>
      <c r="AK154" s="2400"/>
    </row>
    <row r="155" spans="36:37">
      <c r="AJ155" s="2400"/>
      <c r="AK155" s="2400"/>
    </row>
    <row r="156" spans="36:37">
      <c r="AJ156" s="2400"/>
      <c r="AK156" s="2400"/>
    </row>
    <row r="157" spans="36:37">
      <c r="AJ157" s="2400"/>
      <c r="AK157" s="2400"/>
    </row>
    <row r="158" spans="36:37">
      <c r="AJ158" s="2400"/>
      <c r="AK158" s="2400"/>
    </row>
    <row r="159" spans="36:37">
      <c r="AJ159" s="2400"/>
      <c r="AK159" s="2400"/>
    </row>
    <row r="160" spans="36:37">
      <c r="AJ160" s="2400"/>
      <c r="AK160" s="2400"/>
    </row>
    <row r="161" spans="36:37">
      <c r="AJ161" s="2400"/>
      <c r="AK161" s="2400"/>
    </row>
    <row r="162" spans="36:37">
      <c r="AJ162" s="2400"/>
      <c r="AK162" s="2400"/>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1640625" defaultRowHeight="14.5"/>
  <cols>
    <col min="1" max="1" width="3.453125" style="477" customWidth="1"/>
    <col min="2" max="2" width="52.7265625" style="477" bestFit="1" customWidth="1"/>
    <col min="3" max="3" width="14.1796875" style="477" bestFit="1" customWidth="1"/>
    <col min="4" max="5" width="13.26953125" style="477" bestFit="1" customWidth="1"/>
    <col min="6" max="7" width="11.7265625" style="477" bestFit="1" customWidth="1"/>
    <col min="8" max="8" width="14.26953125" style="477" bestFit="1" customWidth="1"/>
    <col min="9" max="9" width="0.81640625" style="477" customWidth="1"/>
    <col min="10" max="11" width="11.26953125" style="477" bestFit="1" customWidth="1"/>
    <col min="12" max="12" width="10.26953125" style="477" bestFit="1" customWidth="1"/>
    <col min="13" max="13" width="12.26953125" style="477" bestFit="1" customWidth="1"/>
    <col min="14" max="14" width="4.7265625" style="477" customWidth="1"/>
    <col min="15" max="15" width="1.7265625" style="995" customWidth="1"/>
    <col min="16" max="16" width="8.81640625" style="477"/>
    <col min="17" max="17" width="28.453125" style="2444" bestFit="1" customWidth="1"/>
    <col min="18" max="18" width="4.26953125" style="2444" customWidth="1"/>
    <col min="19" max="19" width="15.54296875" style="2444" bestFit="1" customWidth="1"/>
    <col min="20" max="22" width="13.7265625" style="2444" bestFit="1" customWidth="1"/>
    <col min="23" max="16384" width="8.81640625" style="477"/>
  </cols>
  <sheetData>
    <row r="1" spans="2:22">
      <c r="B1" s="1217" t="s">
        <v>1204</v>
      </c>
      <c r="Q1" s="2443" t="s">
        <v>2083</v>
      </c>
      <c r="S1" s="2445">
        <v>2023</v>
      </c>
      <c r="T1" s="2445">
        <v>2024</v>
      </c>
      <c r="U1" s="2445">
        <v>2025</v>
      </c>
      <c r="V1" s="2445">
        <v>2026</v>
      </c>
    </row>
    <row r="2" spans="2:22">
      <c r="B2" s="1217" t="s">
        <v>2084</v>
      </c>
      <c r="Q2" s="2443" t="s">
        <v>2085</v>
      </c>
      <c r="S2" s="2446" t="s">
        <v>2086</v>
      </c>
      <c r="T2" s="2446" t="s">
        <v>2086</v>
      </c>
      <c r="U2" s="2446" t="s">
        <v>2086</v>
      </c>
      <c r="V2" s="2446" t="s">
        <v>2086</v>
      </c>
    </row>
    <row r="3" spans="2:22">
      <c r="B3" s="1217" t="s">
        <v>2087</v>
      </c>
      <c r="Q3" s="2443"/>
      <c r="S3" s="2446" t="s">
        <v>2088</v>
      </c>
      <c r="T3" s="2446" t="s">
        <v>2088</v>
      </c>
      <c r="U3" s="2446" t="s">
        <v>2088</v>
      </c>
      <c r="V3" s="2446" t="s">
        <v>2088</v>
      </c>
    </row>
    <row r="4" spans="2:22">
      <c r="B4" s="1217"/>
      <c r="Q4" s="2443"/>
    </row>
    <row r="5" spans="2:22" ht="29">
      <c r="C5" s="1179" t="s">
        <v>2089</v>
      </c>
      <c r="D5" s="1179" t="s">
        <v>2090</v>
      </c>
      <c r="E5" s="1179" t="s">
        <v>68</v>
      </c>
      <c r="F5" s="1179" t="s">
        <v>2091</v>
      </c>
      <c r="G5" s="1179" t="s">
        <v>2092</v>
      </c>
      <c r="H5" s="1179" t="s">
        <v>2093</v>
      </c>
      <c r="Q5" s="2444" t="s">
        <v>2094</v>
      </c>
      <c r="R5" s="2444" t="s">
        <v>678</v>
      </c>
      <c r="S5" s="2447">
        <v>0</v>
      </c>
      <c r="T5" s="2447">
        <v>0</v>
      </c>
      <c r="U5" s="2447">
        <v>0</v>
      </c>
      <c r="V5" s="2447">
        <v>0</v>
      </c>
    </row>
    <row r="6" spans="2:22">
      <c r="B6" s="477" t="s">
        <v>2095</v>
      </c>
      <c r="Q6" s="2444" t="s">
        <v>2096</v>
      </c>
      <c r="R6" s="2444" t="s">
        <v>696</v>
      </c>
      <c r="S6" s="2447">
        <v>-73551.136152761988</v>
      </c>
      <c r="T6" s="2447">
        <v>-68685.569626091499</v>
      </c>
      <c r="U6" s="2447">
        <v>-68685.569626091499</v>
      </c>
      <c r="V6" s="2447">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44" t="s">
        <v>2097</v>
      </c>
      <c r="R7" s="2444" t="s">
        <v>678</v>
      </c>
      <c r="S7" s="2447">
        <v>-57933.605319529153</v>
      </c>
      <c r="T7" s="2447">
        <v>-60013.474405394249</v>
      </c>
      <c r="U7" s="2447">
        <v>-60013.474405394249</v>
      </c>
      <c r="V7" s="2447">
        <v>-60013.474405394249</v>
      </c>
    </row>
    <row r="8" spans="2:22">
      <c r="J8" s="2448" t="s">
        <v>729</v>
      </c>
      <c r="K8" s="2448" t="s">
        <v>786</v>
      </c>
      <c r="L8" s="2448" t="s">
        <v>965</v>
      </c>
      <c r="M8" s="2449"/>
      <c r="Q8" s="2444" t="s">
        <v>2098</v>
      </c>
      <c r="R8" s="2444" t="s">
        <v>696</v>
      </c>
      <c r="S8" s="2447">
        <v>-133485.51166666666</v>
      </c>
      <c r="T8" s="2447">
        <v>-266971.02333333332</v>
      </c>
      <c r="U8" s="2447">
        <v>-266971.02333333332</v>
      </c>
      <c r="V8" s="2447">
        <v>0</v>
      </c>
    </row>
    <row r="9" spans="2:22">
      <c r="B9" s="477" t="s">
        <v>2099</v>
      </c>
      <c r="C9" s="2394">
        <f>J9*D23</f>
        <v>-5931833.8867771076</v>
      </c>
      <c r="D9" s="2394">
        <f>J9*E23</f>
        <v>-2929188.0076362109</v>
      </c>
      <c r="E9" s="2394">
        <f>K9*F23</f>
        <v>-1113202.8307283374</v>
      </c>
      <c r="F9" s="2394">
        <f>K9*G23</f>
        <v>-438385.87209598371</v>
      </c>
      <c r="G9" s="2394">
        <f>L9</f>
        <v>-809931.02185005299</v>
      </c>
      <c r="H9" s="2394">
        <f>SUM(C9:G9)</f>
        <v>-11222541.619087692</v>
      </c>
      <c r="J9" s="515">
        <f>'G-3.03 PF EDIT'!T80</f>
        <v>-8861021.8944133185</v>
      </c>
      <c r="K9" s="515">
        <f>'G-3.03 PF EDIT'!U80</f>
        <v>-1551588.7028243211</v>
      </c>
      <c r="L9" s="515">
        <f>'G-3.03 PF EDIT'!V80</f>
        <v>-809931.02185005299</v>
      </c>
      <c r="M9" s="875">
        <f>SUM(J9:L9)</f>
        <v>-11222541.619087692</v>
      </c>
      <c r="Q9" s="2444" t="s">
        <v>2100</v>
      </c>
      <c r="R9" s="2444" t="s">
        <v>696</v>
      </c>
      <c r="S9" s="2447">
        <v>-266272.44500000001</v>
      </c>
      <c r="T9" s="2447">
        <v>-266272.44499999995</v>
      </c>
      <c r="U9" s="2447">
        <v>-266272.44499999995</v>
      </c>
      <c r="V9" s="2447">
        <v>0</v>
      </c>
    </row>
    <row r="10" spans="2:22" ht="15" thickBot="1">
      <c r="M10" s="875">
        <f>M9-'G-3.03 PF EDIT'!S80</f>
        <v>0</v>
      </c>
      <c r="Q10" s="2444" t="s">
        <v>2101</v>
      </c>
      <c r="R10" s="2444" t="s">
        <v>696</v>
      </c>
      <c r="S10" s="2447">
        <v>-131867.93333333332</v>
      </c>
      <c r="T10" s="2447">
        <v>-263735.86666666664</v>
      </c>
      <c r="U10" s="2447">
        <v>-263735.86666666664</v>
      </c>
      <c r="V10" s="2447">
        <v>0</v>
      </c>
    </row>
    <row r="11" spans="2:22" ht="15.5" thickTop="1" thickBot="1">
      <c r="B11" s="477" t="s">
        <v>2102</v>
      </c>
      <c r="C11" s="2450">
        <f t="shared" ref="C11:H11" si="0">C9-C7</f>
        <v>91926.41940206755</v>
      </c>
      <c r="D11" s="875">
        <f t="shared" si="0"/>
        <v>75252.878760814201</v>
      </c>
      <c r="E11" s="2450">
        <f t="shared" si="0"/>
        <v>135864.01656495011</v>
      </c>
      <c r="F11" s="875">
        <f t="shared" si="0"/>
        <v>46030.63786952896</v>
      </c>
      <c r="G11" s="875">
        <f t="shared" si="0"/>
        <v>9135.8083149470622</v>
      </c>
      <c r="H11" s="875">
        <f t="shared" si="0"/>
        <v>358209.76091230847</v>
      </c>
      <c r="Q11" s="2444" t="s">
        <v>2103</v>
      </c>
      <c r="R11" s="2444" t="s">
        <v>696</v>
      </c>
      <c r="S11" s="2447">
        <v>-349053.99249999999</v>
      </c>
      <c r="T11" s="2447">
        <v>-349053.99250000005</v>
      </c>
      <c r="U11" s="2447">
        <v>-349053.99250000005</v>
      </c>
      <c r="V11" s="2447">
        <v>0</v>
      </c>
    </row>
    <row r="12" spans="2:22" ht="15" thickTop="1">
      <c r="J12" s="2448" t="s">
        <v>729</v>
      </c>
      <c r="K12" s="2448" t="s">
        <v>786</v>
      </c>
      <c r="L12" s="2448" t="s">
        <v>965</v>
      </c>
      <c r="M12" s="2449"/>
      <c r="Q12" s="2444" t="s">
        <v>2104</v>
      </c>
      <c r="R12" s="2444" t="s">
        <v>696</v>
      </c>
      <c r="S12" s="2447">
        <v>-2487.3327355022338</v>
      </c>
      <c r="T12" s="2447">
        <v>-2874.1653056676691</v>
      </c>
      <c r="U12" s="2447">
        <v>-2874.1653056676691</v>
      </c>
      <c r="V12" s="2447">
        <v>-2874.1653056676691</v>
      </c>
    </row>
    <row r="13" spans="2:22">
      <c r="B13" s="477" t="s">
        <v>2105</v>
      </c>
      <c r="C13" s="2394">
        <f>J13*D23</f>
        <v>-5164644.7963487823</v>
      </c>
      <c r="D13" s="2394">
        <f>J13*E23</f>
        <v>-2550343.7705645356</v>
      </c>
      <c r="E13" s="2394">
        <f>K13*F23</f>
        <v>-1113202.8307283374</v>
      </c>
      <c r="F13" s="2394">
        <f>K13*G23</f>
        <v>-438385.87209598371</v>
      </c>
      <c r="G13" s="2394">
        <f>L13</f>
        <v>-809931.02185005299</v>
      </c>
      <c r="H13" s="2394">
        <f>SUM(C13:G13)</f>
        <v>-10076508.291587692</v>
      </c>
      <c r="J13" s="515">
        <f>'G-3.03 PF EDIT'!T90</f>
        <v>-7714988.5669133179</v>
      </c>
      <c r="K13" s="515">
        <f>'G-3.03 PF EDIT'!U90</f>
        <v>-1551588.7028243211</v>
      </c>
      <c r="L13" s="515">
        <f>'G-3.03 PF EDIT'!V90</f>
        <v>-809931.02185005299</v>
      </c>
      <c r="M13" s="875">
        <f>SUM(J13:L13)</f>
        <v>-10076508.291587692</v>
      </c>
      <c r="Q13" s="2444" t="s">
        <v>2106</v>
      </c>
      <c r="R13" s="2444" t="s">
        <v>696</v>
      </c>
      <c r="S13" s="2447">
        <v>-17103.905024215837</v>
      </c>
      <c r="T13" s="2447">
        <v>-19763.922096297258</v>
      </c>
      <c r="U13" s="2447">
        <v>-19763.922096297258</v>
      </c>
      <c r="V13" s="2447">
        <v>-19763.922096297258</v>
      </c>
    </row>
    <row r="14" spans="2:22" ht="15" thickBot="1">
      <c r="M14" s="875">
        <f>M13-'G-3.03 PF EDIT'!S90</f>
        <v>0</v>
      </c>
      <c r="Q14" s="2444" t="s">
        <v>2107</v>
      </c>
      <c r="R14" s="2444" t="s">
        <v>678</v>
      </c>
      <c r="S14" s="2447">
        <v>0</v>
      </c>
      <c r="T14" s="2447">
        <v>0</v>
      </c>
      <c r="U14" s="2447">
        <v>0</v>
      </c>
      <c r="V14" s="2447">
        <v>0</v>
      </c>
    </row>
    <row r="15" spans="2:22" ht="15.5" thickTop="1" thickBot="1">
      <c r="B15" s="477" t="s">
        <v>2108</v>
      </c>
      <c r="C15" s="2450">
        <f t="shared" ref="C15:H15" si="1">C13-C9</f>
        <v>767189.09042832535</v>
      </c>
      <c r="D15" s="875">
        <f t="shared" si="1"/>
        <v>378844.23707167525</v>
      </c>
      <c r="E15" s="2450">
        <f t="shared" si="1"/>
        <v>0</v>
      </c>
      <c r="F15" s="875">
        <f t="shared" si="1"/>
        <v>0</v>
      </c>
      <c r="G15" s="875">
        <f t="shared" si="1"/>
        <v>0</v>
      </c>
      <c r="H15" s="875">
        <f t="shared" si="1"/>
        <v>1146033.3275000006</v>
      </c>
      <c r="Q15" s="2444" t="s">
        <v>2109</v>
      </c>
      <c r="R15" s="2444" t="s">
        <v>696</v>
      </c>
      <c r="S15" s="2447">
        <v>-599626.26493689884</v>
      </c>
      <c r="T15" s="2447">
        <v>-562437.09741693421</v>
      </c>
      <c r="U15" s="2447">
        <v>-562437.09741693421</v>
      </c>
      <c r="V15" s="2447">
        <v>-562437.09741693421</v>
      </c>
    </row>
    <row r="16" spans="2:22" ht="15" thickTop="1">
      <c r="Q16" s="2444" t="s">
        <v>2110</v>
      </c>
      <c r="R16" s="2444" t="s">
        <v>696</v>
      </c>
      <c r="S16" s="2447">
        <v>0</v>
      </c>
      <c r="T16" s="2447">
        <v>0</v>
      </c>
      <c r="U16" s="2447">
        <v>0</v>
      </c>
      <c r="V16" s="2447">
        <v>0</v>
      </c>
    </row>
    <row r="17" spans="2:22">
      <c r="Q17" s="2444" t="s">
        <v>2111</v>
      </c>
      <c r="R17" s="2444" t="s">
        <v>696</v>
      </c>
      <c r="S17" s="2447">
        <v>-2113752.8177702436</v>
      </c>
      <c r="T17" s="2447">
        <v>-2371867.4589507901</v>
      </c>
      <c r="U17" s="2447">
        <v>-2371867.4589507901</v>
      </c>
      <c r="V17" s="2447">
        <v>-2371867.4589507901</v>
      </c>
    </row>
    <row r="18" spans="2:22">
      <c r="B18" s="477" t="s">
        <v>2112</v>
      </c>
      <c r="Q18" s="2451" t="s">
        <v>2113</v>
      </c>
      <c r="R18" s="2451" t="s">
        <v>2114</v>
      </c>
      <c r="S18" s="2447">
        <v>-1016331.6655042091</v>
      </c>
      <c r="T18" s="2447">
        <v>-1048414.97602252</v>
      </c>
      <c r="U18" s="2447">
        <v>-1048414.97602252</v>
      </c>
      <c r="V18" s="2447">
        <v>-1048414.97602252</v>
      </c>
    </row>
    <row r="19" spans="2:22">
      <c r="Q19" s="2444" t="s">
        <v>2115</v>
      </c>
      <c r="R19" s="2444" t="s">
        <v>678</v>
      </c>
      <c r="S19" s="2447">
        <v>-389746.29027622112</v>
      </c>
      <c r="T19" s="2447">
        <v>-357171.02755238768</v>
      </c>
      <c r="U19" s="2447">
        <v>-357171.02755238768</v>
      </c>
      <c r="V19" s="2447">
        <v>-357171.02755238768</v>
      </c>
    </row>
    <row r="20" spans="2:22">
      <c r="Q20" s="2444" t="s">
        <v>2116</v>
      </c>
      <c r="R20" s="2444" t="s">
        <v>678</v>
      </c>
      <c r="S20" s="2447">
        <v>-2158506.4500933788</v>
      </c>
      <c r="T20" s="2447">
        <v>-1224199.3380791394</v>
      </c>
      <c r="U20" s="2447">
        <v>-1224199.3380791394</v>
      </c>
      <c r="V20" s="2447">
        <v>-1224199.3380791394</v>
      </c>
    </row>
    <row r="21" spans="2:22">
      <c r="Q21" s="2444" t="s">
        <v>2117</v>
      </c>
      <c r="R21" s="2444" t="s">
        <v>696</v>
      </c>
      <c r="S21" s="2447">
        <v>-1109954.9564576508</v>
      </c>
      <c r="T21" s="2447">
        <v>-1185813.8051129784</v>
      </c>
      <c r="U21" s="2447">
        <v>-1185813.8051129784</v>
      </c>
      <c r="V21" s="2447">
        <v>-1185813.8051129784</v>
      </c>
    </row>
    <row r="22" spans="2:22">
      <c r="D22" s="2452" t="s">
        <v>2089</v>
      </c>
      <c r="E22" s="2452" t="s">
        <v>2090</v>
      </c>
      <c r="F22" s="2452" t="s">
        <v>68</v>
      </c>
      <c r="G22" s="2452" t="s">
        <v>2091</v>
      </c>
      <c r="H22" s="2452"/>
      <c r="Q22" s="2444" t="s">
        <v>2118</v>
      </c>
      <c r="R22" s="2444" t="s">
        <v>696</v>
      </c>
      <c r="S22" s="2447">
        <v>-11704.135848457989</v>
      </c>
      <c r="T22" s="2447">
        <v>-11704.135848457989</v>
      </c>
      <c r="U22" s="2447">
        <v>-11704.135848457989</v>
      </c>
      <c r="V22" s="2447">
        <v>-11704.135848457989</v>
      </c>
    </row>
    <row r="23" spans="2:22">
      <c r="B23" s="2453" t="s">
        <v>2119</v>
      </c>
      <c r="C23" s="2453"/>
      <c r="D23" s="2454">
        <v>0.66942999999999997</v>
      </c>
      <c r="E23" s="2454">
        <v>0.33057000000000003</v>
      </c>
      <c r="F23" s="2454">
        <v>0.71745999999999999</v>
      </c>
      <c r="G23" s="2454">
        <v>0.28254000000000001</v>
      </c>
      <c r="Q23" s="2444" t="s">
        <v>2120</v>
      </c>
      <c r="R23" s="2444" t="s">
        <v>678</v>
      </c>
      <c r="S23" s="2447">
        <v>-886313.66017899511</v>
      </c>
      <c r="T23" s="2447">
        <v>-785041.42665082938</v>
      </c>
      <c r="U23" s="2447">
        <v>-785041.42665082938</v>
      </c>
      <c r="V23" s="2447">
        <v>-785041.42665082938</v>
      </c>
    </row>
    <row r="24" spans="2:22">
      <c r="Q24" s="2444" t="s">
        <v>2121</v>
      </c>
      <c r="R24" s="2444" t="s">
        <v>696</v>
      </c>
      <c r="S24" s="2447">
        <v>-332453.31186214578</v>
      </c>
      <c r="T24" s="2447">
        <v>-261025.92303541666</v>
      </c>
      <c r="U24" s="2447">
        <v>-261025.92303541666</v>
      </c>
      <c r="V24" s="2447">
        <v>-261025.92303541666</v>
      </c>
    </row>
    <row r="25" spans="2:22">
      <c r="Q25" s="2444" t="s">
        <v>2122</v>
      </c>
      <c r="R25" s="2444" t="s">
        <v>696</v>
      </c>
      <c r="S25" s="2447">
        <v>-31913.432953218478</v>
      </c>
      <c r="T25" s="2447">
        <v>-15102.751651162727</v>
      </c>
      <c r="U25" s="2447">
        <v>-15102.751651162727</v>
      </c>
      <c r="V25" s="2447">
        <v>-15102.751651162727</v>
      </c>
    </row>
    <row r="26" spans="2:22">
      <c r="Q26" s="2444" t="s">
        <v>2123</v>
      </c>
      <c r="R26" s="2444" t="s">
        <v>678</v>
      </c>
      <c r="S26" s="2447">
        <v>-2682.0197793311781</v>
      </c>
      <c r="T26" s="2447">
        <v>-3426.6108561995466</v>
      </c>
      <c r="U26" s="2447">
        <v>-3426.6108561995466</v>
      </c>
      <c r="V26" s="2447">
        <v>-3426.6108561995466</v>
      </c>
    </row>
    <row r="27" spans="2:22">
      <c r="Q27" s="2444" t="s">
        <v>2124</v>
      </c>
      <c r="R27" s="2444" t="s">
        <v>678</v>
      </c>
      <c r="S27" s="2447">
        <v>0</v>
      </c>
      <c r="T27" s="2447">
        <v>0</v>
      </c>
      <c r="U27" s="2447">
        <v>0</v>
      </c>
      <c r="V27" s="2447">
        <v>0</v>
      </c>
    </row>
    <row r="28" spans="2:22">
      <c r="Q28" s="2451" t="s">
        <v>2125</v>
      </c>
      <c r="R28" s="2451" t="s">
        <v>2126</v>
      </c>
      <c r="S28" s="2447">
        <v>-499220.33736097091</v>
      </c>
      <c r="T28" s="2447">
        <v>-586870.61949151836</v>
      </c>
      <c r="U28" s="2447">
        <v>-586870.61949151836</v>
      </c>
      <c r="V28" s="2447">
        <v>-586870.61949151836</v>
      </c>
    </row>
    <row r="29" spans="2:22">
      <c r="Q29" s="2444" t="s">
        <v>2127</v>
      </c>
      <c r="R29" s="2444" t="s">
        <v>696</v>
      </c>
      <c r="S29" s="2447">
        <v>-65927.411558100765</v>
      </c>
      <c r="T29" s="2447">
        <v>-61155.082783642829</v>
      </c>
      <c r="U29" s="2447">
        <v>-61155.082783642829</v>
      </c>
      <c r="V29" s="2447">
        <v>-61155.082783642829</v>
      </c>
    </row>
    <row r="30" spans="2:22">
      <c r="Q30" s="2444" t="s">
        <v>2128</v>
      </c>
      <c r="R30" s="2444" t="s">
        <v>696</v>
      </c>
      <c r="S30" s="2447">
        <v>-334064.79485660227</v>
      </c>
      <c r="T30" s="2447">
        <v>-309419.62902373925</v>
      </c>
      <c r="U30" s="2447">
        <v>-309419.62902373925</v>
      </c>
      <c r="V30" s="2447">
        <v>-309419.62902373925</v>
      </c>
    </row>
    <row r="31" spans="2:22">
      <c r="Q31" s="2444" t="s">
        <v>2129</v>
      </c>
      <c r="R31" s="2444" t="s">
        <v>678</v>
      </c>
      <c r="S31" s="2447">
        <v>0</v>
      </c>
      <c r="T31" s="2447">
        <v>0</v>
      </c>
      <c r="U31" s="2447">
        <v>0</v>
      </c>
      <c r="V31" s="2447">
        <v>0</v>
      </c>
    </row>
    <row r="32" spans="2:22">
      <c r="Q32" s="2444" t="s">
        <v>2130</v>
      </c>
      <c r="R32" s="2444" t="s">
        <v>696</v>
      </c>
      <c r="S32" s="2447">
        <v>0</v>
      </c>
      <c r="T32" s="2447">
        <v>0</v>
      </c>
      <c r="U32" s="2447">
        <v>0</v>
      </c>
      <c r="V32" s="2447">
        <v>0</v>
      </c>
    </row>
    <row r="33" spans="17:22">
      <c r="Q33" s="2444" t="s">
        <v>2131</v>
      </c>
      <c r="R33" s="2444" t="s">
        <v>2114</v>
      </c>
      <c r="S33" s="2447">
        <v>0</v>
      </c>
      <c r="T33" s="2447">
        <v>0</v>
      </c>
      <c r="U33" s="2447">
        <v>0</v>
      </c>
      <c r="V33" s="2447">
        <v>0</v>
      </c>
    </row>
    <row r="34" spans="17:22">
      <c r="Q34" s="2444" t="s">
        <v>2132</v>
      </c>
      <c r="R34" s="2444" t="s">
        <v>696</v>
      </c>
      <c r="S34" s="2447">
        <v>-2871.1690750870421</v>
      </c>
      <c r="T34" s="2447">
        <v>-3059.5280304045868</v>
      </c>
      <c r="U34" s="2447">
        <v>-3059.5280304045868</v>
      </c>
      <c r="V34" s="2447">
        <v>-3059.5280304045868</v>
      </c>
    </row>
    <row r="35" spans="17:22">
      <c r="Q35" s="2444" t="s">
        <v>2133</v>
      </c>
      <c r="R35" s="2444" t="s">
        <v>678</v>
      </c>
      <c r="S35" s="2447">
        <v>0</v>
      </c>
      <c r="T35" s="2447">
        <v>0</v>
      </c>
      <c r="U35" s="2447">
        <v>0</v>
      </c>
      <c r="V35" s="2447">
        <v>0</v>
      </c>
    </row>
    <row r="36" spans="17:22">
      <c r="Q36" s="2444" t="s">
        <v>2134</v>
      </c>
      <c r="R36" s="2444" t="s">
        <v>696</v>
      </c>
      <c r="S36" s="2447">
        <v>0</v>
      </c>
      <c r="T36" s="2447">
        <v>0</v>
      </c>
      <c r="U36" s="2447">
        <v>0</v>
      </c>
      <c r="V36" s="2447">
        <v>0</v>
      </c>
    </row>
    <row r="37" spans="17:22">
      <c r="Q37" s="2444" t="s">
        <v>2135</v>
      </c>
      <c r="R37" s="2444" t="s">
        <v>2114</v>
      </c>
      <c r="S37" s="2447">
        <v>0</v>
      </c>
      <c r="T37" s="2447">
        <v>0</v>
      </c>
      <c r="U37" s="2447">
        <v>0</v>
      </c>
      <c r="V37" s="2447">
        <v>0</v>
      </c>
    </row>
    <row r="38" spans="17:22">
      <c r="Q38" s="2444" t="s">
        <v>664</v>
      </c>
      <c r="R38" s="2444" t="s">
        <v>696</v>
      </c>
      <c r="S38" s="2447">
        <v>-985236.7128755342</v>
      </c>
      <c r="T38" s="2447">
        <v>-1138461.7496481203</v>
      </c>
      <c r="U38" s="2447">
        <v>-1138461.7496481203</v>
      </c>
      <c r="V38" s="2447">
        <v>-1138461.7496481203</v>
      </c>
    </row>
    <row r="40" spans="17:22">
      <c r="Q40" s="2444" t="s">
        <v>24</v>
      </c>
      <c r="S40" s="2447">
        <f>SUM(S5:S38)</f>
        <v>-11572061.293119056</v>
      </c>
      <c r="T40" s="2447">
        <f>SUM(T5:T38)</f>
        <v>-11222541.619087692</v>
      </c>
      <c r="U40" s="2447">
        <f>SUM(U5:U38)</f>
        <v>-11222541.619087692</v>
      </c>
      <c r="V40" s="2447">
        <f>SUM(V5:V38)</f>
        <v>-10076508.291587694</v>
      </c>
    </row>
    <row r="41" spans="17:22">
      <c r="Q41" s="2455" t="s">
        <v>2136</v>
      </c>
      <c r="S41" s="2447"/>
      <c r="T41" s="2456"/>
      <c r="U41" s="2456"/>
      <c r="V41" s="2456"/>
    </row>
    <row r="42" spans="17:22">
      <c r="S42" s="2447"/>
    </row>
    <row r="43" spans="17:22">
      <c r="Q43" s="2457" t="s">
        <v>2137</v>
      </c>
      <c r="S43" s="2447"/>
    </row>
    <row r="44" spans="17:22">
      <c r="Q44" s="2444" t="s">
        <v>2138</v>
      </c>
      <c r="S44" s="2458">
        <f>SUM(T44:V44)</f>
        <v>0.99999999999999989</v>
      </c>
      <c r="T44" s="2459">
        <v>0.70111999999999997</v>
      </c>
      <c r="U44" s="2459">
        <v>0.20707999999999999</v>
      </c>
      <c r="V44" s="2459">
        <v>9.1800000000000007E-2</v>
      </c>
    </row>
    <row r="45" spans="17:22">
      <c r="Q45" s="2460"/>
      <c r="S45" s="2447"/>
    </row>
    <row r="46" spans="17:22">
      <c r="Q46" s="2444" t="s">
        <v>729</v>
      </c>
      <c r="R46" s="2461" t="s">
        <v>696</v>
      </c>
      <c r="S46" s="2447">
        <f t="shared" ref="S46:V49" si="2">SUMIFS(S$5:S$38,$R$5:$R$38,$R46)</f>
        <v>-6561327.264606419</v>
      </c>
      <c r="T46" s="2447">
        <f t="shared" si="2"/>
        <v>-7157404.1460297033</v>
      </c>
      <c r="U46" s="2447">
        <f t="shared" si="2"/>
        <v>-7157404.1460297033</v>
      </c>
      <c r="V46" s="2447">
        <f t="shared" si="2"/>
        <v>-6011370.8185297037</v>
      </c>
    </row>
    <row r="47" spans="17:22">
      <c r="Q47" s="2444" t="s">
        <v>786</v>
      </c>
      <c r="R47" s="2461" t="s">
        <v>2114</v>
      </c>
      <c r="S47" s="2447">
        <f t="shared" si="2"/>
        <v>-1016331.6655042091</v>
      </c>
      <c r="T47" s="2447">
        <f t="shared" si="2"/>
        <v>-1048414.97602252</v>
      </c>
      <c r="U47" s="2447">
        <f t="shared" si="2"/>
        <v>-1048414.97602252</v>
      </c>
      <c r="V47" s="2447">
        <f t="shared" si="2"/>
        <v>-1048414.97602252</v>
      </c>
    </row>
    <row r="48" spans="17:22">
      <c r="Q48" s="2444" t="s">
        <v>2139</v>
      </c>
      <c r="R48" s="2462" t="s">
        <v>2126</v>
      </c>
      <c r="S48" s="2447">
        <f t="shared" si="2"/>
        <v>-499220.33736097091</v>
      </c>
      <c r="T48" s="2447">
        <f t="shared" si="2"/>
        <v>-586870.61949151836</v>
      </c>
      <c r="U48" s="2447">
        <f t="shared" si="2"/>
        <v>-586870.61949151836</v>
      </c>
      <c r="V48" s="2447">
        <f t="shared" si="2"/>
        <v>-586870.61949151836</v>
      </c>
    </row>
    <row r="49" spans="17:22">
      <c r="Q49" s="2444" t="s">
        <v>2140</v>
      </c>
      <c r="R49" s="2461" t="s">
        <v>678</v>
      </c>
      <c r="S49" s="2447">
        <f t="shared" si="2"/>
        <v>-3495182.0256474554</v>
      </c>
      <c r="T49" s="2447">
        <f t="shared" si="2"/>
        <v>-2429851.8775439505</v>
      </c>
      <c r="U49" s="2447">
        <f t="shared" si="2"/>
        <v>-2429851.8775439505</v>
      </c>
      <c r="V49" s="2447">
        <f t="shared" si="2"/>
        <v>-2429851.8775439505</v>
      </c>
    </row>
    <row r="50" spans="17:22">
      <c r="S50" s="2447"/>
      <c r="T50" s="2447"/>
      <c r="U50" s="2447"/>
      <c r="V50" s="2447"/>
    </row>
    <row r="51" spans="17:22">
      <c r="Q51" s="2444" t="s">
        <v>2141</v>
      </c>
      <c r="R51" s="2447"/>
      <c r="S51" s="2447">
        <f>SUM(S46:S49)</f>
        <v>-11572061.293119054</v>
      </c>
      <c r="T51" s="2447">
        <f>SUM(T46:T49)</f>
        <v>-11222541.619087692</v>
      </c>
      <c r="U51" s="2447">
        <f>SUM(U46:U49)</f>
        <v>-11222541.619087692</v>
      </c>
      <c r="V51" s="2447">
        <f>SUM(V46:V49)</f>
        <v>-10076508.291587692</v>
      </c>
    </row>
    <row r="52" spans="17:22">
      <c r="Q52" s="2461"/>
      <c r="S52" s="2447">
        <f>S40-S51</f>
        <v>0</v>
      </c>
      <c r="T52" s="2447">
        <f>T40-T51</f>
        <v>0</v>
      </c>
      <c r="U52" s="2447">
        <f>U40-U51</f>
        <v>0</v>
      </c>
      <c r="V52" s="2447">
        <f>V40-V51</f>
        <v>0</v>
      </c>
    </row>
    <row r="53" spans="17:22">
      <c r="S53" s="2447"/>
    </row>
    <row r="54" spans="17:22">
      <c r="Q54" s="2463">
        <v>2023</v>
      </c>
      <c r="S54" s="2464" t="s">
        <v>24</v>
      </c>
      <c r="T54" s="2464" t="s">
        <v>729</v>
      </c>
      <c r="U54" s="2464" t="s">
        <v>786</v>
      </c>
      <c r="V54" s="2464" t="s">
        <v>965</v>
      </c>
    </row>
    <row r="55" spans="17:22">
      <c r="Q55" s="2444" t="s">
        <v>729</v>
      </c>
      <c r="R55" s="2461" t="s">
        <v>696</v>
      </c>
      <c r="S55" s="2447">
        <f>SUMIFS(S$5:S$38,$R$5:$R$38,$R55)</f>
        <v>-6561327.264606419</v>
      </c>
      <c r="T55" s="2465">
        <f>S55</f>
        <v>-6561327.264606419</v>
      </c>
      <c r="U55" s="2465"/>
      <c r="V55" s="2466"/>
    </row>
    <row r="56" spans="17:22">
      <c r="Q56" s="2444" t="s">
        <v>78</v>
      </c>
      <c r="R56" s="2461" t="s">
        <v>2114</v>
      </c>
      <c r="S56" s="2447">
        <f>SUMIFS(S$5:S$38,$R$5:$R$38,$R56)</f>
        <v>-1016331.6655042091</v>
      </c>
      <c r="T56" s="2465"/>
      <c r="U56" s="2465">
        <f>S56</f>
        <v>-1016331.6655042091</v>
      </c>
      <c r="V56" s="2466"/>
    </row>
    <row r="57" spans="17:22">
      <c r="Q57" s="2444" t="s">
        <v>2142</v>
      </c>
      <c r="R57" s="2462" t="s">
        <v>2126</v>
      </c>
      <c r="S57" s="2447">
        <f>SUMIFS(S$5:S$38,$R$5:$R$38,$R57)</f>
        <v>-499220.33736097091</v>
      </c>
      <c r="T57" s="2465"/>
      <c r="U57" s="2465"/>
      <c r="V57" s="2467">
        <f>S57</f>
        <v>-499220.33736097091</v>
      </c>
    </row>
    <row r="58" spans="17:22">
      <c r="Q58" s="2444" t="s">
        <v>2143</v>
      </c>
      <c r="R58" s="2461" t="s">
        <v>678</v>
      </c>
      <c r="S58" s="2447">
        <f>SUMIFS(S$5:S$38,$R$5:$R$38,$R58)</f>
        <v>-3495182.0256474554</v>
      </c>
      <c r="T58" s="2465">
        <f>S58*$T$44</f>
        <v>-2450542.0218219436</v>
      </c>
      <c r="U58" s="2465">
        <f>S58*$U$44</f>
        <v>-723782.29387107503</v>
      </c>
      <c r="V58" s="2465">
        <f>S58*$V$44</f>
        <v>-320857.7099544364</v>
      </c>
    </row>
    <row r="59" spans="17:22">
      <c r="S59" s="2468"/>
      <c r="T59" s="2465"/>
      <c r="U59" s="2465"/>
      <c r="V59" s="2466"/>
    </row>
    <row r="60" spans="17:22">
      <c r="Q60" s="2444" t="s">
        <v>2141</v>
      </c>
      <c r="S60" s="2469">
        <f>SUM(S55:S58)</f>
        <v>-11572061.293119054</v>
      </c>
      <c r="T60" s="2469">
        <f>SUM(T55:T58)</f>
        <v>-9011869.2864283621</v>
      </c>
      <c r="U60" s="2469">
        <f>SUM(U55:U58)</f>
        <v>-1740113.9593752841</v>
      </c>
      <c r="V60" s="2469">
        <f>SUM(V55:V58)</f>
        <v>-820078.04731540731</v>
      </c>
    </row>
    <row r="61" spans="17:22">
      <c r="Q61" s="2461" t="s">
        <v>2144</v>
      </c>
      <c r="S61" s="2470">
        <f>S40-S60</f>
        <v>0</v>
      </c>
    </row>
    <row r="62" spans="17:22">
      <c r="Q62" s="2461" t="s">
        <v>2145</v>
      </c>
      <c r="S62" s="2470">
        <f>S60-T60-U60-V60</f>
        <v>0</v>
      </c>
      <c r="T62" s="2470"/>
      <c r="U62" s="2470"/>
    </row>
    <row r="64" spans="17:22">
      <c r="Q64" s="2463">
        <v>2024</v>
      </c>
      <c r="S64" s="2464" t="s">
        <v>24</v>
      </c>
      <c r="T64" s="2464" t="s">
        <v>729</v>
      </c>
      <c r="U64" s="2464" t="s">
        <v>786</v>
      </c>
      <c r="V64" s="2464" t="s">
        <v>965</v>
      </c>
    </row>
    <row r="65" spans="17:22">
      <c r="Q65" s="2444" t="s">
        <v>729</v>
      </c>
      <c r="R65" s="2461" t="s">
        <v>696</v>
      </c>
      <c r="S65" s="2447">
        <f>SUMIFS(T$5:T$38,$R$5:$R$38,$R65)</f>
        <v>-7157404.1460297033</v>
      </c>
      <c r="T65" s="2465">
        <f>S65</f>
        <v>-7157404.1460297033</v>
      </c>
      <c r="U65" s="2465"/>
      <c r="V65" s="2466"/>
    </row>
    <row r="66" spans="17:22">
      <c r="Q66" s="2444" t="s">
        <v>78</v>
      </c>
      <c r="R66" s="2461" t="s">
        <v>2114</v>
      </c>
      <c r="S66" s="2447">
        <f>SUMIFS(T$5:T$38,$R$5:$R$38,$R66)</f>
        <v>-1048414.97602252</v>
      </c>
      <c r="T66" s="2465"/>
      <c r="U66" s="2465">
        <f>S66</f>
        <v>-1048414.97602252</v>
      </c>
      <c r="V66" s="2466"/>
    </row>
    <row r="67" spans="17:22">
      <c r="Q67" s="2444" t="s">
        <v>2142</v>
      </c>
      <c r="R67" s="2462" t="s">
        <v>2126</v>
      </c>
      <c r="S67" s="2447">
        <f>SUMIFS(T$5:T$38,$R$5:$R$38,$R67)</f>
        <v>-586870.61949151836</v>
      </c>
      <c r="T67" s="2465"/>
      <c r="U67" s="2465"/>
      <c r="V67" s="2467">
        <f>S67</f>
        <v>-586870.61949151836</v>
      </c>
    </row>
    <row r="68" spans="17:22">
      <c r="Q68" s="2444" t="s">
        <v>2143</v>
      </c>
      <c r="R68" s="2461" t="s">
        <v>678</v>
      </c>
      <c r="S68" s="2447">
        <f>SUMIFS(T$5:T$38,$R$5:$R$38,$R68)</f>
        <v>-2429851.8775439505</v>
      </c>
      <c r="T68" s="2465">
        <f>S68*$T$44</f>
        <v>-1703617.7483836145</v>
      </c>
      <c r="U68" s="2465">
        <f>S68*$U$44</f>
        <v>-503173.72680180124</v>
      </c>
      <c r="V68" s="2465">
        <f>S68*$V$44</f>
        <v>-223060.40235853466</v>
      </c>
    </row>
    <row r="69" spans="17:22">
      <c r="S69" s="2468"/>
      <c r="T69" s="2465"/>
      <c r="U69" s="2465"/>
      <c r="V69" s="2466"/>
    </row>
    <row r="70" spans="17:22">
      <c r="Q70" s="2444" t="s">
        <v>2141</v>
      </c>
      <c r="S70" s="2469">
        <f>SUM(S65:S68)</f>
        <v>-11222541.619087692</v>
      </c>
      <c r="T70" s="2469">
        <f>SUM(T65:T68)</f>
        <v>-8861021.8944133185</v>
      </c>
      <c r="U70" s="2469">
        <f>SUM(U65:U68)</f>
        <v>-1551588.7028243211</v>
      </c>
      <c r="V70" s="2469">
        <f>SUM(V65:V68)</f>
        <v>-809931.02185005299</v>
      </c>
    </row>
    <row r="71" spans="17:22">
      <c r="Q71" s="2461" t="s">
        <v>2144</v>
      </c>
      <c r="S71" s="2470">
        <f>T51-S70</f>
        <v>0</v>
      </c>
    </row>
    <row r="72" spans="17:22">
      <c r="Q72" s="2461" t="s">
        <v>2145</v>
      </c>
      <c r="S72" s="2470">
        <f>S70-T70-U70-V70</f>
        <v>0</v>
      </c>
      <c r="T72" s="2470"/>
      <c r="U72" s="2470"/>
    </row>
    <row r="74" spans="17:22">
      <c r="Q74" s="2463">
        <v>2025</v>
      </c>
      <c r="S74" s="2464" t="s">
        <v>24</v>
      </c>
      <c r="T74" s="2464" t="s">
        <v>729</v>
      </c>
      <c r="U74" s="2464" t="s">
        <v>786</v>
      </c>
      <c r="V74" s="2464" t="s">
        <v>965</v>
      </c>
    </row>
    <row r="75" spans="17:22">
      <c r="Q75" s="2444" t="s">
        <v>729</v>
      </c>
      <c r="R75" s="2461" t="s">
        <v>696</v>
      </c>
      <c r="S75" s="2447">
        <f>SUMIFS(U$5:U$38,$R$5:$R$38,$R75)</f>
        <v>-7157404.1460297033</v>
      </c>
      <c r="T75" s="2465">
        <f>S75</f>
        <v>-7157404.1460297033</v>
      </c>
      <c r="U75" s="2465"/>
      <c r="V75" s="2466"/>
    </row>
    <row r="76" spans="17:22">
      <c r="Q76" s="2444" t="s">
        <v>78</v>
      </c>
      <c r="R76" s="2461" t="s">
        <v>2114</v>
      </c>
      <c r="S76" s="2447">
        <f>SUMIFS(U$5:U$38,$R$5:$R$38,$R76)</f>
        <v>-1048414.97602252</v>
      </c>
      <c r="T76" s="2465"/>
      <c r="U76" s="2465">
        <f>S76</f>
        <v>-1048414.97602252</v>
      </c>
      <c r="V76" s="2466"/>
    </row>
    <row r="77" spans="17:22">
      <c r="Q77" s="2444" t="s">
        <v>2142</v>
      </c>
      <c r="R77" s="2462" t="s">
        <v>2126</v>
      </c>
      <c r="S77" s="2447">
        <f>SUMIFS(U$5:U$38,$R$5:$R$38,$R77)</f>
        <v>-586870.61949151836</v>
      </c>
      <c r="T77" s="2465"/>
      <c r="U77" s="2465"/>
      <c r="V77" s="2467">
        <f>S77</f>
        <v>-586870.61949151836</v>
      </c>
    </row>
    <row r="78" spans="17:22">
      <c r="Q78" s="2444" t="s">
        <v>2143</v>
      </c>
      <c r="R78" s="2461" t="s">
        <v>678</v>
      </c>
      <c r="S78" s="2447">
        <f>SUMIFS(U$5:U$38,$R$5:$R$38,$R78)</f>
        <v>-2429851.8775439505</v>
      </c>
      <c r="T78" s="2465">
        <f>S78*$T$44</f>
        <v>-1703617.7483836145</v>
      </c>
      <c r="U78" s="2465">
        <f>S78*$U$44</f>
        <v>-503173.72680180124</v>
      </c>
      <c r="V78" s="2465">
        <f>S78*$V$44</f>
        <v>-223060.40235853466</v>
      </c>
    </row>
    <row r="79" spans="17:22">
      <c r="S79" s="2468"/>
      <c r="T79" s="2465"/>
      <c r="U79" s="2465"/>
      <c r="V79" s="2466"/>
    </row>
    <row r="80" spans="17:22">
      <c r="Q80" s="2444" t="s">
        <v>2141</v>
      </c>
      <c r="S80" s="2469">
        <f>SUM(S75:S78)</f>
        <v>-11222541.619087692</v>
      </c>
      <c r="T80" s="2469">
        <f>SUM(T75:T78)</f>
        <v>-8861021.8944133185</v>
      </c>
      <c r="U80" s="2469">
        <f>SUM(U75:U78)</f>
        <v>-1551588.7028243211</v>
      </c>
      <c r="V80" s="2469">
        <f>SUM(V75:V78)</f>
        <v>-809931.02185005299</v>
      </c>
    </row>
    <row r="81" spans="17:22">
      <c r="Q81" s="2461" t="s">
        <v>2144</v>
      </c>
      <c r="S81" s="2470">
        <f>U51-S80</f>
        <v>0</v>
      </c>
    </row>
    <row r="82" spans="17:22">
      <c r="Q82" s="2461" t="s">
        <v>2145</v>
      </c>
      <c r="S82" s="2470">
        <f>S80-T80-U80-V80</f>
        <v>0</v>
      </c>
      <c r="T82" s="2470"/>
      <c r="U82" s="2470"/>
    </row>
    <row r="84" spans="17:22">
      <c r="Q84" s="2463">
        <v>2026</v>
      </c>
      <c r="S84" s="2464" t="s">
        <v>24</v>
      </c>
      <c r="T84" s="2464" t="s">
        <v>729</v>
      </c>
      <c r="U84" s="2464" t="s">
        <v>786</v>
      </c>
      <c r="V84" s="2464" t="s">
        <v>965</v>
      </c>
    </row>
    <row r="85" spans="17:22">
      <c r="Q85" s="2444" t="s">
        <v>729</v>
      </c>
      <c r="R85" s="2461" t="s">
        <v>696</v>
      </c>
      <c r="S85" s="2447">
        <f>SUMIFS(V$5:V$38,$R$5:$R$38,$R85)</f>
        <v>-6011370.8185297037</v>
      </c>
      <c r="T85" s="2465">
        <f>S85</f>
        <v>-6011370.8185297037</v>
      </c>
      <c r="U85" s="2465"/>
      <c r="V85" s="2466"/>
    </row>
    <row r="86" spans="17:22">
      <c r="Q86" s="2444" t="s">
        <v>78</v>
      </c>
      <c r="R86" s="2461" t="s">
        <v>2114</v>
      </c>
      <c r="S86" s="2447">
        <f>SUMIFS(V$5:V$38,$R$5:$R$38,$R86)</f>
        <v>-1048414.97602252</v>
      </c>
      <c r="T86" s="2465"/>
      <c r="U86" s="2465">
        <f>S86</f>
        <v>-1048414.97602252</v>
      </c>
      <c r="V86" s="2466"/>
    </row>
    <row r="87" spans="17:22">
      <c r="Q87" s="2444" t="s">
        <v>2142</v>
      </c>
      <c r="R87" s="2462" t="s">
        <v>2126</v>
      </c>
      <c r="S87" s="2447">
        <f>SUMIFS(V$5:V$38,$R$5:$R$38,$R87)</f>
        <v>-586870.61949151836</v>
      </c>
      <c r="T87" s="2465"/>
      <c r="U87" s="2465"/>
      <c r="V87" s="2467">
        <f>S87</f>
        <v>-586870.61949151836</v>
      </c>
    </row>
    <row r="88" spans="17:22">
      <c r="Q88" s="2444" t="s">
        <v>2143</v>
      </c>
      <c r="R88" s="2461" t="s">
        <v>678</v>
      </c>
      <c r="S88" s="2447">
        <f>SUMIFS(V$5:V$38,$R$5:$R$38,$R88)</f>
        <v>-2429851.8775439505</v>
      </c>
      <c r="T88" s="2465">
        <f>S88*$T$44</f>
        <v>-1703617.7483836145</v>
      </c>
      <c r="U88" s="2465">
        <f>S88*$U$44</f>
        <v>-503173.72680180124</v>
      </c>
      <c r="V88" s="2465">
        <f>S88*$V$44</f>
        <v>-223060.40235853466</v>
      </c>
    </row>
    <row r="89" spans="17:22">
      <c r="S89" s="2468"/>
      <c r="T89" s="2465"/>
      <c r="U89" s="2465"/>
      <c r="V89" s="2466"/>
    </row>
    <row r="90" spans="17:22">
      <c r="Q90" s="2444" t="s">
        <v>2141</v>
      </c>
      <c r="S90" s="2469">
        <f>SUM(S85:S88)</f>
        <v>-10076508.291587692</v>
      </c>
      <c r="T90" s="2469">
        <f>SUM(T85:T88)</f>
        <v>-7714988.5669133179</v>
      </c>
      <c r="U90" s="2469">
        <f>SUM(U85:U88)</f>
        <v>-1551588.7028243211</v>
      </c>
      <c r="V90" s="2469">
        <f>SUM(V85:V88)</f>
        <v>-809931.02185005299</v>
      </c>
    </row>
    <row r="91" spans="17:22">
      <c r="Q91" s="2461" t="s">
        <v>2144</v>
      </c>
      <c r="S91" s="2470">
        <f>V51-S90</f>
        <v>0</v>
      </c>
    </row>
    <row r="92" spans="17:22">
      <c r="Q92" s="2461" t="s">
        <v>2145</v>
      </c>
      <c r="S92" s="2470">
        <f>S90-T90-U90-V90</f>
        <v>0</v>
      </c>
      <c r="T92" s="2470"/>
      <c r="U92" s="247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1640625" defaultRowHeight="12.5"/>
  <cols>
    <col min="1" max="1" width="66.26953125" style="477" customWidth="1"/>
    <col min="2" max="2" width="50" style="477" customWidth="1"/>
    <col min="3" max="3" width="12.26953125" style="477" bestFit="1" customWidth="1"/>
    <col min="4" max="4" width="11.54296875" style="477" bestFit="1" customWidth="1"/>
    <col min="5" max="6" width="8.81640625" style="477"/>
    <col min="7" max="7" width="1.7265625" style="995" customWidth="1"/>
    <col min="8" max="8" width="8.81640625" style="477"/>
    <col min="9" max="9" width="23.453125" style="477" bestFit="1" customWidth="1"/>
    <col min="10" max="12" width="13.7265625" style="477" bestFit="1" customWidth="1"/>
    <col min="13" max="13" width="13.26953125" style="477" bestFit="1" customWidth="1"/>
    <col min="14" max="14" width="14.26953125" style="477" customWidth="1"/>
    <col min="15" max="15" width="14.1796875" style="477" customWidth="1"/>
    <col min="16" max="16" width="15.7265625" style="477" bestFit="1" customWidth="1"/>
    <col min="17" max="17" width="16.7265625" style="477" customWidth="1"/>
    <col min="18" max="18" width="11.54296875" style="477" bestFit="1" customWidth="1"/>
    <col min="19" max="19" width="12.26953125" style="477" bestFit="1" customWidth="1"/>
    <col min="20" max="20" width="14" style="477" customWidth="1"/>
    <col min="21" max="21" width="12.54296875" style="477" customWidth="1"/>
    <col min="22" max="22" width="14.26953125" style="477" customWidth="1"/>
    <col min="23" max="23" width="1.7265625" style="995" customWidth="1"/>
    <col min="24" max="24" width="8.81640625" style="477"/>
    <col min="25" max="25" width="7" style="477" bestFit="1" customWidth="1"/>
    <col min="26" max="26" width="26.81640625" style="477" bestFit="1" customWidth="1"/>
    <col min="27" max="27" width="14.26953125" style="477" bestFit="1" customWidth="1"/>
    <col min="28" max="28" width="13.7265625" style="477" customWidth="1"/>
    <col min="29" max="29" width="14.26953125" style="477" bestFit="1" customWidth="1"/>
    <col min="30" max="30" width="13.7265625" style="477" customWidth="1"/>
    <col min="31" max="31" width="14.26953125" style="477" bestFit="1" customWidth="1"/>
    <col min="32" max="32" width="3.1796875" style="477" customWidth="1"/>
    <col min="33" max="33" width="13.7265625" style="477" bestFit="1" customWidth="1"/>
    <col min="34" max="34" width="11.26953125" style="477" bestFit="1" customWidth="1"/>
    <col min="35" max="35" width="13.26953125" style="477" bestFit="1" customWidth="1"/>
    <col min="36" max="36" width="12.26953125" style="477" bestFit="1" customWidth="1"/>
    <col min="37" max="37" width="14.26953125" style="477" bestFit="1" customWidth="1"/>
    <col min="38" max="38" width="8.81640625" style="477"/>
    <col min="39" max="39" width="1.7265625" style="995" customWidth="1"/>
    <col min="40" max="40" width="8.81640625" style="477"/>
    <col min="41" max="41" width="46.1796875" style="477" bestFit="1" customWidth="1"/>
    <col min="42" max="42" width="12.54296875" style="2477" bestFit="1" customWidth="1"/>
    <col min="43" max="43" width="12" style="477" bestFit="1" customWidth="1"/>
    <col min="44" max="44" width="12.26953125" style="477" bestFit="1" customWidth="1"/>
    <col min="45" max="45" width="8.81640625" style="477"/>
    <col min="46" max="46" width="1.7265625" style="995" customWidth="1"/>
    <col min="47" max="47" width="8.81640625" style="477"/>
    <col min="48" max="48" width="28.26953125" style="477" bestFit="1" customWidth="1"/>
    <col min="49" max="49" width="32.26953125" style="477" bestFit="1" customWidth="1"/>
    <col min="50" max="51" width="13.1796875" style="477" bestFit="1" customWidth="1"/>
    <col min="52" max="53" width="9.26953125" style="477" bestFit="1" customWidth="1"/>
    <col min="54" max="58" width="10.81640625" style="477" bestFit="1" customWidth="1"/>
    <col min="59" max="72" width="12" style="477" bestFit="1" customWidth="1"/>
    <col min="73" max="73" width="10.81640625" style="477" bestFit="1" customWidth="1"/>
    <col min="74" max="16384" width="8.81640625" style="477"/>
  </cols>
  <sheetData>
    <row r="1" spans="1:73" ht="15" thickBot="1">
      <c r="A1" s="2471" t="s">
        <v>2147</v>
      </c>
      <c r="B1" s="1217"/>
      <c r="C1" s="2088" t="s">
        <v>729</v>
      </c>
      <c r="D1" s="2088" t="s">
        <v>787</v>
      </c>
      <c r="I1" s="3983" t="s">
        <v>2148</v>
      </c>
      <c r="J1" s="3984"/>
      <c r="K1" s="3984"/>
      <c r="L1" s="3984"/>
      <c r="M1" s="3984"/>
      <c r="N1" s="3985"/>
      <c r="O1" s="2070"/>
      <c r="P1" s="3983" t="s">
        <v>2149</v>
      </c>
      <c r="Q1" s="3984"/>
      <c r="R1" s="3984"/>
      <c r="S1" s="3984"/>
      <c r="T1" s="3984"/>
      <c r="U1" s="3985"/>
      <c r="V1" s="2070"/>
      <c r="Z1" s="477" t="s">
        <v>2150</v>
      </c>
      <c r="AA1" s="2472">
        <v>21307531</v>
      </c>
      <c r="AB1" s="2472">
        <v>2267372</v>
      </c>
      <c r="AC1" s="2472">
        <v>29765007.130000003</v>
      </c>
      <c r="AD1" s="2472">
        <v>-2257284</v>
      </c>
      <c r="AE1" s="2472">
        <f>SUM(AA1:AD1)</f>
        <v>51082626.130000003</v>
      </c>
      <c r="AG1" s="2473">
        <v>4410569</v>
      </c>
      <c r="AH1" s="2473">
        <v>826169</v>
      </c>
      <c r="AI1" s="2473">
        <v>10360807.609999999</v>
      </c>
      <c r="AJ1" s="2473">
        <v>-151495</v>
      </c>
      <c r="AK1" s="875">
        <f>SUM(AG1:AJ1)</f>
        <v>15446050.609999999</v>
      </c>
      <c r="AP1" s="2474" t="s">
        <v>443</v>
      </c>
    </row>
    <row r="2" spans="1:73" ht="15" thickBot="1">
      <c r="C2" s="2473"/>
      <c r="D2" s="2473"/>
      <c r="E2" s="2473"/>
      <c r="I2" s="2070"/>
      <c r="J2" s="2070" t="s">
        <v>411</v>
      </c>
      <c r="K2" s="2070" t="s">
        <v>2151</v>
      </c>
      <c r="L2" s="2070" t="s">
        <v>2152</v>
      </c>
      <c r="M2" s="2070" t="s">
        <v>2153</v>
      </c>
      <c r="N2" s="2070" t="s">
        <v>2154</v>
      </c>
      <c r="O2" s="2070"/>
      <c r="P2" s="2070"/>
      <c r="Q2" s="2070" t="s">
        <v>411</v>
      </c>
      <c r="R2" s="2070" t="s">
        <v>2151</v>
      </c>
      <c r="S2" s="2070" t="s">
        <v>2152</v>
      </c>
      <c r="T2" s="2070" t="s">
        <v>2153</v>
      </c>
      <c r="U2" s="2070" t="s">
        <v>2154</v>
      </c>
      <c r="V2" s="2070"/>
      <c r="AP2" s="2474" t="s">
        <v>2155</v>
      </c>
      <c r="AQ2" s="2070" t="s">
        <v>2148</v>
      </c>
      <c r="AR2" s="2070" t="s">
        <v>2149</v>
      </c>
      <c r="BB2" s="2475">
        <v>2862618.4027386275</v>
      </c>
      <c r="BC2" s="477" t="s">
        <v>2156</v>
      </c>
    </row>
    <row r="3" spans="1:73" ht="15" thickBot="1">
      <c r="A3" s="2089" t="s">
        <v>2157</v>
      </c>
      <c r="B3" s="1217" t="s">
        <v>2158</v>
      </c>
      <c r="C3" s="2476">
        <f>'G-3.04,5.01 PF AMI'!M149</f>
        <v>31962210.333651185</v>
      </c>
      <c r="D3" s="2476">
        <f>'G-3.04,5.01 PF AMI'!T149</f>
        <v>9063052.6096567865</v>
      </c>
      <c r="E3" s="2473"/>
      <c r="I3" s="477" t="s">
        <v>744</v>
      </c>
      <c r="J3" s="2473"/>
      <c r="K3" s="2473">
        <f>'G-3.04,5.01 PF AMI'!AE6</f>
        <v>45754371.030000001</v>
      </c>
      <c r="L3" s="2473"/>
      <c r="M3" s="2473">
        <f t="shared" ref="M3:M66" si="0">K3*-0.21</f>
        <v>-9608417.9163000006</v>
      </c>
      <c r="P3" s="477" t="s">
        <v>744</v>
      </c>
      <c r="Q3" s="2473"/>
      <c r="R3" s="2473">
        <f>'G-3.04,5.01 PF AMI'!AK6</f>
        <v>13064525.09</v>
      </c>
      <c r="S3" s="2473"/>
      <c r="T3" s="2473">
        <f t="shared" ref="T3:T66" si="1">R3*-0.21</f>
        <v>-2743550.2689</v>
      </c>
      <c r="AA3" s="3983" t="s">
        <v>729</v>
      </c>
      <c r="AB3" s="3984"/>
      <c r="AC3" s="3984"/>
      <c r="AD3" s="3984"/>
      <c r="AE3" s="3985"/>
      <c r="AF3" s="2070"/>
      <c r="AG3" s="3983" t="s">
        <v>434</v>
      </c>
      <c r="AH3" s="3984"/>
      <c r="AI3" s="3984"/>
      <c r="AJ3" s="3984"/>
      <c r="AK3" s="3985"/>
      <c r="AV3" s="2478" t="s">
        <v>2159</v>
      </c>
      <c r="AW3" s="2478"/>
      <c r="AX3" s="2478"/>
      <c r="AY3" s="2478"/>
      <c r="AZ3" s="2478"/>
      <c r="BA3" s="2478"/>
    </row>
    <row r="4" spans="1:73" ht="14.5">
      <c r="A4" s="477" t="s">
        <v>2160</v>
      </c>
      <c r="C4" s="2473"/>
      <c r="D4" s="2473"/>
      <c r="E4" s="2473"/>
      <c r="I4" s="2479">
        <v>44500</v>
      </c>
      <c r="J4" s="2473">
        <f>-'G-3.04,5.01 PF AMI'!AE45</f>
        <v>-357221.16174825176</v>
      </c>
      <c r="K4" s="2473">
        <f t="shared" ref="K4:K67" si="2">J4+K3</f>
        <v>45397149.868251748</v>
      </c>
      <c r="L4" s="2473"/>
      <c r="M4" s="2473">
        <f t="shared" si="0"/>
        <v>-9533401.4723328669</v>
      </c>
      <c r="P4" s="2479">
        <v>44500</v>
      </c>
      <c r="Q4" s="2473">
        <f>-'G-3.04,5.01 PF AMI'!AK45</f>
        <v>-108014.33993006992</v>
      </c>
      <c r="R4" s="2473">
        <f t="shared" ref="R4:R67" si="3">Q4+R3</f>
        <v>12956510.750069929</v>
      </c>
      <c r="S4" s="2473"/>
      <c r="T4" s="2473">
        <f t="shared" si="1"/>
        <v>-2720867.2575146849</v>
      </c>
      <c r="AA4" s="2070">
        <v>182331</v>
      </c>
      <c r="AB4" s="2070">
        <v>182336</v>
      </c>
      <c r="AC4" s="2070">
        <v>182337</v>
      </c>
      <c r="AD4" s="2070">
        <v>254332</v>
      </c>
      <c r="AE4" s="2070"/>
      <c r="AF4" s="2070"/>
      <c r="AG4" s="2070">
        <v>182331</v>
      </c>
      <c r="AH4" s="2070">
        <v>182336</v>
      </c>
      <c r="AI4" s="2070">
        <v>182337</v>
      </c>
      <c r="AJ4" s="2070">
        <v>254332</v>
      </c>
      <c r="AK4" s="2070"/>
      <c r="AO4" s="477" t="s">
        <v>2161</v>
      </c>
      <c r="AP4" s="2477">
        <f>'G-3.04,5.01 PF AMI'!BF55</f>
        <v>6516474.2251543403</v>
      </c>
    </row>
    <row r="5" spans="1:73" ht="87">
      <c r="A5" s="477" t="s">
        <v>2162</v>
      </c>
      <c r="C5" s="2473"/>
      <c r="D5" s="2473"/>
      <c r="E5" s="2473"/>
      <c r="I5" s="2479">
        <v>44530</v>
      </c>
      <c r="J5" s="2473">
        <f>-'G-3.04,5.01 PF AMI'!AE46</f>
        <v>-357221.16174825176</v>
      </c>
      <c r="K5" s="2473">
        <f t="shared" si="2"/>
        <v>45039928.706503496</v>
      </c>
      <c r="L5" s="2473"/>
      <c r="M5" s="2473">
        <f t="shared" si="0"/>
        <v>-9458385.0283657331</v>
      </c>
      <c r="P5" s="2479">
        <v>44530</v>
      </c>
      <c r="Q5" s="2473">
        <f>-'G-3.04,5.01 PF AMI'!AK46</f>
        <v>-108014.33993006992</v>
      </c>
      <c r="R5" s="2473">
        <f t="shared" si="3"/>
        <v>12848496.410139859</v>
      </c>
      <c r="S5" s="2473"/>
      <c r="T5" s="2473">
        <f t="shared" si="1"/>
        <v>-2698184.2461293703</v>
      </c>
      <c r="Y5" s="931"/>
      <c r="Z5" s="931"/>
      <c r="AA5" s="1179" t="s">
        <v>2163</v>
      </c>
      <c r="AB5" s="1179" t="s">
        <v>2164</v>
      </c>
      <c r="AC5" s="1179" t="s">
        <v>2165</v>
      </c>
      <c r="AD5" s="1179" t="s">
        <v>2166</v>
      </c>
      <c r="AE5" s="1179" t="s">
        <v>198</v>
      </c>
      <c r="AF5" s="1179"/>
      <c r="AG5" s="1179" t="s">
        <v>2167</v>
      </c>
      <c r="AH5" s="1179" t="s">
        <v>2164</v>
      </c>
      <c r="AI5" s="1179" t="s">
        <v>2165</v>
      </c>
      <c r="AJ5" s="1179" t="s">
        <v>2166</v>
      </c>
      <c r="AK5" s="1179" t="s">
        <v>198</v>
      </c>
      <c r="AO5" s="477" t="s">
        <v>2168</v>
      </c>
      <c r="AP5" s="2477">
        <f>'G-3.04,5.01 PF AMI'!BG55</f>
        <v>9126478.2411252502</v>
      </c>
      <c r="AV5" s="2480" t="s">
        <v>2169</v>
      </c>
      <c r="AW5" s="937"/>
      <c r="AX5" s="2480" t="s">
        <v>2170</v>
      </c>
      <c r="AY5" s="2480" t="s">
        <v>2171</v>
      </c>
      <c r="AZ5" s="2480">
        <v>2016</v>
      </c>
      <c r="BA5" s="2480">
        <v>2017</v>
      </c>
      <c r="BB5" s="2480">
        <v>2018</v>
      </c>
      <c r="BC5" s="2480">
        <v>2019</v>
      </c>
      <c r="BD5" s="2480">
        <v>2020</v>
      </c>
      <c r="BE5" s="2480">
        <v>2021</v>
      </c>
      <c r="BF5" s="2480">
        <v>2022</v>
      </c>
      <c r="BG5" s="2480">
        <v>2023</v>
      </c>
      <c r="BH5" s="2480">
        <v>2024</v>
      </c>
      <c r="BI5" s="2480">
        <v>2025</v>
      </c>
      <c r="BJ5" s="2480">
        <v>2026</v>
      </c>
      <c r="BK5" s="2480">
        <v>2027</v>
      </c>
      <c r="BL5" s="2480">
        <v>2028</v>
      </c>
      <c r="BM5" s="2480">
        <v>2029</v>
      </c>
      <c r="BN5" s="2480">
        <v>2030</v>
      </c>
      <c r="BO5" s="2480">
        <v>2031</v>
      </c>
      <c r="BP5" s="2480">
        <v>2032</v>
      </c>
      <c r="BQ5" s="2480">
        <v>2033</v>
      </c>
      <c r="BR5" s="2480">
        <v>2034</v>
      </c>
      <c r="BS5" s="2480">
        <v>2035</v>
      </c>
      <c r="BT5" s="2480">
        <v>2036</v>
      </c>
      <c r="BU5" s="2480">
        <v>2037</v>
      </c>
    </row>
    <row r="6" spans="1:73" ht="14.5">
      <c r="A6" s="477" t="s">
        <v>2172</v>
      </c>
      <c r="B6" s="477" t="s">
        <v>2173</v>
      </c>
      <c r="C6" s="2481">
        <f>'G-3.04,5.01 PF AMI'!M150</f>
        <v>-7528909.7867421545</v>
      </c>
      <c r="D6" s="2481">
        <f>'G-3.04,5.01 PF AMI'!T150</f>
        <v>-2141033.238508299</v>
      </c>
      <c r="E6" s="2481" t="s">
        <v>2174</v>
      </c>
      <c r="F6" s="2482"/>
      <c r="I6" s="2479">
        <v>44561</v>
      </c>
      <c r="J6" s="2473">
        <f>-'G-3.04,5.01 PF AMI'!AE47</f>
        <v>-357221.16174825176</v>
      </c>
      <c r="K6" s="2473">
        <f t="shared" si="2"/>
        <v>44682707.544755243</v>
      </c>
      <c r="L6" s="2473"/>
      <c r="M6" s="2473">
        <f t="shared" si="0"/>
        <v>-9383368.5843986012</v>
      </c>
      <c r="P6" s="2479">
        <v>44561</v>
      </c>
      <c r="Q6" s="2473">
        <f>-'G-3.04,5.01 PF AMI'!AK47</f>
        <v>-108014.33993006992</v>
      </c>
      <c r="R6" s="2473">
        <f t="shared" si="3"/>
        <v>12740482.070209788</v>
      </c>
      <c r="S6" s="2473"/>
      <c r="T6" s="2473">
        <f t="shared" si="1"/>
        <v>-2675501.2347440552</v>
      </c>
      <c r="Z6" s="477" t="s">
        <v>2175</v>
      </c>
      <c r="AA6" s="2472">
        <v>20369298</v>
      </c>
      <c r="AB6" s="2472">
        <v>1416996.95</v>
      </c>
      <c r="AC6" s="2472">
        <v>26272192.699999999</v>
      </c>
      <c r="AD6" s="2472">
        <v>-2304116.62</v>
      </c>
      <c r="AE6" s="2472">
        <f>SUM(AA6:AD6)</f>
        <v>45754371.030000001</v>
      </c>
      <c r="AF6" s="2472"/>
      <c r="AG6" s="2472">
        <v>4107087</v>
      </c>
      <c r="AH6" s="2472">
        <v>500540.57</v>
      </c>
      <c r="AI6" s="2472">
        <v>8724633.7699999996</v>
      </c>
      <c r="AJ6" s="2472">
        <v>-267736.25</v>
      </c>
      <c r="AK6" s="2472">
        <f>SUM(AG6:AJ6)</f>
        <v>13064525.09</v>
      </c>
      <c r="AQ6" s="1127"/>
      <c r="AR6" s="1127"/>
    </row>
    <row r="7" spans="1:73" ht="15" thickBot="1">
      <c r="A7" s="477" t="s">
        <v>2176</v>
      </c>
      <c r="C7" s="2473"/>
      <c r="D7" s="2473"/>
      <c r="E7" s="2473"/>
      <c r="I7" s="2479">
        <v>44592</v>
      </c>
      <c r="J7" s="2473">
        <f>-'G-3.04,5.01 PF AMI'!AE48</f>
        <v>-357221.16174825176</v>
      </c>
      <c r="K7" s="2473">
        <f t="shared" si="2"/>
        <v>44325486.38300699</v>
      </c>
      <c r="L7" s="2473"/>
      <c r="M7" s="2473">
        <f t="shared" si="0"/>
        <v>-9308352.1404314674</v>
      </c>
      <c r="P7" s="2479">
        <v>44592</v>
      </c>
      <c r="Q7" s="2473">
        <f>-'G-3.04,5.01 PF AMI'!AK48</f>
        <v>-108014.33993006992</v>
      </c>
      <c r="R7" s="2473">
        <f t="shared" si="3"/>
        <v>12632467.730279718</v>
      </c>
      <c r="S7" s="2473"/>
      <c r="T7" s="2473">
        <f t="shared" si="1"/>
        <v>-2652818.2233587406</v>
      </c>
      <c r="AA7" s="2472"/>
      <c r="AB7" s="2472"/>
      <c r="AC7" s="2472"/>
      <c r="AD7" s="2472"/>
      <c r="AE7" s="2472"/>
      <c r="AF7" s="2472"/>
      <c r="AG7" s="2472"/>
      <c r="AH7" s="2472"/>
      <c r="AI7" s="2472"/>
      <c r="AJ7" s="2472"/>
      <c r="AK7" s="2472"/>
      <c r="AO7" s="477" t="s">
        <v>2177</v>
      </c>
      <c r="AP7" s="2477">
        <f>(AP4*6/12)+(AP5*6/12)</f>
        <v>7821476.2331397953</v>
      </c>
      <c r="AQ7" s="2483">
        <f>AP7*0.75</f>
        <v>5866107.1748548467</v>
      </c>
      <c r="AR7" s="2483">
        <f>AP7*0.25</f>
        <v>1955369.0582849488</v>
      </c>
      <c r="AV7" s="1217" t="s">
        <v>2178</v>
      </c>
    </row>
    <row r="8" spans="1:73" ht="15" thickBot="1">
      <c r="A8" s="1217" t="s">
        <v>2179</v>
      </c>
      <c r="B8" s="1217" t="s">
        <v>2180</v>
      </c>
      <c r="C8" s="2484">
        <f>SUM(C3:C7)</f>
        <v>24433300.546909031</v>
      </c>
      <c r="D8" s="2484">
        <f>SUM(D3:D7)</f>
        <v>6922019.3711484876</v>
      </c>
      <c r="E8" s="2473"/>
      <c r="I8" s="2479">
        <v>44620</v>
      </c>
      <c r="J8" s="2473">
        <f>-'G-3.04,5.01 PF AMI'!AE49</f>
        <v>-357221.16174825176</v>
      </c>
      <c r="K8" s="2473">
        <f t="shared" si="2"/>
        <v>43968265.221258737</v>
      </c>
      <c r="L8" s="2473"/>
      <c r="M8" s="2473">
        <f t="shared" si="0"/>
        <v>-9233335.6964643337</v>
      </c>
      <c r="P8" s="2479">
        <v>44620</v>
      </c>
      <c r="Q8" s="2473">
        <f>-'G-3.04,5.01 PF AMI'!AK49</f>
        <v>-108014.33993006992</v>
      </c>
      <c r="R8" s="2473">
        <f t="shared" si="3"/>
        <v>12524453.390349647</v>
      </c>
      <c r="S8" s="2473"/>
      <c r="T8" s="2473">
        <f t="shared" si="1"/>
        <v>-2630135.2119734259</v>
      </c>
      <c r="Y8" s="477">
        <v>1</v>
      </c>
      <c r="Z8" s="477">
        <v>201809</v>
      </c>
      <c r="AA8" s="2472"/>
      <c r="AB8" s="2472"/>
      <c r="AC8" s="2472"/>
      <c r="AD8" s="2472"/>
      <c r="AE8" s="2472"/>
      <c r="AF8" s="2472"/>
      <c r="AG8" s="2472"/>
      <c r="AH8" s="2472"/>
      <c r="AI8" s="2472"/>
      <c r="AJ8" s="2472"/>
      <c r="AK8" s="2472"/>
      <c r="AQ8" s="1127"/>
      <c r="AR8" s="1127"/>
      <c r="AV8" s="1217"/>
      <c r="AW8" s="477" t="s">
        <v>2181</v>
      </c>
      <c r="AX8" s="1197">
        <v>57383155.35846632</v>
      </c>
      <c r="AY8" s="1197">
        <v>132405573.00601076</v>
      </c>
      <c r="AZ8" s="1197">
        <v>280175</v>
      </c>
      <c r="BA8" s="1197">
        <v>369752.77120000031</v>
      </c>
      <c r="BB8" s="2475">
        <v>580538.65811706323</v>
      </c>
      <c r="BC8" s="1197">
        <v>1652817.0334517234</v>
      </c>
      <c r="BD8" s="1197">
        <v>4295101.6957793366</v>
      </c>
      <c r="BE8" s="1197">
        <v>4373501.9934327714</v>
      </c>
      <c r="BF8" s="1197">
        <v>4453336.2220941437</v>
      </c>
      <c r="BG8" s="1197">
        <v>6239048.709157981</v>
      </c>
      <c r="BH8" s="1197">
        <v>6487264.8415476931</v>
      </c>
      <c r="BI8" s="1197">
        <v>6745301.9419204406</v>
      </c>
      <c r="BJ8" s="1197">
        <v>7013549.4782801382</v>
      </c>
      <c r="BK8" s="1197">
        <v>7292411.7431279421</v>
      </c>
      <c r="BL8" s="1197">
        <v>7582309.4826638978</v>
      </c>
      <c r="BM8" s="1197">
        <v>7883680.5510302968</v>
      </c>
      <c r="BN8" s="1197">
        <v>8196980.5905941557</v>
      </c>
      <c r="BO8" s="1197">
        <v>8522681.7393059209</v>
      </c>
      <c r="BP8" s="1197">
        <v>8861276.366212938</v>
      </c>
      <c r="BQ8" s="1197">
        <v>9213275.8362491019</v>
      </c>
      <c r="BR8" s="1197">
        <v>9579211.3054668829</v>
      </c>
      <c r="BS8" s="1197">
        <v>9959635.5479243323</v>
      </c>
      <c r="BT8" s="1197">
        <v>10355124.815488093</v>
      </c>
      <c r="BU8" s="1197">
        <v>2468596.6829658966</v>
      </c>
    </row>
    <row r="9" spans="1:73" ht="14.5">
      <c r="C9" s="2473"/>
      <c r="D9" s="2473"/>
      <c r="E9" s="2473"/>
      <c r="I9" s="2479">
        <v>44651</v>
      </c>
      <c r="J9" s="2473">
        <f>-'G-3.04,5.01 PF AMI'!AE50</f>
        <v>-357221.16174825176</v>
      </c>
      <c r="K9" s="2473">
        <f t="shared" si="2"/>
        <v>43611044.059510484</v>
      </c>
      <c r="L9" s="2473"/>
      <c r="M9" s="2473">
        <f t="shared" si="0"/>
        <v>-9158319.2524972018</v>
      </c>
      <c r="P9" s="2479">
        <v>44651</v>
      </c>
      <c r="Q9" s="2473">
        <f>-'G-3.04,5.01 PF AMI'!AK50</f>
        <v>-108014.33993006992</v>
      </c>
      <c r="R9" s="2473">
        <f t="shared" si="3"/>
        <v>12416439.050419576</v>
      </c>
      <c r="S9" s="2473"/>
      <c r="T9" s="2473">
        <f t="shared" si="1"/>
        <v>-2607452.2005881108</v>
      </c>
      <c r="Y9" s="477">
        <v>2</v>
      </c>
      <c r="Z9" s="477">
        <v>201810</v>
      </c>
      <c r="AA9" s="2472"/>
      <c r="AB9" s="2472"/>
      <c r="AC9" s="2472"/>
      <c r="AD9" s="2472"/>
      <c r="AE9" s="2472"/>
      <c r="AF9" s="2472"/>
      <c r="AG9" s="2472"/>
      <c r="AH9" s="2472"/>
      <c r="AI9" s="2472"/>
      <c r="AJ9" s="2472"/>
      <c r="AK9" s="2472"/>
      <c r="AO9" s="477" t="s">
        <v>2182</v>
      </c>
      <c r="AP9" s="2485">
        <f>'G-3.04,5.01 PF AMI'!BI55</f>
        <v>10583688.338130785</v>
      </c>
      <c r="AQ9" s="2486">
        <f>AP9*0.75</f>
        <v>7937766.2535980884</v>
      </c>
      <c r="AR9" s="2486">
        <f>AP9*0.25</f>
        <v>2645922.0845326963</v>
      </c>
      <c r="AV9" s="1217"/>
      <c r="AW9" s="477" t="s">
        <v>2183</v>
      </c>
      <c r="AX9" s="1197">
        <v>359095.05610758282</v>
      </c>
      <c r="AY9" s="1197">
        <v>781459.24000000034</v>
      </c>
      <c r="AZ9" s="1197">
        <v>0</v>
      </c>
      <c r="BA9" s="1197">
        <v>0</v>
      </c>
      <c r="BB9" s="1197">
        <v>0</v>
      </c>
      <c r="BC9" s="1197">
        <v>14499.057857142858</v>
      </c>
      <c r="BD9" s="1197">
        <v>36247.644642857143</v>
      </c>
      <c r="BE9" s="1197">
        <v>36247.644642857143</v>
      </c>
      <c r="BF9" s="1197">
        <v>34772.644642857143</v>
      </c>
      <c r="BG9" s="1197">
        <v>46855.192857142858</v>
      </c>
      <c r="BH9" s="1197">
        <v>46363.192857142858</v>
      </c>
      <c r="BI9" s="1197">
        <v>46363.192857142858</v>
      </c>
      <c r="BJ9" s="1197">
        <v>46363.192857142858</v>
      </c>
      <c r="BK9" s="1197">
        <v>46363.192857142858</v>
      </c>
      <c r="BL9" s="1197">
        <v>46363.192857142858</v>
      </c>
      <c r="BM9" s="1197">
        <v>46363.192857142858</v>
      </c>
      <c r="BN9" s="1197">
        <v>46363.192857142858</v>
      </c>
      <c r="BO9" s="1197">
        <v>46363.192857142858</v>
      </c>
      <c r="BP9" s="1197">
        <v>46363.192857142858</v>
      </c>
      <c r="BQ9" s="1197">
        <v>46363.192857142858</v>
      </c>
      <c r="BR9" s="1197">
        <v>46363.192857142858</v>
      </c>
      <c r="BS9" s="1197">
        <v>46363.192857142858</v>
      </c>
      <c r="BT9" s="1197">
        <v>46363.192857142858</v>
      </c>
      <c r="BU9" s="1197">
        <v>10115.548214285714</v>
      </c>
    </row>
    <row r="10" spans="1:73" ht="15" thickBot="1">
      <c r="C10" s="2473"/>
      <c r="D10" s="2473"/>
      <c r="E10" s="2473"/>
      <c r="I10" s="2479">
        <v>44681</v>
      </c>
      <c r="J10" s="2473">
        <f>-'G-3.04,5.01 PF AMI'!AE51</f>
        <v>-357221.16174825176</v>
      </c>
      <c r="K10" s="2473">
        <f t="shared" si="2"/>
        <v>43253822.897762232</v>
      </c>
      <c r="L10" s="2473"/>
      <c r="M10" s="2473">
        <f t="shared" si="0"/>
        <v>-9083302.808530068</v>
      </c>
      <c r="P10" s="2479">
        <v>44681</v>
      </c>
      <c r="Q10" s="2473">
        <f>-'G-3.04,5.01 PF AMI'!AK51</f>
        <v>-108014.33993006992</v>
      </c>
      <c r="R10" s="2473">
        <f t="shared" si="3"/>
        <v>12308424.710489506</v>
      </c>
      <c r="S10" s="2473"/>
      <c r="T10" s="2473">
        <f t="shared" si="1"/>
        <v>-2584769.1892027962</v>
      </c>
      <c r="Y10" s="477">
        <v>3</v>
      </c>
      <c r="Z10" s="477">
        <v>201811</v>
      </c>
      <c r="AA10" s="2472"/>
      <c r="AB10" s="2472"/>
      <c r="AC10" s="2472"/>
      <c r="AD10" s="2472"/>
      <c r="AE10" s="2472"/>
      <c r="AF10" s="2472"/>
      <c r="AG10" s="2472"/>
      <c r="AH10" s="2472"/>
      <c r="AI10" s="2472"/>
      <c r="AJ10" s="2472"/>
      <c r="AK10" s="2472"/>
      <c r="AQ10" s="1127"/>
      <c r="AR10" s="1127"/>
      <c r="AV10" s="1217"/>
      <c r="AW10" s="477" t="s">
        <v>2184</v>
      </c>
      <c r="AX10" s="1197">
        <v>2423030.0241882531</v>
      </c>
      <c r="AY10" s="1197">
        <v>5419318.8420403842</v>
      </c>
      <c r="AZ10" s="1197">
        <v>0</v>
      </c>
      <c r="BA10" s="1197">
        <v>0</v>
      </c>
      <c r="BB10" s="1197">
        <v>0</v>
      </c>
      <c r="BC10" s="1197">
        <v>67530.247925326781</v>
      </c>
      <c r="BD10" s="1197">
        <v>168825.61981331697</v>
      </c>
      <c r="BE10" s="1197">
        <v>168825.61981331697</v>
      </c>
      <c r="BF10" s="1197">
        <v>172555.53343975573</v>
      </c>
      <c r="BG10" s="1197">
        <v>235178.66123374406</v>
      </c>
      <c r="BH10" s="1197">
        <v>400697.40055611229</v>
      </c>
      <c r="BI10" s="1197">
        <v>409662.09499869589</v>
      </c>
      <c r="BJ10" s="1197">
        <v>418865.16799881589</v>
      </c>
      <c r="BK10" s="1197">
        <v>428313.46529044106</v>
      </c>
      <c r="BL10" s="1197">
        <v>438014.03492333164</v>
      </c>
      <c r="BM10" s="1197">
        <v>447974.13330195076</v>
      </c>
      <c r="BN10" s="1197">
        <v>274920.73884314264</v>
      </c>
      <c r="BO10" s="1197">
        <v>281221.81271559931</v>
      </c>
      <c r="BP10" s="1197">
        <v>287692.45332130126</v>
      </c>
      <c r="BQ10" s="1197">
        <v>294337.55300741666</v>
      </c>
      <c r="BR10" s="1197">
        <v>301162.14894498023</v>
      </c>
      <c r="BS10" s="1197">
        <v>308171.42745414423</v>
      </c>
      <c r="BT10" s="1197">
        <v>315370.72845899116</v>
      </c>
      <c r="BU10" s="1197">
        <v>0</v>
      </c>
    </row>
    <row r="11" spans="1:73" ht="15" thickBot="1">
      <c r="A11" s="2089" t="s">
        <v>2185</v>
      </c>
      <c r="B11" s="1217" t="s">
        <v>2186</v>
      </c>
      <c r="C11" s="2476">
        <f>-'G-3.04,5.01 PF AMI'!N149</f>
        <v>4036891.9831665209</v>
      </c>
      <c r="D11" s="2476">
        <f>-'G-3.04,5.01 PF AMI'!U149</f>
        <v>1184538.070410839</v>
      </c>
      <c r="E11" s="2473"/>
      <c r="I11" s="2479">
        <v>44712</v>
      </c>
      <c r="J11" s="2473">
        <f>-'G-3.04,5.01 PF AMI'!AE52</f>
        <v>-357221.16174825176</v>
      </c>
      <c r="K11" s="2473">
        <f t="shared" si="2"/>
        <v>42896601.736013979</v>
      </c>
      <c r="L11" s="2473"/>
      <c r="M11" s="2473">
        <f t="shared" si="0"/>
        <v>-9008286.3645629361</v>
      </c>
      <c r="P11" s="2479">
        <v>44712</v>
      </c>
      <c r="Q11" s="2473">
        <f>-'G-3.04,5.01 PF AMI'!AK52</f>
        <v>-108014.33993006992</v>
      </c>
      <c r="R11" s="2473">
        <f t="shared" si="3"/>
        <v>12200410.370559435</v>
      </c>
      <c r="S11" s="2473"/>
      <c r="T11" s="2473">
        <f t="shared" si="1"/>
        <v>-2562086.1778174811</v>
      </c>
      <c r="Y11" s="477">
        <v>4</v>
      </c>
      <c r="Z11" s="477">
        <v>201812</v>
      </c>
      <c r="AA11" s="2472"/>
      <c r="AB11" s="2472"/>
      <c r="AC11" s="2472"/>
      <c r="AD11" s="2472"/>
      <c r="AE11" s="2472"/>
      <c r="AF11" s="2472"/>
      <c r="AG11" s="2472"/>
      <c r="AH11" s="2472"/>
      <c r="AI11" s="2472"/>
      <c r="AJ11" s="2472"/>
      <c r="AK11" s="2472"/>
      <c r="AO11" s="477" t="s">
        <v>2187</v>
      </c>
      <c r="AP11" s="2487">
        <f>AP7-AP9</f>
        <v>-2762212.1049909899</v>
      </c>
      <c r="AQ11" s="2488">
        <f>AQ7-AQ9</f>
        <v>-2071659.0787432417</v>
      </c>
      <c r="AR11" s="2488">
        <f>AR7-AR9</f>
        <v>-690553.02624774748</v>
      </c>
      <c r="AV11" s="2489"/>
      <c r="AW11" s="2490" t="s">
        <v>24</v>
      </c>
      <c r="AX11" s="2491">
        <f t="shared" ref="AX11:BU11" si="4">SUM(AX8:AX10)</f>
        <v>60165280.438762151</v>
      </c>
      <c r="AY11" s="2491">
        <f t="shared" si="4"/>
        <v>138606351.08805114</v>
      </c>
      <c r="AZ11" s="2491">
        <f t="shared" si="4"/>
        <v>280175</v>
      </c>
      <c r="BA11" s="2491">
        <f t="shared" si="4"/>
        <v>369752.77120000031</v>
      </c>
      <c r="BB11" s="2491">
        <f t="shared" si="4"/>
        <v>580538.65811706323</v>
      </c>
      <c r="BC11" s="2491">
        <f t="shared" si="4"/>
        <v>1734846.3392341929</v>
      </c>
      <c r="BD11" s="2491">
        <f t="shared" si="4"/>
        <v>4500174.96023551</v>
      </c>
      <c r="BE11" s="2491">
        <f t="shared" si="4"/>
        <v>4578575.2578889448</v>
      </c>
      <c r="BF11" s="2491">
        <f t="shared" si="4"/>
        <v>4660664.4001767561</v>
      </c>
      <c r="BG11" s="2491">
        <f t="shared" si="4"/>
        <v>6521082.5632488672</v>
      </c>
      <c r="BH11" s="2491">
        <f t="shared" si="4"/>
        <v>6934325.4349609483</v>
      </c>
      <c r="BI11" s="2491">
        <f t="shared" si="4"/>
        <v>7201327.2297762791</v>
      </c>
      <c r="BJ11" s="2491">
        <f t="shared" si="4"/>
        <v>7478777.8391360966</v>
      </c>
      <c r="BK11" s="2491">
        <f t="shared" si="4"/>
        <v>7767088.4012755258</v>
      </c>
      <c r="BL11" s="2491">
        <f t="shared" si="4"/>
        <v>8066686.7104443721</v>
      </c>
      <c r="BM11" s="2491">
        <f t="shared" si="4"/>
        <v>8378017.8771893904</v>
      </c>
      <c r="BN11" s="2491">
        <f t="shared" si="4"/>
        <v>8518264.5222944412</v>
      </c>
      <c r="BO11" s="2491">
        <f t="shared" si="4"/>
        <v>8850266.7448786628</v>
      </c>
      <c r="BP11" s="2491">
        <f t="shared" si="4"/>
        <v>9195332.012391381</v>
      </c>
      <c r="BQ11" s="2491">
        <f t="shared" si="4"/>
        <v>9553976.5821136609</v>
      </c>
      <c r="BR11" s="2491">
        <f t="shared" si="4"/>
        <v>9926736.647269005</v>
      </c>
      <c r="BS11" s="2491">
        <f t="shared" si="4"/>
        <v>10314170.168235619</v>
      </c>
      <c r="BT11" s="2491">
        <f t="shared" si="4"/>
        <v>10716858.736804226</v>
      </c>
      <c r="BU11" s="2491">
        <f t="shared" si="4"/>
        <v>2478712.2311801822</v>
      </c>
    </row>
    <row r="12" spans="1:73" ht="14.5">
      <c r="C12" s="2492"/>
      <c r="D12" s="2473"/>
      <c r="E12" s="2492"/>
      <c r="I12" s="2479">
        <v>44742</v>
      </c>
      <c r="J12" s="2473">
        <f>-'G-3.04,5.01 PF AMI'!AE53</f>
        <v>-357221.16174825176</v>
      </c>
      <c r="K12" s="2473">
        <f t="shared" si="2"/>
        <v>42539380.574265726</v>
      </c>
      <c r="L12" s="2473"/>
      <c r="M12" s="2473">
        <f t="shared" si="0"/>
        <v>-8933269.9205958024</v>
      </c>
      <c r="P12" s="2479">
        <v>44742</v>
      </c>
      <c r="Q12" s="2473">
        <f>-'G-3.04,5.01 PF AMI'!AK53</f>
        <v>-108014.33993006992</v>
      </c>
      <c r="R12" s="2473">
        <f t="shared" si="3"/>
        <v>12092396.030629365</v>
      </c>
      <c r="S12" s="2473"/>
      <c r="T12" s="2473">
        <f t="shared" si="1"/>
        <v>-2539403.1664321665</v>
      </c>
      <c r="Y12" s="477">
        <v>5</v>
      </c>
      <c r="Z12" s="477">
        <v>201901</v>
      </c>
      <c r="AA12" s="2472"/>
      <c r="AB12" s="2472"/>
      <c r="AC12" s="2472"/>
      <c r="AD12" s="2472"/>
      <c r="AE12" s="2472"/>
      <c r="AF12" s="2472"/>
      <c r="AG12" s="2472"/>
      <c r="AH12" s="2472"/>
      <c r="AI12" s="2472"/>
      <c r="AJ12" s="2472"/>
      <c r="AK12" s="2472"/>
      <c r="AV12" s="121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row>
    <row r="13" spans="1:73" ht="15" thickBot="1">
      <c r="A13" s="477" t="s">
        <v>2188</v>
      </c>
      <c r="B13" s="477" t="s">
        <v>2189</v>
      </c>
      <c r="C13" s="2481">
        <f>-'G-3.04,5.01 PF AMI'!N150</f>
        <v>-249761.95781250019</v>
      </c>
      <c r="D13" s="2493">
        <f>-'G-3.04,5.01 PF AMI'!U150</f>
        <v>-111634.00875000004</v>
      </c>
      <c r="E13" s="2481" t="s">
        <v>2190</v>
      </c>
      <c r="I13" s="2479">
        <v>44773</v>
      </c>
      <c r="J13" s="2494">
        <f>-'G-3.04,5.01 PF AMI'!AE54</f>
        <v>-357221.16174825176</v>
      </c>
      <c r="K13" s="2473">
        <f t="shared" si="2"/>
        <v>42182159.412517473</v>
      </c>
      <c r="L13" s="2473"/>
      <c r="M13" s="2473">
        <f t="shared" si="0"/>
        <v>-8858253.4766286686</v>
      </c>
      <c r="P13" s="2479">
        <v>44773</v>
      </c>
      <c r="Q13" s="2494">
        <f>-'G-3.04,5.01 PF AMI'!AK54</f>
        <v>-108014.33993006992</v>
      </c>
      <c r="R13" s="2473">
        <f t="shared" si="3"/>
        <v>11984381.690699294</v>
      </c>
      <c r="S13" s="2473"/>
      <c r="T13" s="2473">
        <f t="shared" si="1"/>
        <v>-2516720.1550468518</v>
      </c>
      <c r="Y13" s="477">
        <v>6</v>
      </c>
      <c r="Z13" s="477">
        <v>201902</v>
      </c>
      <c r="AA13" s="2472"/>
      <c r="AB13" s="2472"/>
      <c r="AC13" s="2472"/>
      <c r="AD13" s="2472"/>
      <c r="AE13" s="2472"/>
      <c r="AF13" s="2472"/>
      <c r="AG13" s="2472"/>
      <c r="AH13" s="2472"/>
      <c r="AI13" s="2472"/>
      <c r="AJ13" s="2472"/>
      <c r="AK13" s="2472"/>
      <c r="AV13" s="1217" t="s">
        <v>2191</v>
      </c>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row>
    <row r="14" spans="1:73" ht="15" thickBot="1">
      <c r="A14" s="1217"/>
      <c r="B14" s="1217" t="s">
        <v>2192</v>
      </c>
      <c r="C14" s="2495">
        <f>C11+C13</f>
        <v>3787130.0253540208</v>
      </c>
      <c r="D14" s="2495">
        <f>D11+D13</f>
        <v>1072904.061660839</v>
      </c>
      <c r="E14" s="2473"/>
      <c r="I14" s="2479">
        <v>44804</v>
      </c>
      <c r="J14" s="2496">
        <f>-'G-3.04,5.01 PF AMI'!AE55</f>
        <v>-357221.16174825176</v>
      </c>
      <c r="K14" s="2473">
        <f t="shared" si="2"/>
        <v>41824938.25076922</v>
      </c>
      <c r="L14" s="2473"/>
      <c r="M14" s="2473">
        <f t="shared" si="0"/>
        <v>-8783237.0326615367</v>
      </c>
      <c r="P14" s="2479">
        <v>44804</v>
      </c>
      <c r="Q14" s="2496">
        <f>-'G-3.04,5.01 PF AMI'!AK55</f>
        <v>-108014.33993006992</v>
      </c>
      <c r="R14" s="2473">
        <f t="shared" si="3"/>
        <v>11876367.350769224</v>
      </c>
      <c r="S14" s="2473"/>
      <c r="T14" s="2473">
        <f t="shared" si="1"/>
        <v>-2494037.1436615367</v>
      </c>
      <c r="Y14" s="477">
        <v>7</v>
      </c>
      <c r="Z14" s="477">
        <v>201903</v>
      </c>
      <c r="AA14" s="2472"/>
      <c r="AB14" s="2472"/>
      <c r="AC14" s="2472"/>
      <c r="AD14" s="2472"/>
      <c r="AE14" s="2472"/>
      <c r="AF14" s="2472"/>
      <c r="AG14" s="2472"/>
      <c r="AH14" s="2472"/>
      <c r="AI14" s="2472"/>
      <c r="AJ14" s="2472"/>
      <c r="AK14" s="2472"/>
      <c r="AO14" s="477" t="s">
        <v>2193</v>
      </c>
      <c r="AP14" s="2485">
        <f>'G-3.04,5.01 PF AMI'!BJ55</f>
        <v>11002476.765118225</v>
      </c>
      <c r="AQ14" s="2486">
        <f>AP14*0.75</f>
        <v>8251857.5738386679</v>
      </c>
      <c r="AR14" s="2486">
        <f>AP14*0.25</f>
        <v>2750619.1912795561</v>
      </c>
      <c r="AV14" s="2497"/>
      <c r="AW14" s="1176" t="s">
        <v>2194</v>
      </c>
      <c r="AX14" s="2498">
        <v>10352917.364609633</v>
      </c>
      <c r="AY14" s="2498">
        <v>23985022.705145601</v>
      </c>
      <c r="AZ14" s="2498">
        <v>0</v>
      </c>
      <c r="BA14" s="2498">
        <v>0</v>
      </c>
      <c r="BB14" s="2498">
        <v>0</v>
      </c>
      <c r="BC14" s="2498">
        <v>292022.46388064261</v>
      </c>
      <c r="BD14" s="2498">
        <v>759258.40608967096</v>
      </c>
      <c r="BE14" s="2498">
        <v>789628.7423332578</v>
      </c>
      <c r="BF14" s="2498">
        <v>821213.89202658809</v>
      </c>
      <c r="BG14" s="2498">
        <v>1138749.9302768689</v>
      </c>
      <c r="BH14" s="2498">
        <v>1184299.9274879438</v>
      </c>
      <c r="BI14" s="2498">
        <v>1231671.9245874614</v>
      </c>
      <c r="BJ14" s="2498">
        <v>1280938.8015709599</v>
      </c>
      <c r="BK14" s="2498">
        <v>1332176.3536337987</v>
      </c>
      <c r="BL14" s="2498">
        <v>1385463.4077791504</v>
      </c>
      <c r="BM14" s="2498">
        <v>1440881.9440903165</v>
      </c>
      <c r="BN14" s="2498">
        <v>1498517.2218539291</v>
      </c>
      <c r="BO14" s="2498">
        <v>1558457.9107280865</v>
      </c>
      <c r="BP14" s="2498">
        <v>1620796.22715721</v>
      </c>
      <c r="BQ14" s="2498">
        <v>1685628.0762434984</v>
      </c>
      <c r="BR14" s="2498">
        <v>1753053.1992932386</v>
      </c>
      <c r="BS14" s="2498">
        <v>1823175.3272649681</v>
      </c>
      <c r="BT14" s="2498">
        <v>1896102.3403555672</v>
      </c>
      <c r="BU14" s="2498">
        <v>492986.60849244741</v>
      </c>
    </row>
    <row r="15" spans="1:73" ht="15" thickBot="1">
      <c r="C15" s="2473"/>
      <c r="D15" s="2473"/>
      <c r="E15" s="2473"/>
      <c r="I15" s="2479">
        <v>44834</v>
      </c>
      <c r="J15" s="2496">
        <f>-'G-3.04,5.01 PF AMI'!AE56</f>
        <v>-357221.16174825176</v>
      </c>
      <c r="K15" s="2473">
        <f t="shared" si="2"/>
        <v>41467717.089020967</v>
      </c>
      <c r="L15" s="2473"/>
      <c r="M15" s="2473">
        <f t="shared" si="0"/>
        <v>-8708220.5886944029</v>
      </c>
      <c r="P15" s="2479">
        <v>44834</v>
      </c>
      <c r="Q15" s="2496">
        <f>-'G-3.04,5.01 PF AMI'!AK56</f>
        <v>-108014.33993006992</v>
      </c>
      <c r="R15" s="2473">
        <f t="shared" si="3"/>
        <v>11768353.010839153</v>
      </c>
      <c r="S15" s="2473"/>
      <c r="T15" s="2473">
        <f t="shared" si="1"/>
        <v>-2471354.1322762221</v>
      </c>
      <c r="Y15" s="477">
        <v>8</v>
      </c>
      <c r="Z15" s="477">
        <v>201904</v>
      </c>
      <c r="AA15" s="2472"/>
      <c r="AB15" s="2472"/>
      <c r="AC15" s="2472"/>
      <c r="AD15" s="2472"/>
      <c r="AE15" s="2472"/>
      <c r="AF15" s="2472"/>
      <c r="AG15" s="2472"/>
      <c r="AH15" s="2472"/>
      <c r="AI15" s="2472"/>
      <c r="AJ15" s="2472"/>
      <c r="AK15" s="2472"/>
      <c r="AO15" s="2047"/>
      <c r="AP15" s="974"/>
      <c r="AV15" s="1217"/>
      <c r="AW15" s="477" t="s">
        <v>2195</v>
      </c>
      <c r="AX15" s="1197">
        <v>11326483.662125032</v>
      </c>
      <c r="AY15" s="1197">
        <v>18802758.466754206</v>
      </c>
      <c r="AZ15" s="1197">
        <v>0</v>
      </c>
      <c r="BA15" s="1197">
        <v>0</v>
      </c>
      <c r="BB15" s="1197">
        <v>0</v>
      </c>
      <c r="BC15" s="1197">
        <v>229989.25622264785</v>
      </c>
      <c r="BD15" s="1197">
        <v>597697.91269052867</v>
      </c>
      <c r="BE15" s="1197">
        <v>621321.53203072469</v>
      </c>
      <c r="BF15" s="1197">
        <v>645879.57714933413</v>
      </c>
      <c r="BG15" s="1197">
        <v>895212.0478328946</v>
      </c>
      <c r="BH15" s="1197">
        <v>930597.81486357015</v>
      </c>
      <c r="BI15" s="1197">
        <v>967383.37212481501</v>
      </c>
      <c r="BJ15" s="1197">
        <v>1005624.1325291775</v>
      </c>
      <c r="BK15" s="1197">
        <v>1045377.7040939315</v>
      </c>
      <c r="BL15" s="1197">
        <v>1086703.9769530282</v>
      </c>
      <c r="BM15" s="1197">
        <v>1129665.2138202165</v>
      </c>
      <c r="BN15" s="1197">
        <v>1174326.1440402875</v>
      </c>
      <c r="BO15" s="1197">
        <v>1220754.0613708503</v>
      </c>
      <c r="BP15" s="1197">
        <v>1269018.9256426867</v>
      </c>
      <c r="BQ15" s="1197">
        <v>1319193.4684526257</v>
      </c>
      <c r="BR15" s="1197">
        <v>1371353.3030489788</v>
      </c>
      <c r="BS15" s="1197">
        <v>1425577.038575941</v>
      </c>
      <c r="BT15" s="1197">
        <v>1481946.3988499674</v>
      </c>
      <c r="BU15" s="1197">
        <v>385136.58646200021</v>
      </c>
    </row>
    <row r="16" spans="1:73" ht="15" thickBot="1">
      <c r="A16" s="2089" t="s">
        <v>2196</v>
      </c>
      <c r="B16" s="1217"/>
      <c r="C16" s="2473"/>
      <c r="D16" s="2473"/>
      <c r="E16" s="2473"/>
      <c r="I16" s="2479">
        <v>44865</v>
      </c>
      <c r="J16" s="2496">
        <f>-'G-3.04,5.01 PF AMI'!AE57</f>
        <v>-357221.16174825176</v>
      </c>
      <c r="K16" s="2473">
        <f t="shared" si="2"/>
        <v>41110495.927272715</v>
      </c>
      <c r="L16" s="2473"/>
      <c r="M16" s="2473">
        <f t="shared" si="0"/>
        <v>-8633204.1447272692</v>
      </c>
      <c r="P16" s="2479">
        <v>44865</v>
      </c>
      <c r="Q16" s="2496">
        <f>-'G-3.04,5.01 PF AMI'!AK57</f>
        <v>-108014.33993006992</v>
      </c>
      <c r="R16" s="2473">
        <f t="shared" si="3"/>
        <v>11660338.670909083</v>
      </c>
      <c r="S16" s="2473"/>
      <c r="T16" s="2473">
        <f t="shared" si="1"/>
        <v>-2448671.120890907</v>
      </c>
      <c r="Y16" s="477">
        <v>9</v>
      </c>
      <c r="Z16" s="477">
        <v>201905</v>
      </c>
      <c r="AA16" s="2472"/>
      <c r="AB16" s="2472"/>
      <c r="AC16" s="2472"/>
      <c r="AD16" s="2472"/>
      <c r="AE16" s="2472"/>
      <c r="AF16" s="2472"/>
      <c r="AG16" s="2472"/>
      <c r="AH16" s="2472"/>
      <c r="AI16" s="2472"/>
      <c r="AJ16" s="2472"/>
      <c r="AK16" s="2472"/>
      <c r="AO16" s="477" t="s">
        <v>2197</v>
      </c>
      <c r="AP16" s="2487">
        <f>AP9-AP14</f>
        <v>-418788.42698743939</v>
      </c>
      <c r="AQ16" s="2488">
        <f>AQ9-AQ14</f>
        <v>-314091.32024057955</v>
      </c>
      <c r="AR16" s="2488">
        <f>AR9-AR14</f>
        <v>-104697.10674685985</v>
      </c>
      <c r="AV16" s="2489"/>
      <c r="AW16" s="2490" t="s">
        <v>24</v>
      </c>
      <c r="AX16" s="2491">
        <f t="shared" ref="AX16:BU16" si="5">SUM(AX14:AX15)</f>
        <v>21679401.026734665</v>
      </c>
      <c r="AY16" s="2491">
        <f t="shared" si="5"/>
        <v>42787781.17189981</v>
      </c>
      <c r="AZ16" s="2491">
        <f t="shared" si="5"/>
        <v>0</v>
      </c>
      <c r="BA16" s="2491">
        <f t="shared" si="5"/>
        <v>0</v>
      </c>
      <c r="BB16" s="2491">
        <f t="shared" si="5"/>
        <v>0</v>
      </c>
      <c r="BC16" s="2491">
        <f t="shared" si="5"/>
        <v>522011.72010329046</v>
      </c>
      <c r="BD16" s="2491">
        <f t="shared" si="5"/>
        <v>1356956.3187801996</v>
      </c>
      <c r="BE16" s="2491">
        <f t="shared" si="5"/>
        <v>1410950.2743639825</v>
      </c>
      <c r="BF16" s="2491">
        <f t="shared" si="5"/>
        <v>1467093.4691759222</v>
      </c>
      <c r="BG16" s="2491">
        <f t="shared" si="5"/>
        <v>2033961.9781097635</v>
      </c>
      <c r="BH16" s="2491">
        <f t="shared" si="5"/>
        <v>2114897.7423515138</v>
      </c>
      <c r="BI16" s="2491">
        <f t="shared" si="5"/>
        <v>2199055.2967122765</v>
      </c>
      <c r="BJ16" s="2491">
        <f t="shared" si="5"/>
        <v>2286562.9341001371</v>
      </c>
      <c r="BK16" s="2491">
        <f t="shared" si="5"/>
        <v>2377554.0577277299</v>
      </c>
      <c r="BL16" s="2491">
        <f t="shared" si="5"/>
        <v>2472167.3847321784</v>
      </c>
      <c r="BM16" s="2491">
        <f t="shared" si="5"/>
        <v>2570547.1579105332</v>
      </c>
      <c r="BN16" s="2491">
        <f t="shared" si="5"/>
        <v>2672843.3658942166</v>
      </c>
      <c r="BO16" s="2491">
        <f t="shared" si="5"/>
        <v>2779211.9720989368</v>
      </c>
      <c r="BP16" s="2491">
        <f t="shared" si="5"/>
        <v>2889815.1527998969</v>
      </c>
      <c r="BQ16" s="2491">
        <f t="shared" si="5"/>
        <v>3004821.5446961243</v>
      </c>
      <c r="BR16" s="2491">
        <f t="shared" si="5"/>
        <v>3124406.5023422176</v>
      </c>
      <c r="BS16" s="2491">
        <f t="shared" si="5"/>
        <v>3248752.3658409091</v>
      </c>
      <c r="BT16" s="2491">
        <f t="shared" si="5"/>
        <v>3378048.7392055346</v>
      </c>
      <c r="BU16" s="2491">
        <f t="shared" si="5"/>
        <v>878123.19495444768</v>
      </c>
    </row>
    <row r="17" spans="1:73" ht="14.5">
      <c r="A17" s="2089"/>
      <c r="B17" s="1217" t="s">
        <v>2186</v>
      </c>
      <c r="C17" s="2473">
        <f>-AQ7</f>
        <v>-5866107.1748548467</v>
      </c>
      <c r="D17" s="2473">
        <f>-AR7</f>
        <v>-1955369.0582849488</v>
      </c>
      <c r="E17" s="2473" t="s">
        <v>2198</v>
      </c>
      <c r="I17" s="2479">
        <v>44895</v>
      </c>
      <c r="J17" s="2496">
        <f>-'G-3.04,5.01 PF AMI'!AE58</f>
        <v>-357221.16174825176</v>
      </c>
      <c r="K17" s="2473">
        <f t="shared" si="2"/>
        <v>40753274.765524462</v>
      </c>
      <c r="L17" s="2473"/>
      <c r="M17" s="2473">
        <f t="shared" si="0"/>
        <v>-8558187.7007601373</v>
      </c>
      <c r="P17" s="2479">
        <v>44895</v>
      </c>
      <c r="Q17" s="2496">
        <f>-'G-3.04,5.01 PF AMI'!AK58</f>
        <v>-108014.33993006992</v>
      </c>
      <c r="R17" s="2473">
        <f t="shared" si="3"/>
        <v>11552324.330979012</v>
      </c>
      <c r="S17" s="2473"/>
      <c r="T17" s="2473">
        <f t="shared" si="1"/>
        <v>-2425988.1095055924</v>
      </c>
      <c r="Y17" s="477">
        <v>10</v>
      </c>
      <c r="Z17" s="477">
        <v>201906</v>
      </c>
      <c r="AA17" s="2472"/>
      <c r="AB17" s="2472"/>
      <c r="AC17" s="2472"/>
      <c r="AD17" s="2472"/>
      <c r="AE17" s="2472"/>
      <c r="AF17" s="2472"/>
      <c r="AG17" s="2472"/>
      <c r="AH17" s="2472"/>
      <c r="AI17" s="2472"/>
      <c r="AJ17" s="2472"/>
      <c r="AK17" s="2472"/>
      <c r="AO17" s="2047"/>
      <c r="AP17" s="2047"/>
      <c r="AV17" s="121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row>
    <row r="18" spans="1:73" ht="15" thickBot="1">
      <c r="A18" s="477" t="s">
        <v>2199</v>
      </c>
      <c r="B18" s="1217" t="s">
        <v>2200</v>
      </c>
      <c r="C18" s="2481">
        <v>-2071659</v>
      </c>
      <c r="D18" s="2493">
        <v>-690553</v>
      </c>
      <c r="E18" s="2481" t="s">
        <v>2201</v>
      </c>
      <c r="F18" s="2482"/>
      <c r="I18" s="2479">
        <v>44926</v>
      </c>
      <c r="J18" s="2496">
        <f>-'G-3.04,5.01 PF AMI'!AE59</f>
        <v>-357221.16174825176</v>
      </c>
      <c r="K18" s="2473">
        <f t="shared" si="2"/>
        <v>40396053.603776209</v>
      </c>
      <c r="L18" s="2473"/>
      <c r="M18" s="2473">
        <f t="shared" si="0"/>
        <v>-8483171.2567930035</v>
      </c>
      <c r="P18" s="2479">
        <v>44926</v>
      </c>
      <c r="Q18" s="2496">
        <f>-'G-3.04,5.01 PF AMI'!AK59</f>
        <v>-108014.33993006992</v>
      </c>
      <c r="R18" s="2473">
        <f t="shared" si="3"/>
        <v>11444309.991048941</v>
      </c>
      <c r="S18" s="2473"/>
      <c r="T18" s="2473">
        <f t="shared" si="1"/>
        <v>-2403305.0981202777</v>
      </c>
      <c r="Y18" s="477">
        <v>11</v>
      </c>
      <c r="Z18" s="477">
        <v>201907</v>
      </c>
      <c r="AA18" s="2472"/>
      <c r="AB18" s="2472"/>
      <c r="AC18" s="2472"/>
      <c r="AD18" s="2472"/>
      <c r="AE18" s="2472"/>
      <c r="AF18" s="2472"/>
      <c r="AG18" s="2472"/>
      <c r="AH18" s="2472"/>
      <c r="AI18" s="2472"/>
      <c r="AJ18" s="2472"/>
      <c r="AK18" s="2472"/>
      <c r="AO18" s="2499"/>
      <c r="AP18" s="2499"/>
      <c r="AQ18" s="2499"/>
      <c r="AR18" s="2499"/>
      <c r="AV18" s="1217" t="s">
        <v>2202</v>
      </c>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row>
    <row r="19" spans="1:73" ht="15" thickBot="1">
      <c r="B19" s="1217" t="s">
        <v>2203</v>
      </c>
      <c r="C19" s="2495">
        <f>C17+C18</f>
        <v>-7937766.1748548467</v>
      </c>
      <c r="D19" s="2495">
        <f>D17+D18</f>
        <v>-2645922.0582849486</v>
      </c>
      <c r="E19" s="2473"/>
      <c r="I19" s="2479">
        <v>44957</v>
      </c>
      <c r="J19" s="2496">
        <f>-'G-3.04,5.01 PF AMI'!AE60</f>
        <v>-315594.16877950181</v>
      </c>
      <c r="K19" s="2473">
        <f t="shared" si="2"/>
        <v>40080459.434996709</v>
      </c>
      <c r="L19" s="2473">
        <f t="shared" ref="L19:L82" si="6">(((K7+K19)/2)+K8+K9+K10+K11+K12+K13+K14+K15+K16+K17+K18)/12</f>
        <v>42183893.870557837</v>
      </c>
      <c r="M19" s="2473">
        <f t="shared" si="0"/>
        <v>-8416896.481349308</v>
      </c>
      <c r="N19" s="2473">
        <f t="shared" ref="N19:N82" si="7">(((M7+M19)/2)+M8+M9+M10+M11+M12+M13+M14+M15+M16+M17+M18)/12</f>
        <v>-8858617.7128171474</v>
      </c>
      <c r="P19" s="2479">
        <v>44957</v>
      </c>
      <c r="Q19" s="2496">
        <f>-'G-3.04,5.01 PF AMI'!AK60</f>
        <v>-89408.671805069913</v>
      </c>
      <c r="R19" s="2473">
        <f t="shared" si="3"/>
        <v>11354901.319243871</v>
      </c>
      <c r="S19" s="2473">
        <f t="shared" ref="S19:S82" si="8">(((R7+R19)/2)+R8+R9+R10+R11+R12+R13+R14+R15+R16+R17+R18)/12</f>
        <v>11985156.926871167</v>
      </c>
      <c r="T19" s="2473">
        <f t="shared" si="1"/>
        <v>-2384529.2770412127</v>
      </c>
      <c r="U19" s="2473">
        <f t="shared" ref="U19:U82" si="9">(((T7+T19)/2)+T8+T9+T10+T11+T12+T13+T14+T15+T16+T17+T18)/12</f>
        <v>-2516882.9546429454</v>
      </c>
      <c r="Y19" s="477">
        <v>12</v>
      </c>
      <c r="Z19" s="477">
        <v>201908</v>
      </c>
      <c r="AA19" s="2472"/>
      <c r="AB19" s="2472"/>
      <c r="AC19" s="2472"/>
      <c r="AD19" s="2472"/>
      <c r="AE19" s="2472"/>
      <c r="AF19" s="2472"/>
      <c r="AG19" s="2472"/>
      <c r="AH19" s="2472"/>
      <c r="AI19" s="2472"/>
      <c r="AJ19" s="2472"/>
      <c r="AK19" s="2472"/>
      <c r="AV19" s="2497"/>
      <c r="AW19" s="2478" t="s">
        <v>2204</v>
      </c>
      <c r="AX19" s="2500">
        <v>1277163.4111527745</v>
      </c>
      <c r="AY19" s="2500">
        <v>2710326.3109337473</v>
      </c>
      <c r="AZ19" s="2500">
        <v>0</v>
      </c>
      <c r="BA19" s="2500">
        <v>0</v>
      </c>
      <c r="BB19" s="2500">
        <v>0</v>
      </c>
      <c r="BC19" s="2500">
        <v>0</v>
      </c>
      <c r="BD19" s="2500">
        <v>0</v>
      </c>
      <c r="BE19" s="2500">
        <v>29223.210306401717</v>
      </c>
      <c r="BF19" s="2500">
        <v>50653.564531096301</v>
      </c>
      <c r="BG19" s="2500">
        <v>140479.21896624044</v>
      </c>
      <c r="BH19" s="2500">
        <v>146098.38772489008</v>
      </c>
      <c r="BI19" s="2500">
        <v>151942.32323388566</v>
      </c>
      <c r="BJ19" s="2500">
        <v>158020.01616324109</v>
      </c>
      <c r="BK19" s="2500">
        <v>164340.81680977077</v>
      </c>
      <c r="BL19" s="2500">
        <v>170914.44948216161</v>
      </c>
      <c r="BM19" s="2500">
        <v>177751.02746144807</v>
      </c>
      <c r="BN19" s="2500">
        <v>184861.06855990598</v>
      </c>
      <c r="BO19" s="2500">
        <v>192255.51130230224</v>
      </c>
      <c r="BP19" s="2500">
        <v>199945.73175439436</v>
      </c>
      <c r="BQ19" s="2500">
        <v>207943.56102457014</v>
      </c>
      <c r="BR19" s="2500">
        <v>216261.30346555295</v>
      </c>
      <c r="BS19" s="2500">
        <v>224911.75560417506</v>
      </c>
      <c r="BT19" s="2500">
        <v>233908.22582834214</v>
      </c>
      <c r="BU19" s="2500">
        <v>60816.13871536895</v>
      </c>
    </row>
    <row r="20" spans="1:73" ht="15" thickBot="1">
      <c r="A20" s="1346"/>
      <c r="B20" s="1346"/>
      <c r="C20" s="2501"/>
      <c r="D20" s="2501"/>
      <c r="E20" s="2501"/>
      <c r="F20" s="1346"/>
      <c r="I20" s="2479">
        <v>44985</v>
      </c>
      <c r="J20" s="2496">
        <f>-'G-3.04,5.01 PF AMI'!AE61</f>
        <v>-315594.16877950181</v>
      </c>
      <c r="K20" s="2473">
        <f t="shared" si="2"/>
        <v>39764865.266217209</v>
      </c>
      <c r="L20" s="2473">
        <f t="shared" si="6"/>
        <v>41831876.082930677</v>
      </c>
      <c r="M20" s="2473">
        <f t="shared" si="0"/>
        <v>-8350621.7059056135</v>
      </c>
      <c r="N20" s="2473">
        <f t="shared" si="7"/>
        <v>-8784693.9774154443</v>
      </c>
      <c r="P20" s="2479">
        <v>44985</v>
      </c>
      <c r="Q20" s="2496">
        <f>-'G-3.04,5.01 PF AMI'!AK61</f>
        <v>-89408.671805069913</v>
      </c>
      <c r="R20" s="2473">
        <f t="shared" si="3"/>
        <v>11265492.6474388</v>
      </c>
      <c r="S20" s="2473">
        <f t="shared" si="8"/>
        <v>11879468.295456722</v>
      </c>
      <c r="T20" s="2473">
        <f t="shared" si="1"/>
        <v>-2365753.455962148</v>
      </c>
      <c r="U20" s="2473">
        <f t="shared" si="9"/>
        <v>-2494688.3420459121</v>
      </c>
      <c r="Y20" s="477">
        <v>13</v>
      </c>
      <c r="Z20" s="477">
        <v>201909</v>
      </c>
      <c r="AA20" s="2472"/>
      <c r="AB20" s="2472"/>
      <c r="AC20" s="2472"/>
      <c r="AD20" s="2472"/>
      <c r="AE20" s="2472"/>
      <c r="AF20" s="2472"/>
      <c r="AG20" s="2472"/>
      <c r="AH20" s="2472"/>
      <c r="AI20" s="2472"/>
      <c r="AJ20" s="2472"/>
      <c r="AK20" s="2472"/>
      <c r="AV20" s="2497"/>
      <c r="AW20" s="2478" t="s">
        <v>2205</v>
      </c>
      <c r="AX20" s="2500">
        <v>2730472.1574196671</v>
      </c>
      <c r="AY20" s="2500">
        <v>5794458.614224514</v>
      </c>
      <c r="AZ20" s="2500">
        <v>0</v>
      </c>
      <c r="BA20" s="2500">
        <v>0</v>
      </c>
      <c r="BB20" s="2500">
        <v>0</v>
      </c>
      <c r="BC20" s="2500">
        <v>0</v>
      </c>
      <c r="BD20" s="2500">
        <v>0</v>
      </c>
      <c r="BE20" s="2500">
        <v>62476.861923273886</v>
      </c>
      <c r="BF20" s="2500">
        <v>108293.22733367473</v>
      </c>
      <c r="BG20" s="2500">
        <v>300333.21713872463</v>
      </c>
      <c r="BH20" s="2500">
        <v>312346.54582427366</v>
      </c>
      <c r="BI20" s="2500">
        <v>324840.40765724459</v>
      </c>
      <c r="BJ20" s="2500">
        <v>337834.02396353433</v>
      </c>
      <c r="BK20" s="2500">
        <v>351347.38492207578</v>
      </c>
      <c r="BL20" s="2500">
        <v>365401.28031895886</v>
      </c>
      <c r="BM20" s="2500">
        <v>380017.33153171721</v>
      </c>
      <c r="BN20" s="2500">
        <v>395218.02479298587</v>
      </c>
      <c r="BO20" s="2500">
        <v>411026.74578470539</v>
      </c>
      <c r="BP20" s="2500">
        <v>427467.81561609358</v>
      </c>
      <c r="BQ20" s="2500">
        <v>444566.52824073739</v>
      </c>
      <c r="BR20" s="2500">
        <v>462349.18937036686</v>
      </c>
      <c r="BS20" s="2500">
        <v>480843.15694518154</v>
      </c>
      <c r="BT20" s="2500">
        <v>500076.88322298892</v>
      </c>
      <c r="BU20" s="2500">
        <v>130019.98963797711</v>
      </c>
    </row>
    <row r="21" spans="1:73" ht="14.5">
      <c r="C21" s="2473"/>
      <c r="D21" s="2473"/>
      <c r="E21" s="2473"/>
      <c r="I21" s="2479">
        <v>45016</v>
      </c>
      <c r="J21" s="2496">
        <f>-'G-3.04,5.01 PF AMI'!AE62</f>
        <v>-315594.16877950181</v>
      </c>
      <c r="K21" s="2473">
        <f t="shared" si="2"/>
        <v>39449271.09743771</v>
      </c>
      <c r="L21" s="2473">
        <f t="shared" si="6"/>
        <v>41483327.211384259</v>
      </c>
      <c r="M21" s="2473">
        <f t="shared" si="0"/>
        <v>-8284346.9304619189</v>
      </c>
      <c r="N21" s="2473">
        <f t="shared" si="7"/>
        <v>-8711498.7143906932</v>
      </c>
      <c r="P21" s="2479">
        <v>45016</v>
      </c>
      <c r="Q21" s="2496">
        <f>-'G-3.04,5.01 PF AMI'!AK62</f>
        <v>-89408.671805069913</v>
      </c>
      <c r="R21" s="2473">
        <f t="shared" si="3"/>
        <v>11176083.975633729</v>
      </c>
      <c r="S21" s="2473">
        <f t="shared" si="8"/>
        <v>11775330.136386028</v>
      </c>
      <c r="T21" s="2473">
        <f t="shared" si="1"/>
        <v>-2346977.6348830829</v>
      </c>
      <c r="U21" s="2473">
        <f t="shared" si="9"/>
        <v>-2472819.3286410659</v>
      </c>
      <c r="Y21" s="477">
        <v>14</v>
      </c>
      <c r="Z21" s="477">
        <v>201910</v>
      </c>
      <c r="AA21" s="2472"/>
      <c r="AB21" s="2472"/>
      <c r="AC21" s="2472"/>
      <c r="AD21" s="2472"/>
      <c r="AE21" s="2472"/>
      <c r="AF21" s="2472"/>
      <c r="AG21" s="2472"/>
      <c r="AH21" s="2472"/>
      <c r="AI21" s="2472"/>
      <c r="AJ21" s="2472"/>
      <c r="AK21" s="2472"/>
      <c r="AV21" s="2497"/>
      <c r="AW21" s="2478" t="s">
        <v>2206</v>
      </c>
      <c r="AX21" s="2500">
        <v>3032402.763290823</v>
      </c>
      <c r="AY21" s="2500">
        <v>6551326.3219507933</v>
      </c>
      <c r="AZ21" s="2500">
        <v>0</v>
      </c>
      <c r="BA21" s="2500">
        <v>0</v>
      </c>
      <c r="BB21" s="2500">
        <v>0</v>
      </c>
      <c r="BC21" s="2500">
        <v>0</v>
      </c>
      <c r="BD21" s="2500">
        <v>0</v>
      </c>
      <c r="BE21" s="2500">
        <v>70637.5413616804</v>
      </c>
      <c r="BF21" s="2500">
        <v>122438.40502691269</v>
      </c>
      <c r="BG21" s="2500">
        <v>339562.50994130457</v>
      </c>
      <c r="BH21" s="2500">
        <v>353145.01033895678</v>
      </c>
      <c r="BI21" s="2500">
        <v>367270.81075251504</v>
      </c>
      <c r="BJ21" s="2500">
        <v>381961.64318261563</v>
      </c>
      <c r="BK21" s="2500">
        <v>397240.10890992038</v>
      </c>
      <c r="BL21" s="2500">
        <v>413129.71326631721</v>
      </c>
      <c r="BM21" s="2500">
        <v>429654.90179696988</v>
      </c>
      <c r="BN21" s="2500">
        <v>446841.09786884865</v>
      </c>
      <c r="BO21" s="2500">
        <v>464714.74178360269</v>
      </c>
      <c r="BP21" s="2500">
        <v>483303.33145494678</v>
      </c>
      <c r="BQ21" s="2500">
        <v>502635.4647131447</v>
      </c>
      <c r="BR21" s="2500">
        <v>522740.88330167049</v>
      </c>
      <c r="BS21" s="2500">
        <v>543650.51863373735</v>
      </c>
      <c r="BT21" s="2500">
        <v>565396.53937908693</v>
      </c>
      <c r="BU21" s="2500">
        <v>147003.10023856259</v>
      </c>
    </row>
    <row r="22" spans="1:73" ht="14.5">
      <c r="A22" s="2471" t="s">
        <v>2207</v>
      </c>
      <c r="B22" s="1217"/>
      <c r="C22" s="2088" t="s">
        <v>729</v>
      </c>
      <c r="D22" s="2088" t="s">
        <v>787</v>
      </c>
      <c r="I22" s="2479">
        <v>45046</v>
      </c>
      <c r="J22" s="2496">
        <f>-'G-3.04,5.01 PF AMI'!AE63</f>
        <v>-315594.16877950181</v>
      </c>
      <c r="K22" s="2473">
        <f t="shared" si="2"/>
        <v>39133676.92865821</v>
      </c>
      <c r="L22" s="2473">
        <f t="shared" si="6"/>
        <v>41138247.255918555</v>
      </c>
      <c r="M22" s="2473">
        <f t="shared" si="0"/>
        <v>-8218072.1550182234</v>
      </c>
      <c r="N22" s="2473">
        <f t="shared" si="7"/>
        <v>-8639031.9237428941</v>
      </c>
      <c r="O22" s="3986" t="s">
        <v>2208</v>
      </c>
      <c r="P22" s="2479">
        <v>45046</v>
      </c>
      <c r="Q22" s="2496">
        <f>-'G-3.04,5.01 PF AMI'!AK63</f>
        <v>-89408.671805069913</v>
      </c>
      <c r="R22" s="2473">
        <f t="shared" si="3"/>
        <v>11086675.303828659</v>
      </c>
      <c r="S22" s="2473">
        <f t="shared" si="8"/>
        <v>11672742.449659081</v>
      </c>
      <c r="T22" s="2473">
        <f t="shared" si="1"/>
        <v>-2328201.8138040183</v>
      </c>
      <c r="U22" s="2473">
        <f t="shared" si="9"/>
        <v>-2451275.9144284069</v>
      </c>
      <c r="V22" s="3986" t="s">
        <v>2209</v>
      </c>
      <c r="Y22" s="477">
        <v>15</v>
      </c>
      <c r="Z22" s="477">
        <v>201911</v>
      </c>
      <c r="AA22" s="2472"/>
      <c r="AB22" s="2472"/>
      <c r="AC22" s="2472"/>
      <c r="AD22" s="2472"/>
      <c r="AE22" s="2472"/>
      <c r="AF22" s="2472"/>
      <c r="AG22" s="2472"/>
      <c r="AH22" s="2472"/>
      <c r="AI22" s="2472"/>
      <c r="AJ22" s="2472"/>
      <c r="AK22" s="2472"/>
      <c r="AV22" s="2489"/>
      <c r="AW22" s="2490" t="s">
        <v>24</v>
      </c>
      <c r="AX22" s="2491">
        <f t="shared" ref="AX22:BU22" si="10">SUM(AX19:AX21)</f>
        <v>7040038.3318632646</v>
      </c>
      <c r="AY22" s="2491">
        <f t="shared" si="10"/>
        <v>15056111.247109056</v>
      </c>
      <c r="AZ22" s="2491">
        <f t="shared" si="10"/>
        <v>0</v>
      </c>
      <c r="BA22" s="2491">
        <f t="shared" si="10"/>
        <v>0</v>
      </c>
      <c r="BB22" s="2491">
        <f t="shared" si="10"/>
        <v>0</v>
      </c>
      <c r="BC22" s="2491">
        <f t="shared" si="10"/>
        <v>0</v>
      </c>
      <c r="BD22" s="2491">
        <f t="shared" si="10"/>
        <v>0</v>
      </c>
      <c r="BE22" s="2491">
        <f t="shared" si="10"/>
        <v>162337.613591356</v>
      </c>
      <c r="BF22" s="2491">
        <f t="shared" si="10"/>
        <v>281385.19689168374</v>
      </c>
      <c r="BG22" s="2491">
        <f t="shared" si="10"/>
        <v>780374.94604626962</v>
      </c>
      <c r="BH22" s="2491">
        <f t="shared" si="10"/>
        <v>811589.94388812059</v>
      </c>
      <c r="BI22" s="2491">
        <f t="shared" si="10"/>
        <v>844053.54164364538</v>
      </c>
      <c r="BJ22" s="2491">
        <f t="shared" si="10"/>
        <v>877815.68330939102</v>
      </c>
      <c r="BK22" s="2491">
        <f t="shared" si="10"/>
        <v>912928.31064176699</v>
      </c>
      <c r="BL22" s="2491">
        <f t="shared" si="10"/>
        <v>949445.44306743774</v>
      </c>
      <c r="BM22" s="2491">
        <f t="shared" si="10"/>
        <v>987423.26079013525</v>
      </c>
      <c r="BN22" s="2491">
        <f t="shared" si="10"/>
        <v>1026920.1912217406</v>
      </c>
      <c r="BO22" s="2491">
        <f t="shared" si="10"/>
        <v>1067996.9988706103</v>
      </c>
      <c r="BP22" s="2491">
        <f t="shared" si="10"/>
        <v>1110716.8788254347</v>
      </c>
      <c r="BQ22" s="2491">
        <f t="shared" si="10"/>
        <v>1155145.5539784522</v>
      </c>
      <c r="BR22" s="2491">
        <f t="shared" si="10"/>
        <v>1201351.3761375903</v>
      </c>
      <c r="BS22" s="2491">
        <f t="shared" si="10"/>
        <v>1249405.4311830939</v>
      </c>
      <c r="BT22" s="2491">
        <f t="shared" si="10"/>
        <v>1299381.648430418</v>
      </c>
      <c r="BU22" s="2491">
        <f t="shared" si="10"/>
        <v>337839.22859190864</v>
      </c>
    </row>
    <row r="23" spans="1:73" ht="14.5">
      <c r="C23" s="2473"/>
      <c r="D23" s="2473"/>
      <c r="E23" s="2473"/>
      <c r="I23" s="2479">
        <v>45077</v>
      </c>
      <c r="J23" s="2496">
        <f>-'G-3.04,5.01 PF AMI'!AE64</f>
        <v>-315594.16877950181</v>
      </c>
      <c r="K23" s="2473">
        <f t="shared" si="2"/>
        <v>38818082.75987871</v>
      </c>
      <c r="L23" s="2473">
        <f t="shared" si="6"/>
        <v>40796636.216533579</v>
      </c>
      <c r="M23" s="2473">
        <f t="shared" si="0"/>
        <v>-8151797.3795745289</v>
      </c>
      <c r="N23" s="2473">
        <f t="shared" si="7"/>
        <v>-8567293.6054720506</v>
      </c>
      <c r="O23" s="3986"/>
      <c r="P23" s="2479">
        <v>45077</v>
      </c>
      <c r="Q23" s="2496">
        <f>-'G-3.04,5.01 PF AMI'!AK64</f>
        <v>-89408.671805069913</v>
      </c>
      <c r="R23" s="2473">
        <f t="shared" si="3"/>
        <v>10997266.632023588</v>
      </c>
      <c r="S23" s="2473">
        <f t="shared" si="8"/>
        <v>11571705.235275887</v>
      </c>
      <c r="T23" s="2473">
        <f t="shared" si="1"/>
        <v>-2309425.9927249532</v>
      </c>
      <c r="U23" s="2473">
        <f t="shared" si="9"/>
        <v>-2430058.099407936</v>
      </c>
      <c r="V23" s="3986"/>
      <c r="Y23" s="477">
        <v>16</v>
      </c>
      <c r="Z23" s="477">
        <v>201912</v>
      </c>
      <c r="AA23" s="2472"/>
      <c r="AB23" s="2472"/>
      <c r="AC23" s="2472"/>
      <c r="AD23" s="2472"/>
      <c r="AE23" s="2472"/>
      <c r="AF23" s="2472"/>
      <c r="AG23" s="2472"/>
      <c r="AH23" s="2472"/>
      <c r="AI23" s="2472"/>
      <c r="AJ23" s="2472"/>
      <c r="AK23" s="2472"/>
      <c r="AV23" s="1217"/>
      <c r="AX23" s="1197"/>
      <c r="AY23" s="1197"/>
      <c r="AZ23" s="1197"/>
      <c r="BA23" s="1197"/>
      <c r="BB23" s="1197"/>
      <c r="BC23" s="1197"/>
      <c r="BD23" s="1197"/>
      <c r="BE23" s="1197"/>
      <c r="BF23" s="1197"/>
      <c r="BG23" s="1197"/>
      <c r="BH23" s="1197"/>
      <c r="BI23" s="1197"/>
      <c r="BJ23" s="1197"/>
      <c r="BK23" s="1197"/>
      <c r="BL23" s="1197"/>
      <c r="BM23" s="1197"/>
      <c r="BN23" s="1197"/>
      <c r="BO23" s="1197"/>
      <c r="BP23" s="1197"/>
      <c r="BQ23" s="1197"/>
      <c r="BR23" s="1197"/>
      <c r="BS23" s="1197"/>
      <c r="BT23" s="1197"/>
      <c r="BU23" s="1197"/>
    </row>
    <row r="24" spans="1:73" ht="14.5">
      <c r="A24" s="2089" t="s">
        <v>2157</v>
      </c>
      <c r="B24" s="1217" t="s">
        <v>1817</v>
      </c>
      <c r="C24" s="2476">
        <f>C8</f>
        <v>24433300.546909031</v>
      </c>
      <c r="D24" s="2476">
        <f>D8</f>
        <v>6922019.3711484876</v>
      </c>
      <c r="E24" s="2473"/>
      <c r="I24" s="2502">
        <v>45107</v>
      </c>
      <c r="J24" s="2503">
        <f>-'G-3.04,5.01 PF AMI'!AE65</f>
        <v>-315594.16877950181</v>
      </c>
      <c r="K24" s="2473">
        <f t="shared" si="2"/>
        <v>38502488.59109921</v>
      </c>
      <c r="L24" s="2504">
        <f t="shared" si="6"/>
        <v>40458494.093229346</v>
      </c>
      <c r="M24" s="2473">
        <f t="shared" si="0"/>
        <v>-8085522.6041308334</v>
      </c>
      <c r="N24" s="2504">
        <f t="shared" si="7"/>
        <v>-8496283.7595781591</v>
      </c>
      <c r="O24" s="2505">
        <f>L24+N24</f>
        <v>31962210.333651185</v>
      </c>
      <c r="P24" s="2479">
        <v>45107</v>
      </c>
      <c r="Q24" s="2503">
        <f>-'G-3.04,5.01 PF AMI'!AK65</f>
        <v>-89408.671805069913</v>
      </c>
      <c r="R24" s="2473">
        <f t="shared" si="3"/>
        <v>10907857.960218517</v>
      </c>
      <c r="S24" s="2504">
        <f t="shared" si="8"/>
        <v>11472218.493236439</v>
      </c>
      <c r="T24" s="2473">
        <f t="shared" si="1"/>
        <v>-2290650.1716458886</v>
      </c>
      <c r="U24" s="2504">
        <f t="shared" si="9"/>
        <v>-2409165.8835796528</v>
      </c>
      <c r="V24" s="2505">
        <f>S24+U24</f>
        <v>9063052.6096567865</v>
      </c>
      <c r="Y24" s="477">
        <v>17</v>
      </c>
      <c r="Z24" s="477">
        <v>202001</v>
      </c>
      <c r="AA24" s="2472"/>
      <c r="AB24" s="2472"/>
      <c r="AC24" s="2472"/>
      <c r="AD24" s="2472"/>
      <c r="AE24" s="2472"/>
      <c r="AF24" s="2472"/>
      <c r="AG24" s="2472"/>
      <c r="AH24" s="2472"/>
      <c r="AI24" s="2472"/>
      <c r="AJ24" s="2472"/>
      <c r="AK24" s="2472"/>
      <c r="AV24" s="1217" t="s">
        <v>2210</v>
      </c>
      <c r="AX24" s="1197"/>
      <c r="AY24" s="1197"/>
      <c r="AZ24" s="1197"/>
      <c r="BA24" s="1197"/>
      <c r="BB24" s="1197"/>
      <c r="BC24" s="1197"/>
      <c r="BD24" s="1197"/>
      <c r="BE24" s="1197"/>
      <c r="BF24" s="1197"/>
      <c r="BG24" s="1197"/>
      <c r="BH24" s="1197"/>
      <c r="BI24" s="1197"/>
      <c r="BJ24" s="1197"/>
      <c r="BK24" s="1197"/>
      <c r="BL24" s="1197"/>
      <c r="BM24" s="1197"/>
      <c r="BN24" s="1197"/>
      <c r="BO24" s="1197"/>
      <c r="BP24" s="1197"/>
      <c r="BQ24" s="1197"/>
      <c r="BR24" s="1197"/>
      <c r="BS24" s="1197"/>
      <c r="BT24" s="1197"/>
      <c r="BU24" s="1197"/>
    </row>
    <row r="25" spans="1:73" ht="14.5">
      <c r="A25" s="477" t="s">
        <v>2160</v>
      </c>
      <c r="C25" s="2473"/>
      <c r="D25" s="2473"/>
      <c r="E25" s="2473"/>
      <c r="I25" s="2479">
        <v>45138</v>
      </c>
      <c r="J25" s="2473">
        <f>-'G-3.04,5.01 PF AMI'!AE66</f>
        <v>-315594.16877950181</v>
      </c>
      <c r="K25" s="2473">
        <f t="shared" si="2"/>
        <v>38186894.42231971</v>
      </c>
      <c r="L25" s="2473">
        <f t="shared" si="6"/>
        <v>40123820.886005826</v>
      </c>
      <c r="M25" s="2473">
        <f t="shared" si="0"/>
        <v>-8019247.8286871389</v>
      </c>
      <c r="N25" s="2473">
        <f t="shared" si="7"/>
        <v>-8426002.3860612232</v>
      </c>
      <c r="P25" s="2479">
        <v>45138</v>
      </c>
      <c r="Q25" s="2473">
        <f>-'G-3.04,5.01 PF AMI'!AK66</f>
        <v>-89408.671805069913</v>
      </c>
      <c r="R25" s="2473">
        <f t="shared" si="3"/>
        <v>10818449.288413446</v>
      </c>
      <c r="S25" s="2473">
        <f t="shared" si="8"/>
        <v>11374282.223540746</v>
      </c>
      <c r="T25" s="2473">
        <f t="shared" si="1"/>
        <v>-2271874.3505668235</v>
      </c>
      <c r="U25" s="2473">
        <f t="shared" si="9"/>
        <v>-2388599.2669435567</v>
      </c>
      <c r="Y25" s="477">
        <v>18</v>
      </c>
      <c r="Z25" s="477">
        <v>202002</v>
      </c>
      <c r="AA25" s="2472"/>
      <c r="AB25" s="2472"/>
      <c r="AC25" s="2472"/>
      <c r="AD25" s="2472"/>
      <c r="AE25" s="2472"/>
      <c r="AF25" s="2472"/>
      <c r="AG25" s="2472"/>
      <c r="AH25" s="2472"/>
      <c r="AI25" s="2472"/>
      <c r="AJ25" s="2472"/>
      <c r="AK25" s="2472"/>
      <c r="AV25" s="1217"/>
      <c r="AW25" s="477" t="s">
        <v>2211</v>
      </c>
      <c r="AX25" s="1197">
        <v>18494601.498745929</v>
      </c>
      <c r="AY25" s="1197">
        <v>43660371.123191208</v>
      </c>
      <c r="AZ25" s="1197">
        <v>0</v>
      </c>
      <c r="BA25" s="1197">
        <v>0</v>
      </c>
      <c r="BB25" s="1197">
        <v>0</v>
      </c>
      <c r="BC25" s="1197">
        <v>411450.76252713538</v>
      </c>
      <c r="BD25" s="1197">
        <v>1072567.3384213741</v>
      </c>
      <c r="BE25" s="1197">
        <v>1118468.6866647801</v>
      </c>
      <c r="BF25" s="1197">
        <v>1166308.7566461472</v>
      </c>
      <c r="BG25" s="1197">
        <v>1621401.7821533983</v>
      </c>
      <c r="BH25" s="1197">
        <v>2254438.0141086793</v>
      </c>
      <c r="BI25" s="1197">
        <v>2351422.5613030936</v>
      </c>
      <c r="BJ25" s="1197">
        <v>2452612.9632785581</v>
      </c>
      <c r="BK25" s="1197">
        <v>2558485.3645669469</v>
      </c>
      <c r="BL25" s="1197">
        <v>2669574.259585219</v>
      </c>
      <c r="BM25" s="1197">
        <v>2785321.1150673544</v>
      </c>
      <c r="BN25" s="1197">
        <v>2906248.9254843667</v>
      </c>
      <c r="BO25" s="1197">
        <v>3032191.5616005543</v>
      </c>
      <c r="BP25" s="1197">
        <v>3163974.5598842865</v>
      </c>
      <c r="BQ25" s="1197">
        <v>3301446.130939404</v>
      </c>
      <c r="BR25" s="1197">
        <v>3434873.4855394349</v>
      </c>
      <c r="BS25" s="1197">
        <v>3584702.0067074941</v>
      </c>
      <c r="BT25" s="1197">
        <v>3774882.8487129766</v>
      </c>
      <c r="BU25" s="1197">
        <v>0</v>
      </c>
    </row>
    <row r="26" spans="1:73" ht="14.5">
      <c r="A26" s="477" t="s">
        <v>2162</v>
      </c>
      <c r="C26" s="2473"/>
      <c r="D26" s="2473"/>
      <c r="E26" s="2473"/>
      <c r="I26" s="2479">
        <v>45169</v>
      </c>
      <c r="J26" s="2473">
        <f>-'G-3.04,5.01 PF AMI'!AE67</f>
        <v>-315594.16877950181</v>
      </c>
      <c r="K26" s="2473">
        <f t="shared" si="2"/>
        <v>37871300.25354021</v>
      </c>
      <c r="L26" s="2473">
        <f t="shared" si="6"/>
        <v>39792616.59486305</v>
      </c>
      <c r="M26" s="2473">
        <f t="shared" si="0"/>
        <v>-7952973.0532434443</v>
      </c>
      <c r="N26" s="2473">
        <f t="shared" si="7"/>
        <v>-8356449.4849212393</v>
      </c>
      <c r="P26" s="2479">
        <v>45169</v>
      </c>
      <c r="Q26" s="2473">
        <f>-'G-3.04,5.01 PF AMI'!AK67</f>
        <v>-89408.671805069913</v>
      </c>
      <c r="R26" s="2473">
        <f t="shared" si="3"/>
        <v>10729040.616608376</v>
      </c>
      <c r="S26" s="2473">
        <f t="shared" si="8"/>
        <v>11277896.426188799</v>
      </c>
      <c r="T26" s="2473">
        <f t="shared" si="1"/>
        <v>-2253098.5294877589</v>
      </c>
      <c r="U26" s="2473">
        <f t="shared" si="9"/>
        <v>-2368358.2494996479</v>
      </c>
      <c r="Y26" s="477">
        <v>19</v>
      </c>
      <c r="Z26" s="477">
        <v>202003</v>
      </c>
      <c r="AA26" s="2472"/>
      <c r="AB26" s="2472"/>
      <c r="AC26" s="2472"/>
      <c r="AD26" s="2472"/>
      <c r="AE26" s="2472"/>
      <c r="AF26" s="2472"/>
      <c r="AG26" s="2472"/>
      <c r="AH26" s="2472"/>
      <c r="AI26" s="2472"/>
      <c r="AJ26" s="2472"/>
      <c r="AK26" s="2472"/>
      <c r="AV26" s="2497"/>
      <c r="AW26" s="2478" t="s">
        <v>2212</v>
      </c>
      <c r="AX26" s="2500">
        <v>2609116.0861312477</v>
      </c>
      <c r="AY26" s="2500">
        <v>3123536.5988169089</v>
      </c>
      <c r="AZ26" s="2500">
        <v>0</v>
      </c>
      <c r="BA26" s="2500">
        <v>0</v>
      </c>
      <c r="BB26" s="2500">
        <v>0</v>
      </c>
      <c r="BC26" s="2500">
        <v>0</v>
      </c>
      <c r="BD26" s="2500">
        <v>0</v>
      </c>
      <c r="BE26" s="2500">
        <v>4127.8826760424436</v>
      </c>
      <c r="BF26" s="2500">
        <v>8420.8806591265857</v>
      </c>
      <c r="BG26" s="2500">
        <v>12883.947408463675</v>
      </c>
      <c r="BH26" s="2500">
        <v>17522.1684755106</v>
      </c>
      <c r="BI26" s="2500">
        <v>22340.764806276013</v>
      </c>
      <c r="BJ26" s="2500">
        <v>124275.09612288185</v>
      </c>
      <c r="BK26" s="2500">
        <v>147935.66438622936</v>
      </c>
      <c r="BL26" s="2500">
        <v>172453.11734166168</v>
      </c>
      <c r="BM26" s="2500">
        <v>197833.25214955682</v>
      </c>
      <c r="BN26" s="2500">
        <v>224232.01910283099</v>
      </c>
      <c r="BO26" s="2500">
        <v>251535.5254333764</v>
      </c>
      <c r="BP26" s="2500">
        <v>279930.03920950257</v>
      </c>
      <c r="BQ26" s="2500">
        <v>309271.99332650023</v>
      </c>
      <c r="BR26" s="2500">
        <v>339777.98959249409</v>
      </c>
      <c r="BS26" s="2500">
        <v>404323.74119063822</v>
      </c>
      <c r="BT26" s="2500">
        <v>471439.63438404456</v>
      </c>
      <c r="BU26" s="2500">
        <v>135232.88255177313</v>
      </c>
    </row>
    <row r="27" spans="1:73" ht="14.5">
      <c r="A27" s="477" t="s">
        <v>2172</v>
      </c>
      <c r="B27" s="477" t="s">
        <v>2173</v>
      </c>
      <c r="C27" s="2481">
        <f>'G-3.04,5.01 PF AMI'!M154</f>
        <v>-2991832.7200296894</v>
      </c>
      <c r="D27" s="2481">
        <f>'G-3.04,5.01 PF AMI'!T154</f>
        <v>-847594.2087120628</v>
      </c>
      <c r="E27" s="2481" t="s">
        <v>2213</v>
      </c>
      <c r="F27" s="2482"/>
      <c r="I27" s="2479">
        <v>45199</v>
      </c>
      <c r="J27" s="2473">
        <f>-'G-3.04,5.01 PF AMI'!AE68</f>
        <v>-315594.16877950181</v>
      </c>
      <c r="K27" s="2473">
        <f t="shared" si="2"/>
        <v>37555706.084760711</v>
      </c>
      <c r="L27" s="2473">
        <f t="shared" si="6"/>
        <v>39464881.219800986</v>
      </c>
      <c r="M27" s="2473">
        <f t="shared" si="0"/>
        <v>-7886698.2777997488</v>
      </c>
      <c r="N27" s="2473">
        <f t="shared" si="7"/>
        <v>-8287625.0561582064</v>
      </c>
      <c r="P27" s="2479">
        <v>45199</v>
      </c>
      <c r="Q27" s="2473">
        <f>-'G-3.04,5.01 PF AMI'!AK68</f>
        <v>-89408.671805069913</v>
      </c>
      <c r="R27" s="2473">
        <f t="shared" si="3"/>
        <v>10639631.944803305</v>
      </c>
      <c r="S27" s="2473">
        <f t="shared" si="8"/>
        <v>11183061.101180604</v>
      </c>
      <c r="T27" s="2473">
        <f t="shared" si="1"/>
        <v>-2234322.7084086938</v>
      </c>
      <c r="U27" s="2473">
        <f t="shared" si="9"/>
        <v>-2348442.8312479267</v>
      </c>
      <c r="Y27" s="477">
        <v>20</v>
      </c>
      <c r="Z27" s="477">
        <v>202004</v>
      </c>
      <c r="AA27" s="2472"/>
      <c r="AB27" s="2472"/>
      <c r="AC27" s="2472"/>
      <c r="AD27" s="2472"/>
      <c r="AE27" s="2472"/>
      <c r="AF27" s="2472"/>
      <c r="AG27" s="2472"/>
      <c r="AH27" s="2472"/>
      <c r="AI27" s="2472"/>
      <c r="AJ27" s="2472"/>
      <c r="AK27" s="2472"/>
      <c r="AV27" s="2489"/>
      <c r="AW27" s="2490" t="s">
        <v>24</v>
      </c>
      <c r="AX27" s="2491">
        <f t="shared" ref="AX27:BU27" si="11">SUM(AX25:AX26)</f>
        <v>21103717.584877178</v>
      </c>
      <c r="AY27" s="2491">
        <f t="shared" si="11"/>
        <v>46783907.722008117</v>
      </c>
      <c r="AZ27" s="2491">
        <f t="shared" si="11"/>
        <v>0</v>
      </c>
      <c r="BA27" s="2491">
        <f t="shared" si="11"/>
        <v>0</v>
      </c>
      <c r="BB27" s="2491">
        <f t="shared" si="11"/>
        <v>0</v>
      </c>
      <c r="BC27" s="2491">
        <f t="shared" si="11"/>
        <v>411450.76252713538</v>
      </c>
      <c r="BD27" s="2491">
        <f t="shared" si="11"/>
        <v>1072567.3384213741</v>
      </c>
      <c r="BE27" s="2491">
        <f t="shared" si="11"/>
        <v>1122596.5693408225</v>
      </c>
      <c r="BF27" s="2491">
        <f t="shared" si="11"/>
        <v>1174729.6373052739</v>
      </c>
      <c r="BG27" s="2491">
        <f t="shared" si="11"/>
        <v>1634285.7295618618</v>
      </c>
      <c r="BH27" s="2491">
        <f t="shared" si="11"/>
        <v>2271960.1825841898</v>
      </c>
      <c r="BI27" s="2491">
        <f t="shared" si="11"/>
        <v>2373763.3261093698</v>
      </c>
      <c r="BJ27" s="2491">
        <f t="shared" si="11"/>
        <v>2576888.05940144</v>
      </c>
      <c r="BK27" s="2491">
        <f t="shared" si="11"/>
        <v>2706421.028953176</v>
      </c>
      <c r="BL27" s="2491">
        <f t="shared" si="11"/>
        <v>2842027.3769268808</v>
      </c>
      <c r="BM27" s="2491">
        <f t="shared" si="11"/>
        <v>2983154.3672169112</v>
      </c>
      <c r="BN27" s="2491">
        <f t="shared" si="11"/>
        <v>3130480.9445871976</v>
      </c>
      <c r="BO27" s="2491">
        <f t="shared" si="11"/>
        <v>3283727.0870339307</v>
      </c>
      <c r="BP27" s="2491">
        <f t="shared" si="11"/>
        <v>3443904.5990937892</v>
      </c>
      <c r="BQ27" s="2491">
        <f t="shared" si="11"/>
        <v>3610718.1242659041</v>
      </c>
      <c r="BR27" s="2491">
        <f t="shared" si="11"/>
        <v>3774651.4751319289</v>
      </c>
      <c r="BS27" s="2491">
        <f t="shared" si="11"/>
        <v>3989025.7478981325</v>
      </c>
      <c r="BT27" s="2491">
        <f t="shared" si="11"/>
        <v>4246322.4830970215</v>
      </c>
      <c r="BU27" s="2491">
        <f t="shared" si="11"/>
        <v>135232.88255177313</v>
      </c>
    </row>
    <row r="28" spans="1:73" ht="15" thickBot="1">
      <c r="A28" s="477" t="s">
        <v>2176</v>
      </c>
      <c r="C28" s="2473"/>
      <c r="D28" s="2473"/>
      <c r="E28" s="2473"/>
      <c r="I28" s="2479">
        <v>45230</v>
      </c>
      <c r="J28" s="2473">
        <f>-'G-3.04,5.01 PF AMI'!AE69</f>
        <v>-315594.16877950181</v>
      </c>
      <c r="K28" s="2473">
        <f t="shared" si="2"/>
        <v>37240111.915981211</v>
      </c>
      <c r="L28" s="2473">
        <f t="shared" si="6"/>
        <v>39140614.760819666</v>
      </c>
      <c r="M28" s="2473">
        <f t="shared" si="0"/>
        <v>-7820423.5023560543</v>
      </c>
      <c r="N28" s="2473">
        <f t="shared" si="7"/>
        <v>-8219529.099772132</v>
      </c>
      <c r="P28" s="2479">
        <v>45230</v>
      </c>
      <c r="Q28" s="2473">
        <f>-'G-3.04,5.01 PF AMI'!AK69</f>
        <v>-89408.671805069913</v>
      </c>
      <c r="R28" s="2473">
        <f t="shared" si="3"/>
        <v>10550223.272998234</v>
      </c>
      <c r="S28" s="2473">
        <f t="shared" si="8"/>
        <v>11089776.248516159</v>
      </c>
      <c r="T28" s="2473">
        <f t="shared" si="1"/>
        <v>-2215546.8873296292</v>
      </c>
      <c r="U28" s="2473">
        <f t="shared" si="9"/>
        <v>-2328853.0121883932</v>
      </c>
      <c r="Y28" s="477">
        <v>21</v>
      </c>
      <c r="Z28" s="477">
        <v>202005</v>
      </c>
      <c r="AA28" s="2472"/>
      <c r="AB28" s="2472"/>
      <c r="AC28" s="2472"/>
      <c r="AD28" s="2472"/>
      <c r="AE28" s="2472"/>
      <c r="AF28" s="2472"/>
      <c r="AG28" s="2472"/>
      <c r="AH28" s="2472"/>
      <c r="AI28" s="2472"/>
      <c r="AJ28" s="2472"/>
      <c r="AK28" s="2472"/>
      <c r="AV28" s="1217"/>
      <c r="AX28" s="1197"/>
      <c r="AY28" s="1197"/>
      <c r="AZ28" s="1197"/>
      <c r="BA28" s="1197"/>
      <c r="BB28" s="1197"/>
      <c r="BC28" s="1197"/>
      <c r="BD28" s="1197"/>
      <c r="BE28" s="1197"/>
      <c r="BF28" s="1197"/>
      <c r="BG28" s="1197"/>
      <c r="BH28" s="1197"/>
      <c r="BI28" s="1197"/>
      <c r="BJ28" s="1197"/>
      <c r="BK28" s="1197"/>
      <c r="BL28" s="1197"/>
      <c r="BM28" s="1197"/>
      <c r="BN28" s="1197"/>
      <c r="BO28" s="1197"/>
      <c r="BP28" s="1197"/>
      <c r="BQ28" s="1197"/>
      <c r="BR28" s="1197"/>
      <c r="BS28" s="1197"/>
      <c r="BT28" s="1197"/>
      <c r="BU28" s="1197"/>
    </row>
    <row r="29" spans="1:73" ht="15" thickBot="1">
      <c r="A29" s="477" t="s">
        <v>2214</v>
      </c>
      <c r="B29" s="1217" t="s">
        <v>2215</v>
      </c>
      <c r="C29" s="2484">
        <f>SUM(C24:C28)</f>
        <v>21441467.826879341</v>
      </c>
      <c r="D29" s="2484">
        <f>SUM(D24:D28)</f>
        <v>6074425.1624364248</v>
      </c>
      <c r="E29" s="2473"/>
      <c r="I29" s="2479">
        <v>45260</v>
      </c>
      <c r="J29" s="2473">
        <f>-'G-3.04,5.01 PF AMI'!AE70</f>
        <v>-315594.16877950181</v>
      </c>
      <c r="K29" s="2473">
        <f t="shared" si="2"/>
        <v>36924517.747201711</v>
      </c>
      <c r="L29" s="2473">
        <f t="shared" si="6"/>
        <v>38819817.217919074</v>
      </c>
      <c r="M29" s="2473">
        <f t="shared" si="0"/>
        <v>-7754148.7269123588</v>
      </c>
      <c r="N29" s="2473">
        <f t="shared" si="7"/>
        <v>-8152161.6157630058</v>
      </c>
      <c r="P29" s="2479">
        <v>45260</v>
      </c>
      <c r="Q29" s="2473">
        <f>-'G-3.04,5.01 PF AMI'!AK70</f>
        <v>-89408.671805069913</v>
      </c>
      <c r="R29" s="2473">
        <f t="shared" si="3"/>
        <v>10460814.601193164</v>
      </c>
      <c r="S29" s="2473">
        <f t="shared" si="8"/>
        <v>10998041.868195463</v>
      </c>
      <c r="T29" s="2473">
        <f t="shared" si="1"/>
        <v>-2196771.0662505641</v>
      </c>
      <c r="U29" s="2473">
        <f t="shared" si="9"/>
        <v>-2309588.7923210473</v>
      </c>
      <c r="Y29" s="477">
        <v>22</v>
      </c>
      <c r="Z29" s="477">
        <v>202006</v>
      </c>
      <c r="AA29" s="2472"/>
      <c r="AB29" s="2472"/>
      <c r="AC29" s="2472"/>
      <c r="AD29" s="2472"/>
      <c r="AE29" s="2472"/>
      <c r="AF29" s="2472"/>
      <c r="AG29" s="2472"/>
      <c r="AH29" s="2472"/>
      <c r="AI29" s="2472"/>
      <c r="AJ29" s="2472"/>
      <c r="AK29" s="2472"/>
      <c r="AV29" s="1217" t="s">
        <v>2216</v>
      </c>
      <c r="AX29" s="1197">
        <v>-2</v>
      </c>
      <c r="AY29" s="1197">
        <v>-1</v>
      </c>
      <c r="AZ29" s="1197">
        <v>0</v>
      </c>
      <c r="BA29" s="1197">
        <v>0</v>
      </c>
      <c r="BB29" s="1197">
        <v>0</v>
      </c>
      <c r="BC29" s="1197">
        <v>0</v>
      </c>
      <c r="BD29" s="1197">
        <v>0</v>
      </c>
      <c r="BE29" s="1197">
        <v>0</v>
      </c>
      <c r="BF29" s="1197">
        <v>0</v>
      </c>
      <c r="BG29" s="1197">
        <v>0</v>
      </c>
      <c r="BH29" s="1197">
        <v>0</v>
      </c>
      <c r="BI29" s="1197">
        <v>0</v>
      </c>
      <c r="BJ29" s="1197">
        <v>0</v>
      </c>
      <c r="BK29" s="1197">
        <v>0</v>
      </c>
      <c r="BL29" s="1197">
        <v>0</v>
      </c>
      <c r="BM29" s="1197">
        <v>0</v>
      </c>
      <c r="BN29" s="1197">
        <v>0</v>
      </c>
      <c r="BO29" s="1197">
        <v>0</v>
      </c>
      <c r="BP29" s="1197">
        <v>0</v>
      </c>
      <c r="BQ29" s="1197">
        <v>0</v>
      </c>
      <c r="BR29" s="1197">
        <v>0</v>
      </c>
      <c r="BS29" s="1197">
        <v>0</v>
      </c>
      <c r="BT29" s="1197">
        <v>0</v>
      </c>
      <c r="BU29" s="1197">
        <v>0</v>
      </c>
    </row>
    <row r="30" spans="1:73" ht="14.5">
      <c r="A30" s="937"/>
      <c r="B30" s="937"/>
      <c r="C30" s="2506"/>
      <c r="D30" s="2506"/>
      <c r="E30" s="2506"/>
      <c r="F30" s="937"/>
      <c r="I30" s="2479">
        <v>45291</v>
      </c>
      <c r="J30" s="2473">
        <f>-'G-3.04,5.01 PF AMI'!AE71</f>
        <v>-315594.16877950181</v>
      </c>
      <c r="K30" s="2473">
        <f t="shared" si="2"/>
        <v>36608923.578422211</v>
      </c>
      <c r="L30" s="2473">
        <f t="shared" si="6"/>
        <v>38502488.59109921</v>
      </c>
      <c r="M30" s="2473">
        <f t="shared" si="0"/>
        <v>-7687873.9514686642</v>
      </c>
      <c r="N30" s="2473">
        <f t="shared" si="7"/>
        <v>-8085522.6041308353</v>
      </c>
      <c r="P30" s="2479">
        <v>45291</v>
      </c>
      <c r="Q30" s="2473">
        <f>-'G-3.04,5.01 PF AMI'!AK71</f>
        <v>-89408.671805069913</v>
      </c>
      <c r="R30" s="2473">
        <f t="shared" si="3"/>
        <v>10371405.929388093</v>
      </c>
      <c r="S30" s="2473">
        <f t="shared" si="8"/>
        <v>10907857.960218517</v>
      </c>
      <c r="T30" s="2473">
        <f t="shared" si="1"/>
        <v>-2177995.2451714994</v>
      </c>
      <c r="U30" s="2473">
        <f t="shared" si="9"/>
        <v>-2290650.1716458886</v>
      </c>
      <c r="Y30" s="477">
        <v>23</v>
      </c>
      <c r="Z30" s="477">
        <v>202007</v>
      </c>
      <c r="AA30" s="2472"/>
      <c r="AB30" s="2472"/>
      <c r="AC30" s="2472"/>
      <c r="AD30" s="2472"/>
      <c r="AE30" s="2472"/>
      <c r="AF30" s="2472"/>
      <c r="AG30" s="2472"/>
      <c r="AH30" s="2472"/>
      <c r="AI30" s="2472"/>
      <c r="AJ30" s="2472"/>
      <c r="AK30" s="2472"/>
      <c r="AV30" s="2497"/>
      <c r="AW30" s="2478" t="s">
        <v>2217</v>
      </c>
      <c r="AX30" s="2500">
        <v>3364422.0268313964</v>
      </c>
      <c r="AY30" s="2500">
        <v>7879091.724524036</v>
      </c>
      <c r="AZ30" s="2500">
        <v>0</v>
      </c>
      <c r="BA30" s="2500">
        <v>0</v>
      </c>
      <c r="BB30" s="2500">
        <v>0</v>
      </c>
      <c r="BC30" s="2500">
        <v>103081.20442694836</v>
      </c>
      <c r="BD30" s="2500">
        <v>267238.02247686364</v>
      </c>
      <c r="BE30" s="2500">
        <v>265846.80805565137</v>
      </c>
      <c r="BF30" s="2500">
        <v>275683.13995371043</v>
      </c>
      <c r="BG30" s="2500">
        <v>381177.88817599684</v>
      </c>
      <c r="BH30" s="2500">
        <v>395281.47003850876</v>
      </c>
      <c r="BI30" s="2500">
        <v>409906.8844299335</v>
      </c>
      <c r="BJ30" s="2500">
        <v>425073.43915384106</v>
      </c>
      <c r="BK30" s="2500">
        <v>440801.15640253312</v>
      </c>
      <c r="BL30" s="2500">
        <v>457110.79918942682</v>
      </c>
      <c r="BM30" s="2500">
        <v>474023.89875943551</v>
      </c>
      <c r="BN30" s="2500">
        <v>491562.78301353467</v>
      </c>
      <c r="BO30" s="2500">
        <v>509750.60598503542</v>
      </c>
      <c r="BP30" s="2500">
        <v>528611.3784064817</v>
      </c>
      <c r="BQ30" s="2500">
        <v>548169.99940752145</v>
      </c>
      <c r="BR30" s="2500">
        <v>568452.28938559978</v>
      </c>
      <c r="BS30" s="2500">
        <v>589485.02409286681</v>
      </c>
      <c r="BT30" s="2500">
        <v>611295.969984303</v>
      </c>
      <c r="BU30" s="2500">
        <v>136538.96318584325</v>
      </c>
    </row>
    <row r="31" spans="1:73" ht="14.5">
      <c r="C31" s="2473"/>
      <c r="D31" s="2473"/>
      <c r="E31" s="2473"/>
      <c r="I31" s="2479">
        <v>45322</v>
      </c>
      <c r="J31" s="2473">
        <f>-'G-3.04,5.01 PF AMI'!AE72</f>
        <v>-315594.16877950181</v>
      </c>
      <c r="K31" s="2473">
        <f t="shared" si="2"/>
        <v>36293329.409642711</v>
      </c>
      <c r="L31" s="2473">
        <f t="shared" si="6"/>
        <v>38186894.42231971</v>
      </c>
      <c r="M31" s="2473">
        <f t="shared" si="0"/>
        <v>-7621599.1760249687</v>
      </c>
      <c r="N31" s="2473">
        <f t="shared" si="7"/>
        <v>-8019247.8286871389</v>
      </c>
      <c r="P31" s="2479">
        <v>45322</v>
      </c>
      <c r="Q31" s="2473">
        <f>-'G-3.04,5.01 PF AMI'!AK72</f>
        <v>-89408.671805069913</v>
      </c>
      <c r="R31" s="2473">
        <f t="shared" si="3"/>
        <v>10281997.257583022</v>
      </c>
      <c r="S31" s="2473">
        <f t="shared" si="8"/>
        <v>10818449.288413445</v>
      </c>
      <c r="T31" s="2473">
        <f t="shared" si="1"/>
        <v>-2159219.4240924343</v>
      </c>
      <c r="U31" s="2473">
        <f t="shared" si="9"/>
        <v>-2271874.3505668235</v>
      </c>
      <c r="Y31" s="477">
        <v>24</v>
      </c>
      <c r="Z31" s="477">
        <v>202008</v>
      </c>
      <c r="AA31" s="2472"/>
      <c r="AB31" s="2472"/>
      <c r="AC31" s="2472"/>
      <c r="AD31" s="2472"/>
      <c r="AE31" s="2472"/>
      <c r="AF31" s="2472"/>
      <c r="AG31" s="2472"/>
      <c r="AH31" s="2472"/>
      <c r="AI31" s="2472"/>
      <c r="AJ31" s="2472"/>
      <c r="AK31" s="2472"/>
      <c r="AV31" s="1217"/>
      <c r="AX31" s="1197"/>
      <c r="AY31" s="1197"/>
      <c r="AZ31" s="1197"/>
      <c r="BA31" s="1197"/>
      <c r="BB31" s="1197"/>
      <c r="BC31" s="1197"/>
      <c r="BD31" s="1197"/>
      <c r="BE31" s="1197"/>
      <c r="BF31" s="1197"/>
      <c r="BG31" s="1197"/>
      <c r="BH31" s="1197"/>
      <c r="BI31" s="1197"/>
      <c r="BJ31" s="1197"/>
      <c r="BK31" s="1197"/>
      <c r="BL31" s="1197"/>
      <c r="BM31" s="1197"/>
      <c r="BN31" s="1197"/>
      <c r="BO31" s="1197"/>
      <c r="BP31" s="1197"/>
      <c r="BQ31" s="1197"/>
      <c r="BR31" s="1197"/>
      <c r="BS31" s="1197"/>
      <c r="BT31" s="1197"/>
      <c r="BU31" s="1197"/>
    </row>
    <row r="32" spans="1:73" ht="14.5">
      <c r="A32" s="2089" t="s">
        <v>2218</v>
      </c>
      <c r="B32" s="1217" t="s">
        <v>2192</v>
      </c>
      <c r="C32" s="2476">
        <f>C14</f>
        <v>3787130.0253540208</v>
      </c>
      <c r="D32" s="2476">
        <f>D14</f>
        <v>1072904.061660839</v>
      </c>
      <c r="E32" s="2473"/>
      <c r="I32" s="2479">
        <v>45351</v>
      </c>
      <c r="J32" s="2473">
        <f>-'G-3.04,5.01 PF AMI'!AE73</f>
        <v>-315594.16877950181</v>
      </c>
      <c r="K32" s="2473">
        <f t="shared" si="2"/>
        <v>35977735.240863211</v>
      </c>
      <c r="L32" s="2473">
        <f t="shared" si="6"/>
        <v>37871300.25354021</v>
      </c>
      <c r="M32" s="2473">
        <f t="shared" si="0"/>
        <v>-7555324.4005812742</v>
      </c>
      <c r="N32" s="2473">
        <f t="shared" si="7"/>
        <v>-7952973.0532434443</v>
      </c>
      <c r="P32" s="2479">
        <v>45351</v>
      </c>
      <c r="Q32" s="2473">
        <f>-'G-3.04,5.01 PF AMI'!AK73</f>
        <v>-89408.671805069913</v>
      </c>
      <c r="R32" s="2473">
        <f t="shared" si="3"/>
        <v>10192588.585777951</v>
      </c>
      <c r="S32" s="2473">
        <f t="shared" si="8"/>
        <v>10729040.616608376</v>
      </c>
      <c r="T32" s="2473">
        <f t="shared" si="1"/>
        <v>-2140443.6030133697</v>
      </c>
      <c r="U32" s="2473">
        <f t="shared" si="9"/>
        <v>-2253098.5294877584</v>
      </c>
      <c r="Y32" s="477">
        <v>25</v>
      </c>
      <c r="Z32" s="477">
        <v>202009</v>
      </c>
      <c r="AA32" s="2472"/>
      <c r="AB32" s="2472"/>
      <c r="AC32" s="2472"/>
      <c r="AD32" s="2472"/>
      <c r="AE32" s="2472"/>
      <c r="AF32" s="2472"/>
      <c r="AG32" s="2472"/>
      <c r="AH32" s="2472"/>
      <c r="AI32" s="2472"/>
      <c r="AJ32" s="2507"/>
      <c r="AK32" s="2508"/>
      <c r="AV32" s="1217" t="s">
        <v>2219</v>
      </c>
      <c r="AX32" s="1197"/>
      <c r="AY32" s="1197"/>
      <c r="AZ32" s="1197"/>
      <c r="BA32" s="1197"/>
      <c r="BB32" s="1197"/>
      <c r="BC32" s="1197"/>
      <c r="BD32" s="1197"/>
      <c r="BE32" s="1197"/>
      <c r="BF32" s="1197"/>
      <c r="BG32" s="1197"/>
      <c r="BH32" s="1197"/>
      <c r="BI32" s="1197"/>
      <c r="BJ32" s="1197"/>
      <c r="BK32" s="1197"/>
      <c r="BL32" s="1197"/>
      <c r="BM32" s="1197"/>
      <c r="BN32" s="1197"/>
      <c r="BO32" s="1197"/>
      <c r="BP32" s="1197"/>
      <c r="BQ32" s="1197"/>
      <c r="BR32" s="1197"/>
      <c r="BS32" s="1197"/>
      <c r="BT32" s="1197"/>
      <c r="BU32" s="1197"/>
    </row>
    <row r="33" spans="1:73" ht="14.5">
      <c r="C33" s="2492"/>
      <c r="D33" s="2473"/>
      <c r="E33" s="2492"/>
      <c r="I33" s="2479">
        <v>45382</v>
      </c>
      <c r="J33" s="2473">
        <f>-'G-3.04,5.01 PF AMI'!AE74</f>
        <v>-315594.16877950181</v>
      </c>
      <c r="K33" s="2473">
        <f t="shared" si="2"/>
        <v>35662141.072083712</v>
      </c>
      <c r="L33" s="2473">
        <f t="shared" si="6"/>
        <v>37555706.084760703</v>
      </c>
      <c r="M33" s="2473">
        <f t="shared" si="0"/>
        <v>-7489049.6251375796</v>
      </c>
      <c r="N33" s="2473">
        <f t="shared" si="7"/>
        <v>-7886698.2777997488</v>
      </c>
      <c r="P33" s="2479">
        <v>45382</v>
      </c>
      <c r="Q33" s="2473">
        <f>-'G-3.04,5.01 PF AMI'!AK74</f>
        <v>-89408.671805069913</v>
      </c>
      <c r="R33" s="2473">
        <f t="shared" si="3"/>
        <v>10103179.913972881</v>
      </c>
      <c r="S33" s="2473">
        <f t="shared" si="8"/>
        <v>10639631.944803303</v>
      </c>
      <c r="T33" s="2473">
        <f t="shared" si="1"/>
        <v>-2121667.7819343051</v>
      </c>
      <c r="U33" s="2473">
        <f t="shared" si="9"/>
        <v>-2234322.7084086938</v>
      </c>
      <c r="Y33" s="477">
        <v>26</v>
      </c>
      <c r="Z33" s="477">
        <v>202010</v>
      </c>
      <c r="AA33" s="2472"/>
      <c r="AB33" s="2472"/>
      <c r="AC33" s="2472"/>
      <c r="AD33" s="2472"/>
      <c r="AE33" s="2472"/>
      <c r="AF33" s="2472"/>
      <c r="AG33" s="2472"/>
      <c r="AH33" s="2472"/>
      <c r="AI33" s="2472"/>
      <c r="AJ33" s="2472"/>
      <c r="AK33" s="2472"/>
      <c r="AV33" s="2497"/>
      <c r="AW33" s="2478" t="s">
        <v>2220</v>
      </c>
      <c r="AX33" s="2500">
        <v>6528174.400280741</v>
      </c>
      <c r="AY33" s="2500">
        <v>15382656.222365012</v>
      </c>
      <c r="AZ33" s="2500">
        <v>0</v>
      </c>
      <c r="BA33" s="2500">
        <v>0</v>
      </c>
      <c r="BB33" s="2500">
        <v>0</v>
      </c>
      <c r="BC33" s="2500">
        <v>194296.65319520229</v>
      </c>
      <c r="BD33" s="2500">
        <v>505317.02079742245</v>
      </c>
      <c r="BE33" s="2500">
        <v>504286.06795842142</v>
      </c>
      <c r="BF33" s="2500">
        <v>524608.79649714578</v>
      </c>
      <c r="BG33" s="2500">
        <v>727667.37466130767</v>
      </c>
      <c r="BH33" s="2500">
        <v>756992.36986015853</v>
      </c>
      <c r="BI33" s="2500">
        <v>787499.16236552282</v>
      </c>
      <c r="BJ33" s="2500">
        <v>819235.37860885344</v>
      </c>
      <c r="BK33" s="2500">
        <v>852250.56436679023</v>
      </c>
      <c r="BL33" s="2500">
        <v>886596.26211077196</v>
      </c>
      <c r="BM33" s="2500">
        <v>922326.09147383622</v>
      </c>
      <c r="BN33" s="2500">
        <v>959495.83296023181</v>
      </c>
      <c r="BO33" s="2500">
        <v>998163.51502852887</v>
      </c>
      <c r="BP33" s="2500">
        <v>1038389.5046841785</v>
      </c>
      <c r="BQ33" s="2500">
        <v>1080236.6017229513</v>
      </c>
      <c r="BR33" s="2500">
        <v>1123770.1367723863</v>
      </c>
      <c r="BS33" s="2500">
        <v>1169058.0732843135</v>
      </c>
      <c r="BT33" s="2500">
        <v>1216171.1136376711</v>
      </c>
      <c r="BU33" s="2500">
        <v>316295.70237931743</v>
      </c>
    </row>
    <row r="34" spans="1:73" ht="14.5">
      <c r="A34" s="477" t="s">
        <v>2188</v>
      </c>
      <c r="B34" s="477" t="s">
        <v>2221</v>
      </c>
      <c r="C34" s="2481">
        <f>'G-3.04,5.01 PF AMI'!N154</f>
        <v>0</v>
      </c>
      <c r="D34" s="2493">
        <f>'G-3.04,5.01 PF AMI'!U154</f>
        <v>0</v>
      </c>
      <c r="E34" s="2481" t="s">
        <v>2190</v>
      </c>
      <c r="I34" s="2479">
        <v>45412</v>
      </c>
      <c r="J34" s="2473">
        <f>-'G-3.04,5.01 PF AMI'!AE75</f>
        <v>-315594.16877950181</v>
      </c>
      <c r="K34" s="2473">
        <f t="shared" si="2"/>
        <v>35346546.903304212</v>
      </c>
      <c r="L34" s="2473">
        <f t="shared" si="6"/>
        <v>37240111.915981211</v>
      </c>
      <c r="M34" s="2473">
        <f t="shared" si="0"/>
        <v>-7422774.8496938841</v>
      </c>
      <c r="N34" s="2473">
        <f t="shared" si="7"/>
        <v>-7820423.5023560533</v>
      </c>
      <c r="P34" s="2479">
        <v>45412</v>
      </c>
      <c r="Q34" s="2473">
        <f>-'G-3.04,5.01 PF AMI'!AK75</f>
        <v>-89408.671805069913</v>
      </c>
      <c r="R34" s="2473">
        <f t="shared" si="3"/>
        <v>10013771.24216781</v>
      </c>
      <c r="S34" s="2473">
        <f t="shared" si="8"/>
        <v>10550223.272998234</v>
      </c>
      <c r="T34" s="2473">
        <f t="shared" si="1"/>
        <v>-2102891.96085524</v>
      </c>
      <c r="U34" s="2473">
        <f t="shared" si="9"/>
        <v>-2215546.8873296292</v>
      </c>
      <c r="Y34" s="477">
        <v>27</v>
      </c>
      <c r="Z34" s="477">
        <v>202011</v>
      </c>
      <c r="AA34" s="2472"/>
      <c r="AB34" s="2472"/>
      <c r="AC34" s="2472"/>
      <c r="AD34" s="2472"/>
      <c r="AE34" s="2472"/>
      <c r="AF34" s="2472"/>
      <c r="AG34" s="2472"/>
      <c r="AH34" s="2472"/>
      <c r="AI34" s="2472"/>
      <c r="AJ34" s="2472"/>
      <c r="AK34" s="2472"/>
      <c r="AV34" s="2497"/>
      <c r="AW34" s="2478" t="s">
        <v>2222</v>
      </c>
      <c r="AX34" s="2500">
        <v>2379863.5680026547</v>
      </c>
      <c r="AY34" s="2500">
        <v>5607788.7749355333</v>
      </c>
      <c r="AZ34" s="2500">
        <v>0</v>
      </c>
      <c r="BA34" s="2500">
        <v>0</v>
      </c>
      <c r="BB34" s="2500">
        <v>0</v>
      </c>
      <c r="BC34" s="2500">
        <v>70831.368461023856</v>
      </c>
      <c r="BD34" s="2500">
        <v>184214.68152500782</v>
      </c>
      <c r="BE34" s="2500">
        <v>183838.84488961374</v>
      </c>
      <c r="BF34" s="2500">
        <v>191247.55033866517</v>
      </c>
      <c r="BG34" s="2500">
        <v>265273.10215641779</v>
      </c>
      <c r="BH34" s="2500">
        <v>275963.60817332147</v>
      </c>
      <c r="BI34" s="2500">
        <v>287084.94158270629</v>
      </c>
      <c r="BJ34" s="2500">
        <v>298654.4647284894</v>
      </c>
      <c r="BK34" s="2500">
        <v>310690.2396570475</v>
      </c>
      <c r="BL34" s="2500">
        <v>323211.05631522654</v>
      </c>
      <c r="BM34" s="2500">
        <v>336236.4618847302</v>
      </c>
      <c r="BN34" s="2500">
        <v>349786.79129868478</v>
      </c>
      <c r="BO34" s="2500">
        <v>363883.19898802176</v>
      </c>
      <c r="BP34" s="2500">
        <v>378547.69190723909</v>
      </c>
      <c r="BQ34" s="2500">
        <v>393803.16389110091</v>
      </c>
      <c r="BR34" s="2500">
        <v>409673.43139591225</v>
      </c>
      <c r="BS34" s="2500">
        <v>426183.27068116755</v>
      </c>
      <c r="BT34" s="2500">
        <v>443358.45648961858</v>
      </c>
      <c r="BU34" s="2500">
        <v>115306.45057153756</v>
      </c>
    </row>
    <row r="35" spans="1:73" ht="14.5">
      <c r="B35" s="1217" t="s">
        <v>2223</v>
      </c>
      <c r="C35" s="2509">
        <f>C32+C34</f>
        <v>3787130.0253540208</v>
      </c>
      <c r="D35" s="2509">
        <f>D32+D34</f>
        <v>1072904.061660839</v>
      </c>
      <c r="E35" s="2473"/>
      <c r="I35" s="2479">
        <v>45443</v>
      </c>
      <c r="J35" s="2473">
        <f>-'G-3.04,5.01 PF AMI'!AE76</f>
        <v>-315594.16877950181</v>
      </c>
      <c r="K35" s="2473">
        <f t="shared" si="2"/>
        <v>35030952.734524712</v>
      </c>
      <c r="L35" s="2473">
        <f t="shared" si="6"/>
        <v>36924517.747201703</v>
      </c>
      <c r="M35" s="2473">
        <f t="shared" si="0"/>
        <v>-7356500.0742501896</v>
      </c>
      <c r="N35" s="2473">
        <f t="shared" si="7"/>
        <v>-7754148.7269123578</v>
      </c>
      <c r="P35" s="2479">
        <v>45443</v>
      </c>
      <c r="Q35" s="2473">
        <f>-'G-3.04,5.01 PF AMI'!AK76</f>
        <v>-89408.671805069913</v>
      </c>
      <c r="R35" s="2473">
        <f t="shared" si="3"/>
        <v>9924362.5703627393</v>
      </c>
      <c r="S35" s="2473">
        <f t="shared" si="8"/>
        <v>10460814.601193165</v>
      </c>
      <c r="T35" s="2473">
        <f t="shared" si="1"/>
        <v>-2084116.1397761751</v>
      </c>
      <c r="U35" s="2473">
        <f t="shared" si="9"/>
        <v>-2196771.0662505645</v>
      </c>
      <c r="Y35" s="477">
        <v>28</v>
      </c>
      <c r="Z35" s="477">
        <v>202012</v>
      </c>
      <c r="AA35" s="2472"/>
      <c r="AB35" s="2472"/>
      <c r="AC35" s="2472"/>
      <c r="AD35" s="2472"/>
      <c r="AE35" s="2472"/>
      <c r="AF35" s="2472"/>
      <c r="AG35" s="2472"/>
      <c r="AH35" s="2472"/>
      <c r="AI35" s="2472"/>
      <c r="AJ35" s="2472"/>
      <c r="AK35" s="2472"/>
      <c r="AV35" s="2497"/>
      <c r="AW35" s="2478" t="s">
        <v>2224</v>
      </c>
      <c r="AX35" s="2500">
        <v>1096662.0741878629</v>
      </c>
      <c r="AY35" s="2500">
        <v>2466822.7394929137</v>
      </c>
      <c r="AZ35" s="2500">
        <v>0</v>
      </c>
      <c r="BA35" s="2500">
        <v>0</v>
      </c>
      <c r="BB35" s="2500">
        <v>0</v>
      </c>
      <c r="BC35" s="2500">
        <v>41714.25156808363</v>
      </c>
      <c r="BD35" s="2500">
        <v>105328.48520941116</v>
      </c>
      <c r="BE35" s="2500">
        <v>102052.03202000202</v>
      </c>
      <c r="BF35" s="2500">
        <v>103072.55234020203</v>
      </c>
      <c r="BG35" s="2500">
        <v>138804.3704848054</v>
      </c>
      <c r="BH35" s="2500">
        <v>140192.41418965347</v>
      </c>
      <c r="BI35" s="2500">
        <v>141594.33833155001</v>
      </c>
      <c r="BJ35" s="2500">
        <v>143010.2817148655</v>
      </c>
      <c r="BK35" s="2500">
        <v>144440.38453201417</v>
      </c>
      <c r="BL35" s="2500">
        <v>145884.78837733431</v>
      </c>
      <c r="BM35" s="2500">
        <v>147343.63626110763</v>
      </c>
      <c r="BN35" s="2500">
        <v>148817.07262371873</v>
      </c>
      <c r="BO35" s="2500">
        <v>150305.24334995588</v>
      </c>
      <c r="BP35" s="2500">
        <v>151808.29578345545</v>
      </c>
      <c r="BQ35" s="2500">
        <v>153326.37874129001</v>
      </c>
      <c r="BR35" s="2500">
        <v>154859.64252870294</v>
      </c>
      <c r="BS35" s="2500">
        <v>156408.23895398999</v>
      </c>
      <c r="BT35" s="2500">
        <v>157972.32134352988</v>
      </c>
      <c r="BU35" s="2500">
        <v>39888.011139241295</v>
      </c>
    </row>
    <row r="36" spans="1:73" ht="14.5">
      <c r="C36" s="2473"/>
      <c r="D36" s="2473"/>
      <c r="E36" s="2473"/>
      <c r="I36" s="2479">
        <v>45473</v>
      </c>
      <c r="J36" s="2473">
        <f>-'G-3.04,5.01 PF AMI'!AE77</f>
        <v>-315594.16877950181</v>
      </c>
      <c r="K36" s="2473">
        <f t="shared" si="2"/>
        <v>34715358.565745212</v>
      </c>
      <c r="L36" s="2473">
        <f t="shared" si="6"/>
        <v>36608923.578422211</v>
      </c>
      <c r="M36" s="2473">
        <f t="shared" si="0"/>
        <v>-7290225.2988064941</v>
      </c>
      <c r="N36" s="2473">
        <f t="shared" si="7"/>
        <v>-7687873.9514686642</v>
      </c>
      <c r="P36" s="2479">
        <v>45473</v>
      </c>
      <c r="Q36" s="2473">
        <f>-'G-3.04,5.01 PF AMI'!AK77</f>
        <v>-89408.671805069913</v>
      </c>
      <c r="R36" s="2473">
        <f t="shared" si="3"/>
        <v>9834953.8985576686</v>
      </c>
      <c r="S36" s="2473">
        <f t="shared" si="8"/>
        <v>10371405.929388093</v>
      </c>
      <c r="T36" s="2473">
        <f t="shared" si="1"/>
        <v>-2065340.3186971103</v>
      </c>
      <c r="U36" s="2473">
        <f t="shared" si="9"/>
        <v>-2177995.2451714994</v>
      </c>
      <c r="Y36" s="477">
        <v>29</v>
      </c>
      <c r="Z36" s="477">
        <v>202101</v>
      </c>
      <c r="AA36" s="2472"/>
      <c r="AB36" s="2472"/>
      <c r="AC36" s="2472"/>
      <c r="AD36" s="2472"/>
      <c r="AE36" s="2472"/>
      <c r="AF36" s="2472"/>
      <c r="AG36" s="2472"/>
      <c r="AH36" s="2472"/>
      <c r="AI36" s="2472"/>
      <c r="AJ36" s="2472"/>
      <c r="AK36" s="2472"/>
      <c r="AV36" s="2497"/>
      <c r="AW36" s="2478" t="s">
        <v>2225</v>
      </c>
      <c r="AX36" s="2500">
        <v>973755.49224492256</v>
      </c>
      <c r="AY36" s="2500">
        <v>2294507.6315974817</v>
      </c>
      <c r="AZ36" s="2500">
        <v>0</v>
      </c>
      <c r="BA36" s="2500">
        <v>0</v>
      </c>
      <c r="BB36" s="2500">
        <v>0</v>
      </c>
      <c r="BC36" s="2500">
        <v>28981.67566808554</v>
      </c>
      <c r="BD36" s="2500">
        <v>75374.092993773476</v>
      </c>
      <c r="BE36" s="2500">
        <v>75220.314015506665</v>
      </c>
      <c r="BF36" s="2500">
        <v>78251.692670331584</v>
      </c>
      <c r="BG36" s="2500">
        <v>108540.31451326128</v>
      </c>
      <c r="BH36" s="2500">
        <v>112914.48918814572</v>
      </c>
      <c r="BI36" s="2500">
        <v>117464.94310242798</v>
      </c>
      <c r="BJ36" s="2500">
        <v>122198.78030945585</v>
      </c>
      <c r="BK36" s="2500">
        <v>127123.39115592693</v>
      </c>
      <c r="BL36" s="2500">
        <v>132246.4638195108</v>
      </c>
      <c r="BM36" s="2500">
        <v>137575.99631143705</v>
      </c>
      <c r="BN36" s="2500">
        <v>143120.30896278797</v>
      </c>
      <c r="BO36" s="2500">
        <v>148888.05741398834</v>
      </c>
      <c r="BP36" s="2500">
        <v>154888.24612777209</v>
      </c>
      <c r="BQ36" s="2500">
        <v>161130.24244672133</v>
      </c>
      <c r="BR36" s="2500">
        <v>167623.79121732421</v>
      </c>
      <c r="BS36" s="2500">
        <v>174379.03000338239</v>
      </c>
      <c r="BT36" s="2500">
        <v>181406.50491251872</v>
      </c>
      <c r="BU36" s="2500">
        <v>47179.296765123312</v>
      </c>
    </row>
    <row r="37" spans="1:73" ht="14.5">
      <c r="A37" s="2089" t="s">
        <v>2196</v>
      </c>
      <c r="B37" s="1217"/>
      <c r="C37" s="2473"/>
      <c r="D37" s="2473"/>
      <c r="E37" s="2473"/>
      <c r="I37" s="2479">
        <v>45504</v>
      </c>
      <c r="J37" s="2473">
        <f>-'G-3.04,5.01 PF AMI'!AE78</f>
        <v>-315594.16877950181</v>
      </c>
      <c r="K37" s="2473">
        <f t="shared" si="2"/>
        <v>34399764.396965712</v>
      </c>
      <c r="L37" s="2473">
        <f t="shared" si="6"/>
        <v>36293329.409642719</v>
      </c>
      <c r="M37" s="2473">
        <f t="shared" si="0"/>
        <v>-7223950.5233627995</v>
      </c>
      <c r="N37" s="2473">
        <f t="shared" si="7"/>
        <v>-7621599.1760249687</v>
      </c>
      <c r="P37" s="2479">
        <v>45504</v>
      </c>
      <c r="Q37" s="2473">
        <f>-'G-3.04,5.01 PF AMI'!AK78</f>
        <v>-89408.671805069913</v>
      </c>
      <c r="R37" s="2473">
        <f t="shared" si="3"/>
        <v>9745545.2267525978</v>
      </c>
      <c r="S37" s="2473">
        <f t="shared" si="8"/>
        <v>10281997.257583022</v>
      </c>
      <c r="T37" s="2473">
        <f t="shared" si="1"/>
        <v>-2046564.4976180454</v>
      </c>
      <c r="U37" s="2473">
        <f t="shared" si="9"/>
        <v>-2159219.4240924348</v>
      </c>
      <c r="Y37" s="477">
        <v>30</v>
      </c>
      <c r="Z37" s="477">
        <v>202102</v>
      </c>
      <c r="AA37" s="2472"/>
      <c r="AB37" s="2472"/>
      <c r="AC37" s="2472"/>
      <c r="AD37" s="2472"/>
      <c r="AE37" s="2472"/>
      <c r="AF37" s="2472"/>
      <c r="AG37" s="2472"/>
      <c r="AH37" s="2472"/>
      <c r="AI37" s="2472"/>
      <c r="AJ37" s="2472"/>
      <c r="AK37" s="2472"/>
      <c r="AV37" s="2489"/>
      <c r="AW37" s="2490" t="s">
        <v>24</v>
      </c>
      <c r="AX37" s="2491">
        <f t="shared" ref="AX37:BU37" si="12">SUM(AX33:AX36)</f>
        <v>10978455.534716181</v>
      </c>
      <c r="AY37" s="2491">
        <f t="shared" si="12"/>
        <v>25751775.36839094</v>
      </c>
      <c r="AZ37" s="2491">
        <f t="shared" si="12"/>
        <v>0</v>
      </c>
      <c r="BA37" s="2491">
        <f t="shared" si="12"/>
        <v>0</v>
      </c>
      <c r="BB37" s="2491">
        <f t="shared" si="12"/>
        <v>0</v>
      </c>
      <c r="BC37" s="2491">
        <f t="shared" si="12"/>
        <v>335823.9488923953</v>
      </c>
      <c r="BD37" s="2491">
        <f t="shared" si="12"/>
        <v>870234.28052561486</v>
      </c>
      <c r="BE37" s="2491">
        <f t="shared" si="12"/>
        <v>865397.25888354378</v>
      </c>
      <c r="BF37" s="2491">
        <f t="shared" si="12"/>
        <v>897180.59184634453</v>
      </c>
      <c r="BG37" s="2491">
        <f t="shared" si="12"/>
        <v>1240285.1618157921</v>
      </c>
      <c r="BH37" s="2491">
        <f t="shared" si="12"/>
        <v>1286062.8814112791</v>
      </c>
      <c r="BI37" s="2491">
        <f t="shared" si="12"/>
        <v>1333643.3853822069</v>
      </c>
      <c r="BJ37" s="2491">
        <f t="shared" si="12"/>
        <v>1383098.9053616642</v>
      </c>
      <c r="BK37" s="2491">
        <f t="shared" si="12"/>
        <v>1434504.5797117788</v>
      </c>
      <c r="BL37" s="2491">
        <f t="shared" si="12"/>
        <v>1487938.5706228437</v>
      </c>
      <c r="BM37" s="2491">
        <f t="shared" si="12"/>
        <v>1543482.1859311112</v>
      </c>
      <c r="BN37" s="2491">
        <f t="shared" si="12"/>
        <v>1601220.0058454233</v>
      </c>
      <c r="BO37" s="2491">
        <f t="shared" si="12"/>
        <v>1661240.0147804949</v>
      </c>
      <c r="BP37" s="2491">
        <f t="shared" si="12"/>
        <v>1723633.7385026452</v>
      </c>
      <c r="BQ37" s="2491">
        <f t="shared" si="12"/>
        <v>1788496.3868020636</v>
      </c>
      <c r="BR37" s="2491">
        <f t="shared" si="12"/>
        <v>1855927.0019143256</v>
      </c>
      <c r="BS37" s="2491">
        <f t="shared" si="12"/>
        <v>1926028.6129228533</v>
      </c>
      <c r="BT37" s="2491">
        <f t="shared" si="12"/>
        <v>1998908.3963833384</v>
      </c>
      <c r="BU37" s="2491">
        <f t="shared" si="12"/>
        <v>518669.46085521957</v>
      </c>
    </row>
    <row r="38" spans="1:73" ht="14.5">
      <c r="A38" s="2089"/>
      <c r="B38" s="1217" t="s">
        <v>2203</v>
      </c>
      <c r="C38" s="2476">
        <f>C19</f>
        <v>-7937766.1748548467</v>
      </c>
      <c r="D38" s="2476">
        <f>D19</f>
        <v>-2645922.0582849486</v>
      </c>
      <c r="E38" s="2473" t="s">
        <v>2198</v>
      </c>
      <c r="I38" s="2479">
        <v>45535</v>
      </c>
      <c r="J38" s="2473">
        <f>-'G-3.04,5.01 PF AMI'!AE79</f>
        <v>-315594.16877950181</v>
      </c>
      <c r="K38" s="2473">
        <f t="shared" si="2"/>
        <v>34084170.228186212</v>
      </c>
      <c r="L38" s="2473">
        <f t="shared" si="6"/>
        <v>35977735.240863211</v>
      </c>
      <c r="M38" s="2473">
        <f t="shared" si="0"/>
        <v>-7157675.7479191041</v>
      </c>
      <c r="N38" s="2473">
        <f t="shared" si="7"/>
        <v>-7555324.4005812733</v>
      </c>
      <c r="P38" s="2479">
        <v>45535</v>
      </c>
      <c r="Q38" s="2473">
        <f>-'G-3.04,5.01 PF AMI'!AK79</f>
        <v>-89408.671805069913</v>
      </c>
      <c r="R38" s="2473">
        <f t="shared" si="3"/>
        <v>9656136.5549475271</v>
      </c>
      <c r="S38" s="2473">
        <f t="shared" si="8"/>
        <v>10192588.585777951</v>
      </c>
      <c r="T38" s="2473">
        <f t="shared" si="1"/>
        <v>-2027788.6765389806</v>
      </c>
      <c r="U38" s="2473">
        <f t="shared" si="9"/>
        <v>-2140443.6030133697</v>
      </c>
      <c r="Y38" s="477">
        <v>31</v>
      </c>
      <c r="Z38" s="477">
        <v>202103</v>
      </c>
      <c r="AA38" s="2472"/>
      <c r="AB38" s="2472"/>
      <c r="AC38" s="2472"/>
      <c r="AD38" s="2472"/>
      <c r="AE38" s="2472"/>
      <c r="AF38" s="2472"/>
      <c r="AG38" s="2472"/>
      <c r="AH38" s="2472"/>
      <c r="AI38" s="2472"/>
      <c r="AJ38" s="2472"/>
      <c r="AK38" s="2472"/>
      <c r="AV38" s="1217"/>
      <c r="AX38" s="1197"/>
      <c r="AY38" s="1197"/>
      <c r="AZ38" s="1197"/>
      <c r="BA38" s="1197"/>
      <c r="BB38" s="1197"/>
      <c r="BC38" s="1197"/>
      <c r="BD38" s="1197"/>
      <c r="BE38" s="1197"/>
      <c r="BF38" s="1197"/>
      <c r="BG38" s="1197"/>
      <c r="BH38" s="1197"/>
      <c r="BI38" s="1197"/>
      <c r="BJ38" s="1197"/>
      <c r="BK38" s="1197"/>
      <c r="BL38" s="1197"/>
      <c r="BM38" s="1197"/>
      <c r="BN38" s="1197"/>
      <c r="BO38" s="1197"/>
      <c r="BP38" s="1197"/>
      <c r="BQ38" s="1197"/>
      <c r="BR38" s="1197"/>
      <c r="BS38" s="1197"/>
      <c r="BT38" s="1197"/>
      <c r="BU38" s="1197"/>
    </row>
    <row r="39" spans="1:73" ht="15" thickBot="1">
      <c r="A39" s="477" t="s">
        <v>2199</v>
      </c>
      <c r="B39" s="1217" t="s">
        <v>2226</v>
      </c>
      <c r="C39" s="2481">
        <v>-314091.40000000002</v>
      </c>
      <c r="D39" s="2493">
        <v>-104697</v>
      </c>
      <c r="E39" s="2481" t="s">
        <v>2201</v>
      </c>
      <c r="F39" s="2482"/>
      <c r="I39" s="2479">
        <v>45565</v>
      </c>
      <c r="J39" s="2473">
        <f>-'G-3.04,5.01 PF AMI'!AE80</f>
        <v>-315594.16877950181</v>
      </c>
      <c r="K39" s="2473">
        <f t="shared" si="2"/>
        <v>33768576.059406713</v>
      </c>
      <c r="L39" s="2473">
        <f t="shared" si="6"/>
        <v>35662141.072083719</v>
      </c>
      <c r="M39" s="2473">
        <f t="shared" si="0"/>
        <v>-7091400.9724754095</v>
      </c>
      <c r="N39" s="2473">
        <f t="shared" si="7"/>
        <v>-7489049.6251375787</v>
      </c>
      <c r="P39" s="2479">
        <v>45565</v>
      </c>
      <c r="Q39" s="2473">
        <f>-'G-3.04,5.01 PF AMI'!AK80</f>
        <v>-89408.671805069913</v>
      </c>
      <c r="R39" s="2473">
        <f t="shared" si="3"/>
        <v>9566727.8831424564</v>
      </c>
      <c r="S39" s="2473">
        <f t="shared" si="8"/>
        <v>10103179.913972881</v>
      </c>
      <c r="T39" s="2473">
        <f t="shared" si="1"/>
        <v>-2009012.8554599157</v>
      </c>
      <c r="U39" s="2473">
        <f t="shared" si="9"/>
        <v>-2121667.7819343046</v>
      </c>
      <c r="Y39" s="477">
        <v>32</v>
      </c>
      <c r="Z39" s="477">
        <v>202104</v>
      </c>
      <c r="AA39" s="2472"/>
      <c r="AB39" s="2472"/>
      <c r="AC39" s="2472"/>
      <c r="AD39" s="2472"/>
      <c r="AE39" s="2472"/>
      <c r="AF39" s="2472"/>
      <c r="AG39" s="2472"/>
      <c r="AH39" s="2472"/>
      <c r="AI39" s="2472"/>
      <c r="AJ39" s="2472"/>
      <c r="AK39" s="2472"/>
      <c r="AV39" s="1217" t="s">
        <v>2227</v>
      </c>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row>
    <row r="40" spans="1:73" ht="15" thickBot="1">
      <c r="B40" s="1217" t="s">
        <v>2228</v>
      </c>
      <c r="C40" s="2495">
        <f>C38+C39</f>
        <v>-8251857.574854847</v>
      </c>
      <c r="D40" s="2495">
        <f>D38+D39</f>
        <v>-2750619.0582849486</v>
      </c>
      <c r="E40" s="2473"/>
      <c r="I40" s="2479">
        <v>45596</v>
      </c>
      <c r="J40" s="2473">
        <f>-'G-3.04,5.01 PF AMI'!AE81</f>
        <v>-315594.16877950181</v>
      </c>
      <c r="K40" s="2473">
        <f t="shared" si="2"/>
        <v>33452981.890627209</v>
      </c>
      <c r="L40" s="2473">
        <f t="shared" si="6"/>
        <v>35346546.903304212</v>
      </c>
      <c r="M40" s="2473">
        <f t="shared" si="0"/>
        <v>-7025126.197031714</v>
      </c>
      <c r="N40" s="2473">
        <f t="shared" si="7"/>
        <v>-7422774.8496938841</v>
      </c>
      <c r="P40" s="2479">
        <v>45596</v>
      </c>
      <c r="Q40" s="2473">
        <f>-'G-3.04,5.01 PF AMI'!AK81</f>
        <v>-89408.671805069913</v>
      </c>
      <c r="R40" s="2473">
        <f t="shared" si="3"/>
        <v>9477319.2113373857</v>
      </c>
      <c r="S40" s="2473">
        <f t="shared" si="8"/>
        <v>10013771.24216781</v>
      </c>
      <c r="T40" s="2473">
        <f t="shared" si="1"/>
        <v>-1990237.0343808508</v>
      </c>
      <c r="U40" s="2473">
        <f t="shared" si="9"/>
        <v>-2102891.9608552405</v>
      </c>
      <c r="Y40" s="477">
        <v>33</v>
      </c>
      <c r="Z40" s="477">
        <v>202105</v>
      </c>
      <c r="AA40" s="2472"/>
      <c r="AB40" s="2472"/>
      <c r="AC40" s="2472"/>
      <c r="AD40" s="2472"/>
      <c r="AE40" s="2472"/>
      <c r="AF40" s="2472"/>
      <c r="AG40" s="2472"/>
      <c r="AH40" s="2472"/>
      <c r="AI40" s="2472"/>
      <c r="AJ40" s="2472"/>
      <c r="AK40" s="2472"/>
      <c r="AV40" s="1217"/>
      <c r="AW40" s="477" t="s">
        <v>2229</v>
      </c>
      <c r="AX40" s="1197">
        <v>979466.95150497009</v>
      </c>
      <c r="AY40" s="1197">
        <v>1761470.572018082</v>
      </c>
      <c r="AZ40" s="1197">
        <v>48709.749490769231</v>
      </c>
      <c r="BA40" s="1197">
        <v>50171.041975492306</v>
      </c>
      <c r="BB40" s="1197">
        <v>364576.17323475709</v>
      </c>
      <c r="BC40" s="1197">
        <v>53226.458431799787</v>
      </c>
      <c r="BD40" s="1197">
        <v>54823.252184753779</v>
      </c>
      <c r="BE40" s="1197">
        <v>42350.962312722295</v>
      </c>
      <c r="BF40" s="1197">
        <v>43621.491182103964</v>
      </c>
      <c r="BG40" s="1197">
        <v>88781.847890089441</v>
      </c>
      <c r="BH40" s="1197">
        <v>61704.053326792127</v>
      </c>
      <c r="BI40" s="1197">
        <v>63555.174926595893</v>
      </c>
      <c r="BJ40" s="1197">
        <v>65461.83017439377</v>
      </c>
      <c r="BK40" s="1197">
        <v>67425.685079625575</v>
      </c>
      <c r="BL40" s="1197">
        <v>69448.455632014331</v>
      </c>
      <c r="BM40" s="1197">
        <v>71531.909300974774</v>
      </c>
      <c r="BN40" s="1197">
        <v>73677.866580004018</v>
      </c>
      <c r="BO40" s="1197">
        <v>75888.202577404125</v>
      </c>
      <c r="BP40" s="1197">
        <v>78164.848654726258</v>
      </c>
      <c r="BQ40" s="1197">
        <v>109384.79411436804</v>
      </c>
      <c r="BR40" s="1197">
        <v>82925.087937799079</v>
      </c>
      <c r="BS40" s="1197">
        <v>85412.840575933049</v>
      </c>
      <c r="BT40" s="1197">
        <v>87975.225793211037</v>
      </c>
      <c r="BU40" s="1197">
        <v>22653.620641751844</v>
      </c>
    </row>
    <row r="41" spans="1:73" ht="15" thickBot="1">
      <c r="A41" s="1346"/>
      <c r="B41" s="1346"/>
      <c r="C41" s="2501"/>
      <c r="D41" s="2501"/>
      <c r="E41" s="2501"/>
      <c r="F41" s="1346"/>
      <c r="I41" s="2479">
        <v>45626</v>
      </c>
      <c r="J41" s="2473">
        <f>-'G-3.04,5.01 PF AMI'!AE82</f>
        <v>-315594.16877950181</v>
      </c>
      <c r="K41" s="2473">
        <f t="shared" si="2"/>
        <v>33137387.721847706</v>
      </c>
      <c r="L41" s="2473">
        <f t="shared" si="6"/>
        <v>35030952.734524712</v>
      </c>
      <c r="M41" s="2473">
        <f t="shared" si="0"/>
        <v>-6958851.4215880176</v>
      </c>
      <c r="N41" s="2473">
        <f t="shared" si="7"/>
        <v>-7356500.0742501887</v>
      </c>
      <c r="P41" s="2479">
        <v>45626</v>
      </c>
      <c r="Q41" s="2473">
        <f>-'G-3.04,5.01 PF AMI'!AK82</f>
        <v>-89408.671805069913</v>
      </c>
      <c r="R41" s="2473">
        <f t="shared" si="3"/>
        <v>9387910.539532315</v>
      </c>
      <c r="S41" s="2473">
        <f t="shared" si="8"/>
        <v>9924362.5703627374</v>
      </c>
      <c r="T41" s="2473">
        <f t="shared" si="1"/>
        <v>-1971461.213301786</v>
      </c>
      <c r="U41" s="2473">
        <f t="shared" si="9"/>
        <v>-2084116.1397761751</v>
      </c>
      <c r="Y41" s="477">
        <v>34</v>
      </c>
      <c r="Z41" s="477">
        <v>202106</v>
      </c>
      <c r="AA41" s="2472"/>
      <c r="AB41" s="2472"/>
      <c r="AC41" s="2472"/>
      <c r="AD41" s="2472"/>
      <c r="AE41" s="2472"/>
      <c r="AF41" s="2472"/>
      <c r="AG41" s="2472"/>
      <c r="AH41" s="2472"/>
      <c r="AI41" s="2472"/>
      <c r="AJ41" s="2472"/>
      <c r="AK41" s="2472"/>
      <c r="AV41" s="2497"/>
      <c r="AW41" s="2478" t="s">
        <v>2230</v>
      </c>
      <c r="AX41" s="2500">
        <v>1071164.5580977038</v>
      </c>
      <c r="AY41" s="2500">
        <v>2241199.4727105726</v>
      </c>
      <c r="AZ41" s="2500">
        <v>32580</v>
      </c>
      <c r="BA41" s="2500">
        <v>77954.932000000001</v>
      </c>
      <c r="BB41" s="2500">
        <v>80293.579960000003</v>
      </c>
      <c r="BC41" s="2500">
        <v>82702.387358799999</v>
      </c>
      <c r="BD41" s="2500">
        <v>68146.767183651187</v>
      </c>
      <c r="BE41" s="2500">
        <v>52643.377649370545</v>
      </c>
      <c r="BF41" s="2500">
        <v>54222.678978851669</v>
      </c>
      <c r="BG41" s="2500">
        <v>74465.812464289615</v>
      </c>
      <c r="BH41" s="2500">
        <v>76699.786838218308</v>
      </c>
      <c r="BI41" s="2500">
        <v>115662.8192718725</v>
      </c>
      <c r="BJ41" s="2500">
        <v>119132.70385002867</v>
      </c>
      <c r="BK41" s="2500">
        <v>122706.68496552952</v>
      </c>
      <c r="BL41" s="2500">
        <v>126387.8855144954</v>
      </c>
      <c r="BM41" s="2500">
        <v>130179.52207993028</v>
      </c>
      <c r="BN41" s="2500">
        <v>134084.90774232819</v>
      </c>
      <c r="BO41" s="2500">
        <v>138107.45497459802</v>
      </c>
      <c r="BP41" s="2500">
        <v>142250.67862383596</v>
      </c>
      <c r="BQ41" s="2500">
        <v>146518.19898255102</v>
      </c>
      <c r="BR41" s="2500">
        <v>150913.74495202757</v>
      </c>
      <c r="BS41" s="2500">
        <v>155441.15730058838</v>
      </c>
      <c r="BT41" s="2500">
        <v>160104.39201960602</v>
      </c>
      <c r="BU41" s="2500">
        <v>0</v>
      </c>
    </row>
    <row r="42" spans="1:73" ht="14.5">
      <c r="I42" s="2479">
        <v>45657</v>
      </c>
      <c r="J42" s="2473">
        <f>-'G-3.04,5.01 PF AMI'!AE83</f>
        <v>-315594.16877950181</v>
      </c>
      <c r="K42" s="2473">
        <f t="shared" si="2"/>
        <v>32821793.553068202</v>
      </c>
      <c r="L42" s="2473">
        <f t="shared" si="6"/>
        <v>34715358.565745212</v>
      </c>
      <c r="M42" s="2473">
        <f t="shared" si="0"/>
        <v>-6892576.6461443221</v>
      </c>
      <c r="N42" s="2473">
        <f t="shared" si="7"/>
        <v>-7290225.298806495</v>
      </c>
      <c r="P42" s="2479">
        <v>45657</v>
      </c>
      <c r="Q42" s="2473">
        <f>-'G-3.04,5.01 PF AMI'!AK83</f>
        <v>-89408.671805069913</v>
      </c>
      <c r="R42" s="2473">
        <f t="shared" si="3"/>
        <v>9298501.8677272443</v>
      </c>
      <c r="S42" s="2473">
        <f t="shared" si="8"/>
        <v>9834953.8985576686</v>
      </c>
      <c r="T42" s="2473">
        <f t="shared" si="1"/>
        <v>-1952685.3922227211</v>
      </c>
      <c r="U42" s="2473">
        <f t="shared" si="9"/>
        <v>-2065340.3186971105</v>
      </c>
      <c r="Y42" s="477">
        <v>35</v>
      </c>
      <c r="Z42" s="477">
        <v>202107</v>
      </c>
      <c r="AA42" s="2472"/>
      <c r="AB42" s="2472"/>
      <c r="AC42" s="2472"/>
      <c r="AD42" s="2472"/>
      <c r="AE42" s="2472"/>
      <c r="AF42" s="2472"/>
      <c r="AG42" s="2472"/>
      <c r="AH42" s="2472"/>
      <c r="AI42" s="2472"/>
      <c r="AJ42" s="2472"/>
      <c r="AK42" s="2472"/>
      <c r="AV42" s="2489"/>
      <c r="AW42" s="2490" t="s">
        <v>24</v>
      </c>
      <c r="AX42" s="2491">
        <f t="shared" ref="AX42:BU42" si="13">SUM(AX40:AX41)</f>
        <v>2050631.5096026738</v>
      </c>
      <c r="AY42" s="2491">
        <f t="shared" si="13"/>
        <v>4002670.0447286544</v>
      </c>
      <c r="AZ42" s="2491">
        <f t="shared" si="13"/>
        <v>81289.749490769231</v>
      </c>
      <c r="BA42" s="2491">
        <f t="shared" si="13"/>
        <v>128125.97397549231</v>
      </c>
      <c r="BB42" s="2491">
        <f t="shared" si="13"/>
        <v>444869.7531947571</v>
      </c>
      <c r="BC42" s="2491">
        <f t="shared" si="13"/>
        <v>135928.84579059979</v>
      </c>
      <c r="BD42" s="2491">
        <f t="shared" si="13"/>
        <v>122970.01936840496</v>
      </c>
      <c r="BE42" s="2491">
        <f t="shared" si="13"/>
        <v>94994.339962092839</v>
      </c>
      <c r="BF42" s="2491">
        <f t="shared" si="13"/>
        <v>97844.170160955633</v>
      </c>
      <c r="BG42" s="2491">
        <f t="shared" si="13"/>
        <v>163247.66035437904</v>
      </c>
      <c r="BH42" s="2491">
        <f t="shared" si="13"/>
        <v>138403.84016501042</v>
      </c>
      <c r="BI42" s="2491">
        <f t="shared" si="13"/>
        <v>179217.9941984684</v>
      </c>
      <c r="BJ42" s="2491">
        <f t="shared" si="13"/>
        <v>184594.53402442244</v>
      </c>
      <c r="BK42" s="2491">
        <f t="shared" si="13"/>
        <v>190132.37004515511</v>
      </c>
      <c r="BL42" s="2491">
        <f t="shared" si="13"/>
        <v>195836.34114650975</v>
      </c>
      <c r="BM42" s="2491">
        <f t="shared" si="13"/>
        <v>201711.43138090504</v>
      </c>
      <c r="BN42" s="2491">
        <f t="shared" si="13"/>
        <v>207762.7743223322</v>
      </c>
      <c r="BO42" s="2491">
        <f t="shared" si="13"/>
        <v>213995.65755200214</v>
      </c>
      <c r="BP42" s="2491">
        <f t="shared" si="13"/>
        <v>220415.52727856222</v>
      </c>
      <c r="BQ42" s="2491">
        <f t="shared" si="13"/>
        <v>255902.99309691906</v>
      </c>
      <c r="BR42" s="2491">
        <f t="shared" si="13"/>
        <v>233838.83288982665</v>
      </c>
      <c r="BS42" s="2491">
        <f t="shared" si="13"/>
        <v>240853.99787652143</v>
      </c>
      <c r="BT42" s="2491">
        <f t="shared" si="13"/>
        <v>248079.61781281704</v>
      </c>
      <c r="BU42" s="2491">
        <f t="shared" si="13"/>
        <v>22653.620641751844</v>
      </c>
    </row>
    <row r="43" spans="1:73" ht="14.5">
      <c r="I43" s="2479">
        <v>45688</v>
      </c>
      <c r="J43" s="2510">
        <f>-'G-3.04,5.01 PF AMI'!AE84</f>
        <v>-315594.16877950181</v>
      </c>
      <c r="K43" s="2473">
        <f t="shared" si="2"/>
        <v>32506199.384288698</v>
      </c>
      <c r="L43" s="2473">
        <f t="shared" si="6"/>
        <v>34399764.396965705</v>
      </c>
      <c r="M43" s="2473">
        <f t="shared" si="0"/>
        <v>-6826301.8707006266</v>
      </c>
      <c r="N43" s="2473">
        <f t="shared" si="7"/>
        <v>-7223950.5233627977</v>
      </c>
      <c r="P43" s="2479">
        <v>45688</v>
      </c>
      <c r="Q43" s="2510">
        <f>-'G-3.04,5.01 PF AMI'!AK84</f>
        <v>-89408.671805069913</v>
      </c>
      <c r="R43" s="2473">
        <f t="shared" si="3"/>
        <v>9209093.1959221736</v>
      </c>
      <c r="S43" s="2473">
        <f t="shared" si="8"/>
        <v>9745545.2267525997</v>
      </c>
      <c r="T43" s="2473">
        <f t="shared" si="1"/>
        <v>-1933909.5711436563</v>
      </c>
      <c r="U43" s="2473">
        <f t="shared" si="9"/>
        <v>-2046564.4976180454</v>
      </c>
      <c r="Y43" s="477">
        <v>36</v>
      </c>
      <c r="Z43" s="477">
        <v>202108</v>
      </c>
      <c r="AA43" s="2472"/>
      <c r="AB43" s="2472"/>
      <c r="AC43" s="2472"/>
      <c r="AD43" s="2472"/>
      <c r="AE43" s="2472"/>
      <c r="AF43" s="2472"/>
      <c r="AG43" s="2472"/>
      <c r="AH43" s="2472"/>
      <c r="AI43" s="2472"/>
      <c r="AJ43" s="2472"/>
      <c r="AK43" s="2472"/>
      <c r="AV43" s="1217"/>
      <c r="AX43" s="1197"/>
      <c r="AY43" s="1197"/>
      <c r="AZ43" s="1197"/>
      <c r="BA43" s="1197"/>
      <c r="BB43" s="1197"/>
      <c r="BC43" s="1197"/>
      <c r="BD43" s="1197"/>
      <c r="BE43" s="1197"/>
      <c r="BF43" s="1197"/>
      <c r="BG43" s="1197"/>
      <c r="BH43" s="1197"/>
      <c r="BI43" s="1197"/>
      <c r="BJ43" s="1197"/>
      <c r="BK43" s="1197"/>
      <c r="BL43" s="1197"/>
      <c r="BM43" s="1197"/>
      <c r="BN43" s="1197"/>
      <c r="BO43" s="1197"/>
      <c r="BP43" s="1197"/>
      <c r="BQ43" s="1197"/>
      <c r="BR43" s="1197"/>
      <c r="BS43" s="1197"/>
      <c r="BT43" s="1197"/>
      <c r="BU43" s="1197"/>
    </row>
    <row r="44" spans="1:73" ht="14.5">
      <c r="B44" s="2511" t="s">
        <v>47</v>
      </c>
      <c r="C44" s="2477">
        <v>-1682</v>
      </c>
      <c r="I44" s="2479">
        <v>45716</v>
      </c>
      <c r="J44" s="2510">
        <f>-'G-3.04,5.01 PF AMI'!AE85</f>
        <v>-315594.16877950181</v>
      </c>
      <c r="K44" s="2473">
        <f t="shared" si="2"/>
        <v>32190605.215509195</v>
      </c>
      <c r="L44" s="2473">
        <f t="shared" si="6"/>
        <v>34084170.228186212</v>
      </c>
      <c r="M44" s="2473">
        <f t="shared" si="0"/>
        <v>-6760027.0952569302</v>
      </c>
      <c r="N44" s="2473">
        <f t="shared" si="7"/>
        <v>-7157675.7479191041</v>
      </c>
      <c r="P44" s="2479">
        <v>45716</v>
      </c>
      <c r="Q44" s="2510">
        <f>-'G-3.04,5.01 PF AMI'!AK85</f>
        <v>-89408.671805069913</v>
      </c>
      <c r="R44" s="2473">
        <f t="shared" si="3"/>
        <v>9119684.5241171028</v>
      </c>
      <c r="S44" s="2473">
        <f t="shared" si="8"/>
        <v>9656136.5549475271</v>
      </c>
      <c r="T44" s="2473">
        <f t="shared" si="1"/>
        <v>-1915133.7500645914</v>
      </c>
      <c r="U44" s="2473">
        <f t="shared" si="9"/>
        <v>-2027788.6765389806</v>
      </c>
      <c r="Y44" s="477">
        <v>37</v>
      </c>
      <c r="Z44" s="477">
        <v>202109</v>
      </c>
      <c r="AA44" s="2472"/>
      <c r="AB44" s="2472"/>
      <c r="AC44" s="2472"/>
      <c r="AD44" s="2472"/>
      <c r="AE44" s="2472"/>
      <c r="AF44" s="2472"/>
      <c r="AG44" s="2472"/>
      <c r="AH44" s="2472"/>
      <c r="AI44" s="2472"/>
      <c r="AJ44" s="2472"/>
      <c r="AK44" s="2472"/>
      <c r="AV44" s="1217" t="s">
        <v>978</v>
      </c>
      <c r="AW44" s="2512" t="s">
        <v>2231</v>
      </c>
      <c r="AX44" s="2513">
        <f t="shared" ref="AX44:BU44" si="14">SUM(AX11,AX16,AX22,AX27,AX30,AX37,AX42)</f>
        <v>126381946.45338751</v>
      </c>
      <c r="AY44" s="2513">
        <f t="shared" si="14"/>
        <v>280867688.36671168</v>
      </c>
      <c r="AZ44" s="2514">
        <f t="shared" si="14"/>
        <v>361464.74949076923</v>
      </c>
      <c r="BA44" s="2514">
        <f t="shared" si="14"/>
        <v>497878.7451754926</v>
      </c>
      <c r="BB44" s="2514">
        <f t="shared" si="14"/>
        <v>1025408.4113118204</v>
      </c>
      <c r="BC44" s="2514">
        <f t="shared" si="14"/>
        <v>3243142.8209745623</v>
      </c>
      <c r="BD44" s="2514">
        <f t="shared" si="14"/>
        <v>8190140.9398079664</v>
      </c>
      <c r="BE44" s="2514">
        <f t="shared" si="14"/>
        <v>8500698.1220863946</v>
      </c>
      <c r="BF44" s="2514">
        <f t="shared" si="14"/>
        <v>8854580.6055106446</v>
      </c>
      <c r="BG44" s="2514">
        <f t="shared" si="14"/>
        <v>12754415.927312931</v>
      </c>
      <c r="BH44" s="2514">
        <f t="shared" si="14"/>
        <v>13952521.49539957</v>
      </c>
      <c r="BI44" s="2514">
        <f t="shared" si="14"/>
        <v>14540967.65825218</v>
      </c>
      <c r="BJ44" s="2514">
        <f t="shared" si="14"/>
        <v>15212811.394486992</v>
      </c>
      <c r="BK44" s="2514">
        <f t="shared" si="14"/>
        <v>15829429.904757665</v>
      </c>
      <c r="BL44" s="2514">
        <f t="shared" si="14"/>
        <v>16471212.62612965</v>
      </c>
      <c r="BM44" s="2514">
        <f t="shared" si="14"/>
        <v>17138360.179178424</v>
      </c>
      <c r="BN44" s="2514">
        <f t="shared" si="14"/>
        <v>17649054.587178882</v>
      </c>
      <c r="BO44" s="2514">
        <f t="shared" si="14"/>
        <v>18366189.081199676</v>
      </c>
      <c r="BP44" s="2514">
        <f t="shared" si="14"/>
        <v>19112429.287298188</v>
      </c>
      <c r="BQ44" s="2514">
        <f t="shared" si="14"/>
        <v>19917231.184360646</v>
      </c>
      <c r="BR44" s="2514">
        <f t="shared" si="14"/>
        <v>20685364.12507049</v>
      </c>
      <c r="BS44" s="2514">
        <f t="shared" si="14"/>
        <v>21557721.348049998</v>
      </c>
      <c r="BT44" s="2514">
        <f t="shared" si="14"/>
        <v>22498895.591717657</v>
      </c>
      <c r="BU44" s="2514">
        <f t="shared" si="14"/>
        <v>4507769.581961127</v>
      </c>
    </row>
    <row r="45" spans="1:73" ht="14.5">
      <c r="B45" s="2511" t="s">
        <v>1712</v>
      </c>
      <c r="C45" s="2485">
        <f>C18/1000-C44</f>
        <v>-389.65900000000011</v>
      </c>
      <c r="I45" s="2479">
        <v>45747</v>
      </c>
      <c r="J45" s="2510">
        <f>-'G-3.04,5.01 PF AMI'!AE86</f>
        <v>-315594.16877950181</v>
      </c>
      <c r="K45" s="2473">
        <f t="shared" si="2"/>
        <v>31875011.046729691</v>
      </c>
      <c r="L45" s="2473">
        <f t="shared" si="6"/>
        <v>33768576.059406705</v>
      </c>
      <c r="M45" s="2473">
        <f t="shared" si="0"/>
        <v>-6693752.3198132347</v>
      </c>
      <c r="N45" s="2473">
        <f t="shared" si="7"/>
        <v>-7091400.9724754086</v>
      </c>
      <c r="P45" s="2479">
        <v>45747</v>
      </c>
      <c r="Q45" s="2510">
        <f>-'G-3.04,5.01 PF AMI'!AK86</f>
        <v>-89408.671805069913</v>
      </c>
      <c r="R45" s="2473">
        <f t="shared" si="3"/>
        <v>9030275.8523120321</v>
      </c>
      <c r="S45" s="2473">
        <f t="shared" si="8"/>
        <v>9566727.8831424583</v>
      </c>
      <c r="T45" s="2473">
        <f t="shared" si="1"/>
        <v>-1896357.9289855268</v>
      </c>
      <c r="U45" s="2473">
        <f t="shared" si="9"/>
        <v>-2009012.8554599157</v>
      </c>
      <c r="Y45" s="477">
        <v>38</v>
      </c>
      <c r="Z45" s="477">
        <v>202110</v>
      </c>
      <c r="AA45" s="2472">
        <f>AA1/143</f>
        <v>149003.71328671329</v>
      </c>
      <c r="AB45" s="2472">
        <f>AB1/143</f>
        <v>15855.748251748251</v>
      </c>
      <c r="AC45" s="2472">
        <f>AC1/143</f>
        <v>208146.90300699303</v>
      </c>
      <c r="AD45" s="2472">
        <f>AD1/143</f>
        <v>-15785.202797202797</v>
      </c>
      <c r="AE45" s="2472">
        <f t="shared" ref="AE45:AE76" si="15">SUM(AA45:AD45)</f>
        <v>357221.16174825176</v>
      </c>
      <c r="AF45" s="2472"/>
      <c r="AG45" s="2472">
        <f>AG1/143</f>
        <v>30843.139860139861</v>
      </c>
      <c r="AH45" s="2472">
        <f>AH1/143</f>
        <v>5777.4055944055945</v>
      </c>
      <c r="AI45" s="2472">
        <f>AI1/143</f>
        <v>72453.20006993007</v>
      </c>
      <c r="AJ45" s="2472">
        <f>AJ1/143</f>
        <v>-1059.4055944055945</v>
      </c>
      <c r="AK45" s="2472">
        <f t="shared" ref="AK45:AK60" si="16">SUM(AG45:AJ45)</f>
        <v>108014.33993006992</v>
      </c>
      <c r="AV45" s="1217"/>
      <c r="AW45" s="2515" t="s">
        <v>2232</v>
      </c>
      <c r="AX45" s="2516">
        <f>SUM(AX19:AX21,AX26,AX30,AX33:AX36,AX41)</f>
        <v>25063196.537639797</v>
      </c>
      <c r="AY45" s="2516">
        <f t="shared" ref="AY45:BU45" si="17">SUM(AY14,AY19:AY21,AY26,AY30,AY33:AY36,AY41)</f>
        <v>78036737.116697103</v>
      </c>
      <c r="AZ45" s="2500">
        <f t="shared" si="17"/>
        <v>32580</v>
      </c>
      <c r="BA45" s="2500">
        <f t="shared" si="17"/>
        <v>77954.932000000001</v>
      </c>
      <c r="BB45" s="2500">
        <f t="shared" si="17"/>
        <v>80293.579960000003</v>
      </c>
      <c r="BC45" s="2500">
        <f t="shared" si="17"/>
        <v>813630.00455878652</v>
      </c>
      <c r="BD45" s="2500">
        <f t="shared" si="17"/>
        <v>1964877.4762758007</v>
      </c>
      <c r="BE45" s="2500">
        <f t="shared" si="17"/>
        <v>2139981.6831892226</v>
      </c>
      <c r="BF45" s="2500">
        <f t="shared" si="17"/>
        <v>2338106.3803563048</v>
      </c>
      <c r="BG45" s="2500">
        <f t="shared" si="17"/>
        <v>3627937.6861876813</v>
      </c>
      <c r="BH45" s="2500">
        <f t="shared" si="17"/>
        <v>3771456.1781395813</v>
      </c>
      <c r="BI45" s="2500">
        <f t="shared" si="17"/>
        <v>3957279.3201213949</v>
      </c>
      <c r="BJ45" s="2500">
        <f t="shared" si="17"/>
        <v>4210334.6293687671</v>
      </c>
      <c r="BK45" s="2500">
        <f t="shared" si="17"/>
        <v>4391052.7497416362</v>
      </c>
      <c r="BL45" s="2500">
        <f t="shared" si="17"/>
        <v>4578799.223515016</v>
      </c>
      <c r="BM45" s="2500">
        <f t="shared" si="17"/>
        <v>4773824.0638004858</v>
      </c>
      <c r="BN45" s="2500">
        <f t="shared" si="17"/>
        <v>4976537.1287797866</v>
      </c>
      <c r="BO45" s="2500">
        <f t="shared" si="17"/>
        <v>5187088.5107722022</v>
      </c>
      <c r="BP45" s="2500">
        <f t="shared" si="17"/>
        <v>5405938.9407251095</v>
      </c>
      <c r="BQ45" s="2500">
        <f t="shared" si="17"/>
        <v>5633230.2087405873</v>
      </c>
      <c r="BR45" s="2500">
        <f t="shared" si="17"/>
        <v>5869475.6012752755</v>
      </c>
      <c r="BS45" s="2500">
        <f t="shared" si="17"/>
        <v>6147859.2939550094</v>
      </c>
      <c r="BT45" s="2500">
        <f t="shared" si="17"/>
        <v>6437232.3815572774</v>
      </c>
      <c r="BU45" s="2500">
        <f t="shared" si="17"/>
        <v>1621267.1436771918</v>
      </c>
    </row>
    <row r="46" spans="1:73" ht="14.5">
      <c r="B46" s="2511" t="s">
        <v>2233</v>
      </c>
      <c r="C46" s="2517">
        <f>SUM(C44:C45)</f>
        <v>-2071.6590000000001</v>
      </c>
      <c r="I46" s="2479">
        <v>45777</v>
      </c>
      <c r="J46" s="2510">
        <f>-'G-3.04,5.01 PF AMI'!AE87</f>
        <v>-315594.16877950181</v>
      </c>
      <c r="K46" s="2473">
        <f t="shared" si="2"/>
        <v>31559416.877950188</v>
      </c>
      <c r="L46" s="2473">
        <f t="shared" si="6"/>
        <v>33452981.890627205</v>
      </c>
      <c r="M46" s="2473">
        <f t="shared" si="0"/>
        <v>-6627477.5443695392</v>
      </c>
      <c r="N46" s="2473">
        <f t="shared" si="7"/>
        <v>-7025126.1970317131</v>
      </c>
      <c r="P46" s="2479">
        <v>45777</v>
      </c>
      <c r="Q46" s="2510">
        <f>-'G-3.04,5.01 PF AMI'!AK87</f>
        <v>-89408.671805069913</v>
      </c>
      <c r="R46" s="2473">
        <f t="shared" si="3"/>
        <v>8940867.1805069614</v>
      </c>
      <c r="S46" s="2473">
        <f t="shared" si="8"/>
        <v>9477319.2113373857</v>
      </c>
      <c r="T46" s="2473">
        <f t="shared" si="1"/>
        <v>-1877582.1079064619</v>
      </c>
      <c r="U46" s="2473">
        <f t="shared" si="9"/>
        <v>-1990237.0343808513</v>
      </c>
      <c r="Y46" s="477">
        <v>39</v>
      </c>
      <c r="Z46" s="477">
        <v>202111</v>
      </c>
      <c r="AA46" s="2472">
        <f t="shared" ref="AA46:AD59" si="18">AA45</f>
        <v>149003.71328671329</v>
      </c>
      <c r="AB46" s="2472">
        <f t="shared" si="18"/>
        <v>15855.748251748251</v>
      </c>
      <c r="AC46" s="2472">
        <f t="shared" si="18"/>
        <v>208146.90300699303</v>
      </c>
      <c r="AD46" s="2472">
        <f t="shared" si="18"/>
        <v>-15785.202797202797</v>
      </c>
      <c r="AE46" s="2472">
        <f t="shared" si="15"/>
        <v>357221.16174825176</v>
      </c>
      <c r="AF46" s="2472"/>
      <c r="AG46" s="2472">
        <f t="shared" ref="AG46:AJ59" si="19">AG45</f>
        <v>30843.139860139861</v>
      </c>
      <c r="AH46" s="2472">
        <f t="shared" si="19"/>
        <v>5777.4055944055945</v>
      </c>
      <c r="AI46" s="2472">
        <f t="shared" si="19"/>
        <v>72453.20006993007</v>
      </c>
      <c r="AJ46" s="2472">
        <f t="shared" si="19"/>
        <v>-1059.4055944055945</v>
      </c>
      <c r="AK46" s="2472">
        <f t="shared" si="16"/>
        <v>108014.33993006992</v>
      </c>
      <c r="AW46" s="2518" t="s">
        <v>2234</v>
      </c>
      <c r="AX46" s="2519">
        <f t="shared" ref="AX46:BU46" si="20">AX44-AX45</f>
        <v>101318749.91574772</v>
      </c>
      <c r="AY46" s="2519">
        <f t="shared" si="20"/>
        <v>202830951.25001457</v>
      </c>
      <c r="AZ46" s="2520">
        <f t="shared" si="20"/>
        <v>328884.74949076923</v>
      </c>
      <c r="BA46" s="2520">
        <f t="shared" si="20"/>
        <v>419923.81317549257</v>
      </c>
      <c r="BB46" s="2520">
        <f t="shared" si="20"/>
        <v>945114.83135182038</v>
      </c>
      <c r="BC46" s="2520">
        <f t="shared" si="20"/>
        <v>2429512.8164157756</v>
      </c>
      <c r="BD46" s="2520">
        <f t="shared" si="20"/>
        <v>6225263.4635321656</v>
      </c>
      <c r="BE46" s="2520">
        <f t="shared" si="20"/>
        <v>6360716.438897172</v>
      </c>
      <c r="BF46" s="2520">
        <f t="shared" si="20"/>
        <v>6516474.2251543403</v>
      </c>
      <c r="BG46" s="2520">
        <f t="shared" si="20"/>
        <v>9126478.2411252502</v>
      </c>
      <c r="BH46" s="2520">
        <f t="shared" si="20"/>
        <v>10181065.31725999</v>
      </c>
      <c r="BI46" s="2520">
        <f t="shared" si="20"/>
        <v>10583688.338130785</v>
      </c>
      <c r="BJ46" s="2520">
        <f t="shared" si="20"/>
        <v>11002476.765118225</v>
      </c>
      <c r="BK46" s="2520">
        <f t="shared" si="20"/>
        <v>11438377.155016029</v>
      </c>
      <c r="BL46" s="2520">
        <f t="shared" si="20"/>
        <v>11892413.402614634</v>
      </c>
      <c r="BM46" s="2520">
        <f t="shared" si="20"/>
        <v>12364536.115377938</v>
      </c>
      <c r="BN46" s="2520">
        <f t="shared" si="20"/>
        <v>12672517.458399095</v>
      </c>
      <c r="BO46" s="2520">
        <f t="shared" si="20"/>
        <v>13179100.570427474</v>
      </c>
      <c r="BP46" s="2520">
        <f t="shared" si="20"/>
        <v>13706490.346573077</v>
      </c>
      <c r="BQ46" s="2520">
        <f t="shared" si="20"/>
        <v>14284000.975620057</v>
      </c>
      <c r="BR46" s="2520">
        <f t="shared" si="20"/>
        <v>14815888.523795214</v>
      </c>
      <c r="BS46" s="2520">
        <f t="shared" si="20"/>
        <v>15409862.054094989</v>
      </c>
      <c r="BT46" s="2520">
        <f t="shared" si="20"/>
        <v>16061663.210160378</v>
      </c>
      <c r="BU46" s="2520">
        <f t="shared" si="20"/>
        <v>2886502.4382839352</v>
      </c>
    </row>
    <row r="47" spans="1:73" ht="14.5">
      <c r="I47" s="2479">
        <v>45808</v>
      </c>
      <c r="J47" s="2510">
        <f>-'G-3.04,5.01 PF AMI'!AE88</f>
        <v>-315594.16877950181</v>
      </c>
      <c r="K47" s="2473">
        <f t="shared" si="2"/>
        <v>31243822.709170684</v>
      </c>
      <c r="L47" s="2473">
        <f t="shared" si="6"/>
        <v>33137387.721847702</v>
      </c>
      <c r="M47" s="2473">
        <f t="shared" si="0"/>
        <v>-6561202.7689258438</v>
      </c>
      <c r="N47" s="2473">
        <f t="shared" si="7"/>
        <v>-6958851.4215880176</v>
      </c>
      <c r="P47" s="2479">
        <v>45808</v>
      </c>
      <c r="Q47" s="2510">
        <f>-'G-3.04,5.01 PF AMI'!AK88</f>
        <v>-89408.671805069913</v>
      </c>
      <c r="R47" s="2473">
        <f t="shared" si="3"/>
        <v>8851458.5087018907</v>
      </c>
      <c r="S47" s="2473">
        <f t="shared" si="8"/>
        <v>9387910.5395323131</v>
      </c>
      <c r="T47" s="2473">
        <f t="shared" si="1"/>
        <v>-1858806.2868273971</v>
      </c>
      <c r="U47" s="2473">
        <f t="shared" si="9"/>
        <v>-1971461.213301786</v>
      </c>
      <c r="Y47" s="477">
        <v>40</v>
      </c>
      <c r="Z47" s="477">
        <v>202112</v>
      </c>
      <c r="AA47" s="2472">
        <f t="shared" si="18"/>
        <v>149003.71328671329</v>
      </c>
      <c r="AB47" s="2472">
        <f t="shared" si="18"/>
        <v>15855.748251748251</v>
      </c>
      <c r="AC47" s="2472">
        <f t="shared" si="18"/>
        <v>208146.90300699303</v>
      </c>
      <c r="AD47" s="2472">
        <f t="shared" si="18"/>
        <v>-15785.202797202797</v>
      </c>
      <c r="AE47" s="2472">
        <f t="shared" si="15"/>
        <v>357221.16174825176</v>
      </c>
      <c r="AF47" s="2472"/>
      <c r="AG47" s="2472">
        <f t="shared" si="19"/>
        <v>30843.139860139861</v>
      </c>
      <c r="AH47" s="2472">
        <f t="shared" si="19"/>
        <v>5777.4055944055945</v>
      </c>
      <c r="AI47" s="2472">
        <f t="shared" si="19"/>
        <v>72453.20006993007</v>
      </c>
      <c r="AJ47" s="2472">
        <f t="shared" si="19"/>
        <v>-1059.4055944055945</v>
      </c>
      <c r="AK47" s="2472">
        <f t="shared" si="16"/>
        <v>108014.33993006992</v>
      </c>
      <c r="AW47" s="1217"/>
      <c r="AX47" s="2521"/>
      <c r="AY47" s="2521"/>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row>
    <row r="48" spans="1:73" ht="14.5">
      <c r="I48" s="2479">
        <v>45838</v>
      </c>
      <c r="J48" s="2510">
        <f>-'G-3.04,5.01 PF AMI'!AE89</f>
        <v>-315594.16877950181</v>
      </c>
      <c r="K48" s="2473">
        <f t="shared" si="2"/>
        <v>30928228.540391181</v>
      </c>
      <c r="L48" s="2473">
        <f t="shared" si="6"/>
        <v>32821793.553068202</v>
      </c>
      <c r="M48" s="2473">
        <f t="shared" si="0"/>
        <v>-6494927.9934821473</v>
      </c>
      <c r="N48" s="2473">
        <f t="shared" si="7"/>
        <v>-6892576.6461443221</v>
      </c>
      <c r="P48" s="2479">
        <v>45838</v>
      </c>
      <c r="Q48" s="2510">
        <f>-'G-3.04,5.01 PF AMI'!AK89</f>
        <v>-89408.671805069913</v>
      </c>
      <c r="R48" s="2473">
        <f t="shared" si="3"/>
        <v>8762049.83689682</v>
      </c>
      <c r="S48" s="2473">
        <f t="shared" si="8"/>
        <v>9298501.8677272443</v>
      </c>
      <c r="T48" s="2473">
        <f t="shared" si="1"/>
        <v>-1840030.4657483322</v>
      </c>
      <c r="U48" s="2473">
        <f t="shared" si="9"/>
        <v>-1952685.3922227209</v>
      </c>
      <c r="Y48" s="477">
        <v>41</v>
      </c>
      <c r="Z48" s="477">
        <v>202201</v>
      </c>
      <c r="AA48" s="2472">
        <f t="shared" si="18"/>
        <v>149003.71328671329</v>
      </c>
      <c r="AB48" s="2472">
        <f t="shared" si="18"/>
        <v>15855.748251748251</v>
      </c>
      <c r="AC48" s="2472">
        <f t="shared" si="18"/>
        <v>208146.90300699303</v>
      </c>
      <c r="AD48" s="2472">
        <f t="shared" si="18"/>
        <v>-15785.202797202797</v>
      </c>
      <c r="AE48" s="2472">
        <f t="shared" si="15"/>
        <v>357221.16174825176</v>
      </c>
      <c r="AF48" s="2472"/>
      <c r="AG48" s="2472">
        <f t="shared" si="19"/>
        <v>30843.139860139861</v>
      </c>
      <c r="AH48" s="2472">
        <f t="shared" si="19"/>
        <v>5777.4055944055945</v>
      </c>
      <c r="AI48" s="2472">
        <f t="shared" si="19"/>
        <v>72453.20006993007</v>
      </c>
      <c r="AJ48" s="2472">
        <f t="shared" si="19"/>
        <v>-1059.4055944055945</v>
      </c>
      <c r="AK48" s="2472">
        <f t="shared" si="16"/>
        <v>108014.33993006992</v>
      </c>
      <c r="AV48" s="477" t="s">
        <v>2235</v>
      </c>
      <c r="AW48" s="2518" t="s">
        <v>2236</v>
      </c>
      <c r="AX48" s="2519">
        <v>90363790.632169619</v>
      </c>
      <c r="AY48" s="2519">
        <v>208795312.09771231</v>
      </c>
      <c r="AZ48" s="1197"/>
      <c r="BA48" s="1197"/>
      <c r="BB48" s="1197"/>
      <c r="BC48" s="1197"/>
      <c r="BD48" s="1197"/>
      <c r="BE48" s="1197"/>
      <c r="BF48" s="1197"/>
      <c r="BG48" s="1197"/>
      <c r="BH48" s="1197"/>
      <c r="BI48" s="1197"/>
      <c r="BJ48" s="1197"/>
      <c r="BK48" s="1197"/>
      <c r="BL48" s="1197"/>
      <c r="BM48" s="1197"/>
      <c r="BN48" s="1197"/>
      <c r="BO48" s="1197"/>
      <c r="BP48" s="1197"/>
      <c r="BQ48" s="1197"/>
      <c r="BR48" s="1197"/>
      <c r="BS48" s="1197"/>
      <c r="BT48" s="1197"/>
      <c r="BU48" s="1197"/>
    </row>
    <row r="49" spans="9:62">
      <c r="I49" s="2479">
        <v>45869</v>
      </c>
      <c r="J49" s="2510">
        <f>-'G-3.04,5.01 PF AMI'!AE90</f>
        <v>-315594.16877950181</v>
      </c>
      <c r="K49" s="2473">
        <f t="shared" si="2"/>
        <v>30612634.371611677</v>
      </c>
      <c r="L49" s="2473">
        <f t="shared" si="6"/>
        <v>32506199.384288702</v>
      </c>
      <c r="M49" s="2473">
        <f t="shared" si="0"/>
        <v>-6428653.2180384519</v>
      </c>
      <c r="N49" s="2473">
        <f t="shared" si="7"/>
        <v>-6826301.8707006266</v>
      </c>
      <c r="P49" s="2479">
        <v>45869</v>
      </c>
      <c r="Q49" s="2510">
        <f>-'G-3.04,5.01 PF AMI'!AK90</f>
        <v>-89408.671805069913</v>
      </c>
      <c r="R49" s="2473">
        <f t="shared" si="3"/>
        <v>8672641.1650917493</v>
      </c>
      <c r="S49" s="2473">
        <f t="shared" si="8"/>
        <v>9209093.1959221717</v>
      </c>
      <c r="T49" s="2473">
        <f t="shared" si="1"/>
        <v>-1821254.6446692673</v>
      </c>
      <c r="U49" s="2473">
        <f t="shared" si="9"/>
        <v>-1933909.571143656</v>
      </c>
      <c r="Y49" s="477">
        <v>42</v>
      </c>
      <c r="Z49" s="477">
        <v>202202</v>
      </c>
      <c r="AA49" s="2472">
        <f t="shared" si="18"/>
        <v>149003.71328671329</v>
      </c>
      <c r="AB49" s="2472">
        <f t="shared" si="18"/>
        <v>15855.748251748251</v>
      </c>
      <c r="AC49" s="2472">
        <f t="shared" si="18"/>
        <v>208146.90300699303</v>
      </c>
      <c r="AD49" s="2472">
        <f t="shared" si="18"/>
        <v>-15785.202797202797</v>
      </c>
      <c r="AE49" s="2472">
        <f t="shared" si="15"/>
        <v>357221.16174825176</v>
      </c>
      <c r="AF49" s="2472"/>
      <c r="AG49" s="2472">
        <f t="shared" si="19"/>
        <v>30843.139860139861</v>
      </c>
      <c r="AH49" s="2472">
        <f t="shared" si="19"/>
        <v>5777.4055944055945</v>
      </c>
      <c r="AI49" s="2472">
        <f t="shared" si="19"/>
        <v>72453.20006993007</v>
      </c>
      <c r="AJ49" s="2472">
        <f t="shared" si="19"/>
        <v>-1059.4055944055945</v>
      </c>
      <c r="AK49" s="2472">
        <f t="shared" si="16"/>
        <v>108014.33993006992</v>
      </c>
    </row>
    <row r="50" spans="9:62" ht="14.5">
      <c r="I50" s="2479">
        <v>45900</v>
      </c>
      <c r="J50" s="2510">
        <f>-'G-3.04,5.01 PF AMI'!AE91</f>
        <v>-315594.16877950181</v>
      </c>
      <c r="K50" s="2473">
        <f t="shared" si="2"/>
        <v>30297040.202832174</v>
      </c>
      <c r="L50" s="2473">
        <f t="shared" si="6"/>
        <v>32190605.215509195</v>
      </c>
      <c r="M50" s="2473">
        <f t="shared" si="0"/>
        <v>-6362378.4425947564</v>
      </c>
      <c r="N50" s="2473">
        <f t="shared" si="7"/>
        <v>-6760027.0952569311</v>
      </c>
      <c r="P50" s="2479">
        <v>45900</v>
      </c>
      <c r="Q50" s="2510">
        <f>-'G-3.04,5.01 PF AMI'!AK91</f>
        <v>-89408.671805069913</v>
      </c>
      <c r="R50" s="2473">
        <f t="shared" si="3"/>
        <v>8583232.4932866786</v>
      </c>
      <c r="S50" s="2473">
        <f t="shared" si="8"/>
        <v>9119684.5241171028</v>
      </c>
      <c r="T50" s="2473">
        <f t="shared" si="1"/>
        <v>-1802478.8235902025</v>
      </c>
      <c r="U50" s="2473">
        <f t="shared" si="9"/>
        <v>-1915133.7500645916</v>
      </c>
      <c r="Y50" s="477">
        <v>43</v>
      </c>
      <c r="Z50" s="477">
        <v>202203</v>
      </c>
      <c r="AA50" s="2472">
        <f t="shared" si="18"/>
        <v>149003.71328671329</v>
      </c>
      <c r="AB50" s="2472">
        <f t="shared" si="18"/>
        <v>15855.748251748251</v>
      </c>
      <c r="AC50" s="2472">
        <f t="shared" si="18"/>
        <v>208146.90300699303</v>
      </c>
      <c r="AD50" s="2472">
        <f t="shared" si="18"/>
        <v>-15785.202797202797</v>
      </c>
      <c r="AE50" s="2472">
        <f t="shared" si="15"/>
        <v>357221.16174825176</v>
      </c>
      <c r="AF50" s="2472"/>
      <c r="AG50" s="2472">
        <f t="shared" si="19"/>
        <v>30843.139860139861</v>
      </c>
      <c r="AH50" s="2472">
        <f t="shared" si="19"/>
        <v>5777.4055944055945</v>
      </c>
      <c r="AI50" s="2472">
        <f t="shared" si="19"/>
        <v>72453.20006993007</v>
      </c>
      <c r="AJ50" s="2472">
        <f t="shared" si="19"/>
        <v>-1059.4055944055945</v>
      </c>
      <c r="AK50" s="2472">
        <f t="shared" si="16"/>
        <v>108014.33993006992</v>
      </c>
      <c r="AW50" s="2515" t="s">
        <v>2237</v>
      </c>
      <c r="AX50" s="2516">
        <f>AX44+AX48</f>
        <v>216745737.08555713</v>
      </c>
      <c r="AY50" s="2516">
        <f>AY44+AY48</f>
        <v>489663000.46442401</v>
      </c>
    </row>
    <row r="51" spans="9:62">
      <c r="I51" s="2479">
        <v>45930</v>
      </c>
      <c r="J51" s="2510">
        <f>-'G-3.04,5.01 PF AMI'!AE92</f>
        <v>-315594.16877950181</v>
      </c>
      <c r="K51" s="2473">
        <f t="shared" si="2"/>
        <v>29981446.03405267</v>
      </c>
      <c r="L51" s="2473">
        <f t="shared" si="6"/>
        <v>31875011.046729688</v>
      </c>
      <c r="M51" s="2473">
        <f t="shared" si="0"/>
        <v>-6296103.6671510609</v>
      </c>
      <c r="N51" s="2473">
        <f t="shared" si="7"/>
        <v>-6693752.3198132357</v>
      </c>
      <c r="P51" s="2479">
        <v>45930</v>
      </c>
      <c r="Q51" s="2510">
        <f>-'G-3.04,5.01 PF AMI'!AK92</f>
        <v>-89408.671805069913</v>
      </c>
      <c r="R51" s="2473">
        <f t="shared" si="3"/>
        <v>8493823.8214816079</v>
      </c>
      <c r="S51" s="2473">
        <f t="shared" si="8"/>
        <v>9030275.852312034</v>
      </c>
      <c r="T51" s="2473">
        <f t="shared" si="1"/>
        <v>-1783703.0025111376</v>
      </c>
      <c r="U51" s="2473">
        <f t="shared" si="9"/>
        <v>-1896357.928985527</v>
      </c>
      <c r="Y51" s="477">
        <v>44</v>
      </c>
      <c r="Z51" s="477">
        <v>202204</v>
      </c>
      <c r="AA51" s="2472">
        <f t="shared" si="18"/>
        <v>149003.71328671329</v>
      </c>
      <c r="AB51" s="2472">
        <f t="shared" si="18"/>
        <v>15855.748251748251</v>
      </c>
      <c r="AC51" s="2472">
        <f t="shared" si="18"/>
        <v>208146.90300699303</v>
      </c>
      <c r="AD51" s="2472">
        <f t="shared" si="18"/>
        <v>-15785.202797202797</v>
      </c>
      <c r="AE51" s="2472">
        <f t="shared" si="15"/>
        <v>357221.16174825176</v>
      </c>
      <c r="AF51" s="2472"/>
      <c r="AG51" s="2472">
        <f t="shared" si="19"/>
        <v>30843.139860139861</v>
      </c>
      <c r="AH51" s="2472">
        <f t="shared" si="19"/>
        <v>5777.4055944055945</v>
      </c>
      <c r="AI51" s="2472">
        <f t="shared" si="19"/>
        <v>72453.20006993007</v>
      </c>
      <c r="AJ51" s="2472">
        <f t="shared" si="19"/>
        <v>-1059.4055944055945</v>
      </c>
      <c r="AK51" s="2472">
        <f t="shared" si="16"/>
        <v>108014.33993006992</v>
      </c>
    </row>
    <row r="52" spans="9:62">
      <c r="I52" s="2479">
        <v>45961</v>
      </c>
      <c r="J52" s="2510">
        <f>-'G-3.04,5.01 PF AMI'!AE93</f>
        <v>-315594.16877950181</v>
      </c>
      <c r="K52" s="2473">
        <f t="shared" si="2"/>
        <v>29665851.865273166</v>
      </c>
      <c r="L52" s="2473">
        <f t="shared" si="6"/>
        <v>31559416.877950188</v>
      </c>
      <c r="M52" s="2473">
        <f t="shared" si="0"/>
        <v>-6229828.8917073645</v>
      </c>
      <c r="N52" s="2473">
        <f t="shared" si="7"/>
        <v>-6627477.5443695402</v>
      </c>
      <c r="P52" s="2479">
        <v>45961</v>
      </c>
      <c r="Q52" s="2510">
        <f>-'G-3.04,5.01 PF AMI'!AK93</f>
        <v>-89408.671805069913</v>
      </c>
      <c r="R52" s="2473">
        <f t="shared" si="3"/>
        <v>8404415.1496765371</v>
      </c>
      <c r="S52" s="2473">
        <f t="shared" si="8"/>
        <v>8940867.1805069614</v>
      </c>
      <c r="T52" s="2473">
        <f t="shared" si="1"/>
        <v>-1764927.1814320728</v>
      </c>
      <c r="U52" s="2473">
        <f t="shared" si="9"/>
        <v>-1877582.1079064619</v>
      </c>
      <c r="Y52" s="477">
        <v>45</v>
      </c>
      <c r="Z52" s="477">
        <v>202205</v>
      </c>
      <c r="AA52" s="2472">
        <f t="shared" si="18"/>
        <v>149003.71328671329</v>
      </c>
      <c r="AB52" s="2472">
        <f t="shared" si="18"/>
        <v>15855.748251748251</v>
      </c>
      <c r="AC52" s="2472">
        <f t="shared" si="18"/>
        <v>208146.90300699303</v>
      </c>
      <c r="AD52" s="2472">
        <f t="shared" si="18"/>
        <v>-15785.202797202797</v>
      </c>
      <c r="AE52" s="2472">
        <f t="shared" si="15"/>
        <v>357221.16174825176</v>
      </c>
      <c r="AF52" s="2472"/>
      <c r="AG52" s="2472">
        <f t="shared" si="19"/>
        <v>30843.139860139861</v>
      </c>
      <c r="AH52" s="2472">
        <f t="shared" si="19"/>
        <v>5777.4055944055945</v>
      </c>
      <c r="AI52" s="2472">
        <f t="shared" si="19"/>
        <v>72453.20006993007</v>
      </c>
      <c r="AJ52" s="2472">
        <f t="shared" si="19"/>
        <v>-1059.4055944055945</v>
      </c>
      <c r="AK52" s="2472">
        <f t="shared" si="16"/>
        <v>108014.33993006992</v>
      </c>
      <c r="AX52" s="1197"/>
    </row>
    <row r="53" spans="9:62">
      <c r="I53" s="2479">
        <v>45991</v>
      </c>
      <c r="J53" s="2510">
        <f>-'G-3.04,5.01 PF AMI'!AE94</f>
        <v>-315594.16877950181</v>
      </c>
      <c r="K53" s="2473">
        <f t="shared" si="2"/>
        <v>29350257.696493663</v>
      </c>
      <c r="L53" s="2473">
        <f t="shared" si="6"/>
        <v>31243822.709170684</v>
      </c>
      <c r="M53" s="2473">
        <f t="shared" si="0"/>
        <v>-6163554.116263669</v>
      </c>
      <c r="N53" s="2473">
        <f t="shared" si="7"/>
        <v>-6561202.7689258447</v>
      </c>
      <c r="P53" s="2479">
        <v>45991</v>
      </c>
      <c r="Q53" s="2510">
        <f>-'G-3.04,5.01 PF AMI'!AK94</f>
        <v>-89408.671805069913</v>
      </c>
      <c r="R53" s="2473">
        <f t="shared" si="3"/>
        <v>8315006.4778714674</v>
      </c>
      <c r="S53" s="2473">
        <f t="shared" si="8"/>
        <v>8851458.5087018907</v>
      </c>
      <c r="T53" s="2473">
        <f t="shared" si="1"/>
        <v>-1746151.3603530081</v>
      </c>
      <c r="U53" s="2473">
        <f t="shared" si="9"/>
        <v>-1858806.2868273968</v>
      </c>
      <c r="Y53" s="477">
        <v>46</v>
      </c>
      <c r="Z53" s="477">
        <v>202206</v>
      </c>
      <c r="AA53" s="2472">
        <f t="shared" si="18"/>
        <v>149003.71328671329</v>
      </c>
      <c r="AB53" s="2472">
        <f t="shared" si="18"/>
        <v>15855.748251748251</v>
      </c>
      <c r="AC53" s="2472">
        <f t="shared" si="18"/>
        <v>208146.90300699303</v>
      </c>
      <c r="AD53" s="2472">
        <f t="shared" si="18"/>
        <v>-15785.202797202797</v>
      </c>
      <c r="AE53" s="2472">
        <f t="shared" si="15"/>
        <v>357221.16174825176</v>
      </c>
      <c r="AF53" s="2472"/>
      <c r="AG53" s="2472">
        <f t="shared" si="19"/>
        <v>30843.139860139861</v>
      </c>
      <c r="AH53" s="2472">
        <f t="shared" si="19"/>
        <v>5777.4055944055945</v>
      </c>
      <c r="AI53" s="2472">
        <f t="shared" si="19"/>
        <v>72453.20006993007</v>
      </c>
      <c r="AJ53" s="2472">
        <f t="shared" si="19"/>
        <v>-1059.4055944055945</v>
      </c>
      <c r="AK53" s="2472">
        <f t="shared" si="16"/>
        <v>108014.33993006992</v>
      </c>
    </row>
    <row r="54" spans="9:62">
      <c r="I54" s="2479">
        <v>46022</v>
      </c>
      <c r="J54" s="2510">
        <f>-'G-3.04,5.01 PF AMI'!AE95</f>
        <v>-315594.16877950181</v>
      </c>
      <c r="K54" s="2473">
        <f t="shared" si="2"/>
        <v>29034663.527714159</v>
      </c>
      <c r="L54" s="2510">
        <f t="shared" si="6"/>
        <v>30928228.540391181</v>
      </c>
      <c r="M54" s="2473">
        <f t="shared" si="0"/>
        <v>-6097279.3408199735</v>
      </c>
      <c r="N54" s="2510">
        <f t="shared" si="7"/>
        <v>-6494927.9934821492</v>
      </c>
      <c r="P54" s="2479">
        <v>46022</v>
      </c>
      <c r="Q54" s="2510">
        <f>-'G-3.04,5.01 PF AMI'!AK95</f>
        <v>-89408.671805069913</v>
      </c>
      <c r="R54" s="2473">
        <f t="shared" si="3"/>
        <v>8225597.8060663976</v>
      </c>
      <c r="S54" s="2510">
        <f t="shared" si="8"/>
        <v>8762049.83689682</v>
      </c>
      <c r="T54" s="2473">
        <f t="shared" si="1"/>
        <v>-1727375.5392739435</v>
      </c>
      <c r="U54" s="2510">
        <f t="shared" si="9"/>
        <v>-1840030.4657483322</v>
      </c>
      <c r="Y54" s="477">
        <v>47</v>
      </c>
      <c r="Z54" s="477">
        <v>202207</v>
      </c>
      <c r="AA54" s="2472">
        <f t="shared" si="18"/>
        <v>149003.71328671329</v>
      </c>
      <c r="AB54" s="2472">
        <f t="shared" si="18"/>
        <v>15855.748251748251</v>
      </c>
      <c r="AC54" s="2472">
        <f t="shared" si="18"/>
        <v>208146.90300699303</v>
      </c>
      <c r="AD54" s="2472">
        <f t="shared" si="18"/>
        <v>-15785.202797202797</v>
      </c>
      <c r="AE54" s="2472">
        <f t="shared" si="15"/>
        <v>357221.16174825176</v>
      </c>
      <c r="AF54" s="2472"/>
      <c r="AG54" s="2472">
        <f t="shared" si="19"/>
        <v>30843.139860139861</v>
      </c>
      <c r="AH54" s="2472">
        <f t="shared" si="19"/>
        <v>5777.4055944055945</v>
      </c>
      <c r="AI54" s="2472">
        <f t="shared" si="19"/>
        <v>72453.20006993007</v>
      </c>
      <c r="AJ54" s="2472">
        <f t="shared" si="19"/>
        <v>-1059.4055944055945</v>
      </c>
      <c r="AK54" s="2472">
        <f t="shared" si="16"/>
        <v>108014.33993006992</v>
      </c>
      <c r="AX54" s="1197">
        <f t="shared" ref="AX54:BJ54" si="21">SUM(AX14,AX19,AX20,AX21,AX26,AX30,AX33:AX36,AX41)</f>
        <v>35416113.902249433</v>
      </c>
      <c r="AY54" s="1197">
        <f t="shared" si="21"/>
        <v>78036737.116697103</v>
      </c>
      <c r="AZ54" s="1197">
        <f t="shared" si="21"/>
        <v>32580</v>
      </c>
      <c r="BA54" s="1197">
        <f t="shared" si="21"/>
        <v>77954.932000000001</v>
      </c>
      <c r="BB54" s="1197">
        <f t="shared" si="21"/>
        <v>80293.579960000003</v>
      </c>
      <c r="BC54" s="1197">
        <f t="shared" si="21"/>
        <v>813630.00455878652</v>
      </c>
      <c r="BD54" s="1197">
        <f t="shared" si="21"/>
        <v>1964877.4762758007</v>
      </c>
      <c r="BE54" s="1197">
        <f t="shared" si="21"/>
        <v>2139981.6831892226</v>
      </c>
      <c r="BF54" s="1197">
        <f t="shared" si="21"/>
        <v>2338106.3803563048</v>
      </c>
      <c r="BG54" s="1197">
        <f t="shared" si="21"/>
        <v>3627937.6861876813</v>
      </c>
      <c r="BH54" s="1197">
        <f t="shared" si="21"/>
        <v>3771456.1781395813</v>
      </c>
      <c r="BI54" s="1197">
        <f t="shared" si="21"/>
        <v>3957279.3201213949</v>
      </c>
      <c r="BJ54" s="1197">
        <f t="shared" si="21"/>
        <v>4210334.6293687671</v>
      </c>
    </row>
    <row r="55" spans="9:62">
      <c r="I55" s="2479">
        <v>46053</v>
      </c>
      <c r="J55" s="2522">
        <f>-'G-3.04,5.01 PF AMI'!AE96</f>
        <v>-315594.16877950181</v>
      </c>
      <c r="K55" s="2473">
        <f t="shared" si="2"/>
        <v>28719069.358934656</v>
      </c>
      <c r="L55" s="2473">
        <f t="shared" si="6"/>
        <v>30612634.371611681</v>
      </c>
      <c r="M55" s="2473">
        <f t="shared" si="0"/>
        <v>-6031004.5653762771</v>
      </c>
      <c r="N55" s="2473">
        <f t="shared" si="7"/>
        <v>-6428653.2180384537</v>
      </c>
      <c r="P55" s="2479">
        <v>46053</v>
      </c>
      <c r="Q55" s="2522">
        <f>-'G-3.04,5.01 PF AMI'!AK96</f>
        <v>-89408.671805069913</v>
      </c>
      <c r="R55" s="2473">
        <f t="shared" si="3"/>
        <v>8136189.1342613278</v>
      </c>
      <c r="S55" s="2473">
        <f t="shared" si="8"/>
        <v>8672641.1650917493</v>
      </c>
      <c r="T55" s="2473">
        <f t="shared" si="1"/>
        <v>-1708599.7181948787</v>
      </c>
      <c r="U55" s="2473">
        <f t="shared" si="9"/>
        <v>-1821254.6446692673</v>
      </c>
      <c r="Y55" s="477">
        <v>48</v>
      </c>
      <c r="Z55" s="477">
        <v>202208</v>
      </c>
      <c r="AA55" s="2472">
        <f t="shared" si="18"/>
        <v>149003.71328671329</v>
      </c>
      <c r="AB55" s="2472">
        <f t="shared" si="18"/>
        <v>15855.748251748251</v>
      </c>
      <c r="AC55" s="2472">
        <f t="shared" si="18"/>
        <v>208146.90300699303</v>
      </c>
      <c r="AD55" s="2472">
        <f t="shared" si="18"/>
        <v>-15785.202797202797</v>
      </c>
      <c r="AE55" s="2472">
        <f t="shared" si="15"/>
        <v>357221.16174825176</v>
      </c>
      <c r="AF55" s="2472"/>
      <c r="AG55" s="2472">
        <f t="shared" si="19"/>
        <v>30843.139860139861</v>
      </c>
      <c r="AH55" s="2472">
        <f t="shared" si="19"/>
        <v>5777.4055944055945</v>
      </c>
      <c r="AI55" s="2472">
        <f t="shared" si="19"/>
        <v>72453.20006993007</v>
      </c>
      <c r="AJ55" s="2472">
        <f t="shared" si="19"/>
        <v>-1059.4055944055945</v>
      </c>
      <c r="AK55" s="2472">
        <f t="shared" si="16"/>
        <v>108014.33993006992</v>
      </c>
      <c r="AX55" s="1197">
        <f t="shared" ref="AX55:BJ55" si="22">AX44-AX54</f>
        <v>90965832.551138073</v>
      </c>
      <c r="AY55" s="1197">
        <f t="shared" si="22"/>
        <v>202830951.25001457</v>
      </c>
      <c r="AZ55" s="1197">
        <f t="shared" si="22"/>
        <v>328884.74949076923</v>
      </c>
      <c r="BA55" s="1197">
        <f t="shared" si="22"/>
        <v>419923.81317549257</v>
      </c>
      <c r="BB55" s="1197">
        <f t="shared" si="22"/>
        <v>945114.83135182038</v>
      </c>
      <c r="BC55" s="1197">
        <f t="shared" si="22"/>
        <v>2429512.8164157756</v>
      </c>
      <c r="BD55" s="1197">
        <f t="shared" si="22"/>
        <v>6225263.4635321656</v>
      </c>
      <c r="BE55" s="1197">
        <f t="shared" si="22"/>
        <v>6360716.438897172</v>
      </c>
      <c r="BF55" s="2475">
        <f t="shared" si="22"/>
        <v>6516474.2251543403</v>
      </c>
      <c r="BG55" s="2475">
        <f t="shared" si="22"/>
        <v>9126478.2411252502</v>
      </c>
      <c r="BH55" s="1197">
        <f t="shared" si="22"/>
        <v>10181065.31725999</v>
      </c>
      <c r="BI55" s="2475">
        <f t="shared" si="22"/>
        <v>10583688.338130785</v>
      </c>
      <c r="BJ55" s="2475">
        <f t="shared" si="22"/>
        <v>11002476.765118225</v>
      </c>
    </row>
    <row r="56" spans="9:62" ht="14.5">
      <c r="I56" s="2479">
        <v>46081</v>
      </c>
      <c r="J56" s="2522">
        <f>-'G-3.04,5.01 PF AMI'!AE97</f>
        <v>-315594.16877950181</v>
      </c>
      <c r="K56" s="2473">
        <f t="shared" si="2"/>
        <v>28403475.190155152</v>
      </c>
      <c r="L56" s="2473">
        <f t="shared" si="6"/>
        <v>30297040.202832174</v>
      </c>
      <c r="M56" s="2473">
        <f t="shared" si="0"/>
        <v>-5964729.7899325816</v>
      </c>
      <c r="N56" s="2473">
        <f t="shared" si="7"/>
        <v>-6362378.4425947564</v>
      </c>
      <c r="P56" s="2479">
        <v>46081</v>
      </c>
      <c r="Q56" s="2522">
        <f>-'G-3.04,5.01 PF AMI'!AK97</f>
        <v>-89408.671805069913</v>
      </c>
      <c r="R56" s="2473">
        <f t="shared" si="3"/>
        <v>8046780.462456258</v>
      </c>
      <c r="S56" s="2473">
        <f t="shared" si="8"/>
        <v>8583232.4932866786</v>
      </c>
      <c r="T56" s="2473">
        <f t="shared" si="1"/>
        <v>-1689823.897115814</v>
      </c>
      <c r="U56" s="2473">
        <f t="shared" si="9"/>
        <v>-1802478.8235902025</v>
      </c>
      <c r="Y56" s="477">
        <v>49</v>
      </c>
      <c r="Z56" s="477">
        <v>202209</v>
      </c>
      <c r="AA56" s="2472">
        <f t="shared" si="18"/>
        <v>149003.71328671329</v>
      </c>
      <c r="AB56" s="2472">
        <f t="shared" si="18"/>
        <v>15855.748251748251</v>
      </c>
      <c r="AC56" s="2472">
        <f t="shared" si="18"/>
        <v>208146.90300699303</v>
      </c>
      <c r="AD56" s="2472">
        <f t="shared" si="18"/>
        <v>-15785.202797202797</v>
      </c>
      <c r="AE56" s="2472">
        <f t="shared" si="15"/>
        <v>357221.16174825176</v>
      </c>
      <c r="AF56" s="2472"/>
      <c r="AG56" s="2472">
        <f t="shared" si="19"/>
        <v>30843.139860139861</v>
      </c>
      <c r="AH56" s="2472">
        <f t="shared" si="19"/>
        <v>5777.4055944055945</v>
      </c>
      <c r="AI56" s="2472">
        <f t="shared" si="19"/>
        <v>72453.20006993007</v>
      </c>
      <c r="AJ56" s="2472">
        <f t="shared" si="19"/>
        <v>-1059.4055944055945</v>
      </c>
      <c r="AK56" s="2472">
        <f t="shared" si="16"/>
        <v>108014.33993006992</v>
      </c>
      <c r="BF56" s="2523" t="s">
        <v>662</v>
      </c>
      <c r="BG56" s="2523" t="s">
        <v>698</v>
      </c>
      <c r="BI56" s="2523" t="s">
        <v>697</v>
      </c>
      <c r="BJ56" s="2523" t="s">
        <v>670</v>
      </c>
    </row>
    <row r="57" spans="9:62">
      <c r="I57" s="2479">
        <v>46112</v>
      </c>
      <c r="J57" s="2522">
        <f>-'G-3.04,5.01 PF AMI'!AE98</f>
        <v>-315594.16877950181</v>
      </c>
      <c r="K57" s="2473">
        <f t="shared" si="2"/>
        <v>28087881.021375649</v>
      </c>
      <c r="L57" s="2473">
        <f t="shared" si="6"/>
        <v>29981446.034052666</v>
      </c>
      <c r="M57" s="2473">
        <f t="shared" si="0"/>
        <v>-5898455.0144888861</v>
      </c>
      <c r="N57" s="2473">
        <f t="shared" si="7"/>
        <v>-6296103.6671510609</v>
      </c>
      <c r="P57" s="2479">
        <v>46112</v>
      </c>
      <c r="Q57" s="2522">
        <f>-'G-3.04,5.01 PF AMI'!AK98</f>
        <v>-89408.671805069913</v>
      </c>
      <c r="R57" s="2473">
        <f t="shared" si="3"/>
        <v>7957371.7906511882</v>
      </c>
      <c r="S57" s="2473">
        <f t="shared" si="8"/>
        <v>8493823.821481606</v>
      </c>
      <c r="T57" s="2473">
        <f t="shared" si="1"/>
        <v>-1671048.0760367494</v>
      </c>
      <c r="U57" s="2473">
        <f t="shared" si="9"/>
        <v>-1783703.0025111381</v>
      </c>
      <c r="Y57" s="477">
        <v>50</v>
      </c>
      <c r="Z57" s="477">
        <v>202210</v>
      </c>
      <c r="AA57" s="2472">
        <f t="shared" si="18"/>
        <v>149003.71328671329</v>
      </c>
      <c r="AB57" s="2472">
        <f t="shared" si="18"/>
        <v>15855.748251748251</v>
      </c>
      <c r="AC57" s="2472">
        <f t="shared" si="18"/>
        <v>208146.90300699303</v>
      </c>
      <c r="AD57" s="2472">
        <f t="shared" si="18"/>
        <v>-15785.202797202797</v>
      </c>
      <c r="AE57" s="2472">
        <f t="shared" si="15"/>
        <v>357221.16174825176</v>
      </c>
      <c r="AF57" s="2472"/>
      <c r="AG57" s="2472">
        <f t="shared" si="19"/>
        <v>30843.139860139861</v>
      </c>
      <c r="AH57" s="2472">
        <f t="shared" si="19"/>
        <v>5777.4055944055945</v>
      </c>
      <c r="AI57" s="2472">
        <f t="shared" si="19"/>
        <v>72453.20006993007</v>
      </c>
      <c r="AJ57" s="2472">
        <f t="shared" si="19"/>
        <v>-1059.4055944055945</v>
      </c>
      <c r="AK57" s="2472">
        <f t="shared" si="16"/>
        <v>108014.33993006992</v>
      </c>
    </row>
    <row r="58" spans="9:62">
      <c r="I58" s="2479">
        <v>46142</v>
      </c>
      <c r="J58" s="2522">
        <f>-'G-3.04,5.01 PF AMI'!AE99</f>
        <v>-315594.16877950181</v>
      </c>
      <c r="K58" s="2473">
        <f t="shared" si="2"/>
        <v>27772286.852596145</v>
      </c>
      <c r="L58" s="2473">
        <f t="shared" si="6"/>
        <v>29665851.865273163</v>
      </c>
      <c r="M58" s="2473">
        <f t="shared" si="0"/>
        <v>-5832180.2390451906</v>
      </c>
      <c r="N58" s="2473">
        <f t="shared" si="7"/>
        <v>-6229828.8917073654</v>
      </c>
      <c r="P58" s="2479">
        <v>46142</v>
      </c>
      <c r="Q58" s="2522">
        <f>-'G-3.04,5.01 PF AMI'!AK99</f>
        <v>-89408.671805069913</v>
      </c>
      <c r="R58" s="2473">
        <f t="shared" si="3"/>
        <v>7867963.1188461185</v>
      </c>
      <c r="S58" s="2473">
        <f t="shared" si="8"/>
        <v>8404415.1496765371</v>
      </c>
      <c r="T58" s="2473">
        <f t="shared" si="1"/>
        <v>-1652272.2549576848</v>
      </c>
      <c r="U58" s="2473">
        <f t="shared" si="9"/>
        <v>-1764927.1814320732</v>
      </c>
      <c r="Y58" s="477">
        <v>51</v>
      </c>
      <c r="Z58" s="477">
        <v>202211</v>
      </c>
      <c r="AA58" s="2472">
        <f t="shared" si="18"/>
        <v>149003.71328671329</v>
      </c>
      <c r="AB58" s="2472">
        <f t="shared" si="18"/>
        <v>15855.748251748251</v>
      </c>
      <c r="AC58" s="2472">
        <f t="shared" si="18"/>
        <v>208146.90300699303</v>
      </c>
      <c r="AD58" s="2472">
        <f t="shared" si="18"/>
        <v>-15785.202797202797</v>
      </c>
      <c r="AE58" s="2472">
        <f t="shared" si="15"/>
        <v>357221.16174825176</v>
      </c>
      <c r="AF58" s="2472"/>
      <c r="AG58" s="2472">
        <f t="shared" si="19"/>
        <v>30843.139860139861</v>
      </c>
      <c r="AH58" s="2472">
        <f t="shared" si="19"/>
        <v>5777.4055944055945</v>
      </c>
      <c r="AI58" s="2472">
        <f t="shared" si="19"/>
        <v>72453.20006993007</v>
      </c>
      <c r="AJ58" s="2472">
        <f t="shared" si="19"/>
        <v>-1059.4055944055945</v>
      </c>
      <c r="AK58" s="2472">
        <f t="shared" si="16"/>
        <v>108014.33993006992</v>
      </c>
    </row>
    <row r="59" spans="9:62">
      <c r="I59" s="2479">
        <v>46173</v>
      </c>
      <c r="J59" s="2522">
        <f>-'G-3.04,5.01 PF AMI'!AE100</f>
        <v>-315594.16877950181</v>
      </c>
      <c r="K59" s="2473">
        <f t="shared" si="2"/>
        <v>27456692.683816642</v>
      </c>
      <c r="L59" s="2473">
        <f t="shared" si="6"/>
        <v>29350257.696493667</v>
      </c>
      <c r="M59" s="2473">
        <f t="shared" si="0"/>
        <v>-5765905.4636014942</v>
      </c>
      <c r="N59" s="2473">
        <f t="shared" si="7"/>
        <v>-6163554.1162636681</v>
      </c>
      <c r="P59" s="2479">
        <v>46173</v>
      </c>
      <c r="Q59" s="2522">
        <f>-'G-3.04,5.01 PF AMI'!AK100</f>
        <v>-89408.671805069913</v>
      </c>
      <c r="R59" s="2473">
        <f t="shared" si="3"/>
        <v>7778554.4470410487</v>
      </c>
      <c r="S59" s="2473">
        <f t="shared" si="8"/>
        <v>8315006.4778714692</v>
      </c>
      <c r="T59" s="2473">
        <f t="shared" si="1"/>
        <v>-1633496.4338786202</v>
      </c>
      <c r="U59" s="2473">
        <f t="shared" si="9"/>
        <v>-1746151.3603530086</v>
      </c>
      <c r="Y59" s="477">
        <v>52</v>
      </c>
      <c r="Z59" s="477">
        <v>202212</v>
      </c>
      <c r="AA59" s="2472">
        <f t="shared" si="18"/>
        <v>149003.71328671329</v>
      </c>
      <c r="AB59" s="2472">
        <f t="shared" si="18"/>
        <v>15855.748251748251</v>
      </c>
      <c r="AC59" s="2472">
        <f t="shared" si="18"/>
        <v>208146.90300699303</v>
      </c>
      <c r="AD59" s="2472">
        <f t="shared" si="18"/>
        <v>-15785.202797202797</v>
      </c>
      <c r="AE59" s="2472">
        <f t="shared" si="15"/>
        <v>357221.16174825176</v>
      </c>
      <c r="AF59" s="2472"/>
      <c r="AG59" s="2472">
        <f t="shared" si="19"/>
        <v>30843.139860139861</v>
      </c>
      <c r="AH59" s="2472">
        <f t="shared" si="19"/>
        <v>5777.4055944055945</v>
      </c>
      <c r="AI59" s="2472">
        <f t="shared" si="19"/>
        <v>72453.20006993007</v>
      </c>
      <c r="AJ59" s="2472">
        <f t="shared" si="19"/>
        <v>-1059.4055944055945</v>
      </c>
      <c r="AK59" s="2472">
        <f t="shared" si="16"/>
        <v>108014.33993006992</v>
      </c>
    </row>
    <row r="60" spans="9:62">
      <c r="I60" s="2479">
        <v>46203</v>
      </c>
      <c r="J60" s="2522">
        <f>-'G-3.04,5.01 PF AMI'!AE101</f>
        <v>-315594.16877950181</v>
      </c>
      <c r="K60" s="2473">
        <f t="shared" si="2"/>
        <v>27141098.515037138</v>
      </c>
      <c r="L60" s="2473">
        <f t="shared" si="6"/>
        <v>29034663.527714163</v>
      </c>
      <c r="M60" s="2473">
        <f t="shared" si="0"/>
        <v>-5699630.6881577987</v>
      </c>
      <c r="N60" s="2473">
        <f t="shared" si="7"/>
        <v>-6097279.3408199726</v>
      </c>
      <c r="P60" s="2479">
        <v>46203</v>
      </c>
      <c r="Q60" s="2522">
        <f>-'G-3.04,5.01 PF AMI'!AK101</f>
        <v>-89408.671805069913</v>
      </c>
      <c r="R60" s="2473">
        <f t="shared" si="3"/>
        <v>7689145.7752359789</v>
      </c>
      <c r="S60" s="2473">
        <f t="shared" si="8"/>
        <v>8225597.8060663976</v>
      </c>
      <c r="T60" s="2473">
        <f t="shared" si="1"/>
        <v>-1614720.6127995555</v>
      </c>
      <c r="U60" s="2473">
        <f t="shared" si="9"/>
        <v>-1727375.5392739431</v>
      </c>
      <c r="Y60" s="477">
        <v>53</v>
      </c>
      <c r="Z60" s="477">
        <v>202301</v>
      </c>
      <c r="AA60" s="2472">
        <f>(AA6-AA45-AA46-AA47-AA48-AA49-AA50-AA51-AA52-AA53-AA54-AA55-AA56-AA57-AA58-AA59)/128</f>
        <v>141673.76797421335</v>
      </c>
      <c r="AB60" s="2472">
        <f>(AB6-AB45-AB46-AB47-AB48-AB49-AB50-AB51-AB52-AB53-AB54-AB55-AB56-AB57-AB58-AB59)/128</f>
        <v>9212.1931736232491</v>
      </c>
      <c r="AC60" s="2472">
        <f>(AC6-AC45-AC46-AC47-AC48-AC49-AC50-AC51-AC52-AC53-AC54-AC55-AC56-AC57-AC58-AC59)/128</f>
        <v>180859.29027261797</v>
      </c>
      <c r="AD60" s="2472">
        <f>(AD6-AD45-AD46-AD47-AD48-AD49-AD50-AD51-AD52-AD53-AD54-AD55-AD56-AD57-AD58-AD59)/128</f>
        <v>-16151.082640952791</v>
      </c>
      <c r="AE60" s="2472">
        <f t="shared" si="15"/>
        <v>315594.16877950181</v>
      </c>
      <c r="AF60" s="2472"/>
      <c r="AG60" s="2472">
        <f>(AG6-AG45-AG46-AG47-AG48-AG49-AG50-AG51-AG52-AG53-AG54-AG55-AG56-AG57-AG58-AG59)/128</f>
        <v>28472.18673513988</v>
      </c>
      <c r="AH60" s="2472">
        <f>(AH6-AH45-AH46-AH47-AH48-AH49-AH50-AH51-AH52-AH53-AH54-AH55-AH56-AH57-AH58-AH59)/128</f>
        <v>3233.4334850305936</v>
      </c>
      <c r="AI60" s="2472">
        <f>(AI6-AI45-AI46-AI47-AI48-AI49-AI50-AI51-AI52-AI53-AI54-AI55-AI56-AI57-AI58-AI59)/128</f>
        <v>59670.591944930027</v>
      </c>
      <c r="AJ60" s="2472">
        <f>(AJ6-AJ45-AJ46-AJ47-AJ48-AJ49-AJ50-AJ51-AJ52-AJ53-AJ54-AJ55-AJ56-AJ57-AJ58-AJ59)/128</f>
        <v>-1967.5403600305935</v>
      </c>
      <c r="AK60" s="2472">
        <f t="shared" si="16"/>
        <v>89408.671805069913</v>
      </c>
    </row>
    <row r="61" spans="9:62">
      <c r="I61" s="2479">
        <v>46234</v>
      </c>
      <c r="J61" s="2522">
        <f>-'G-3.04,5.01 PF AMI'!AE102</f>
        <v>-315594.16877950181</v>
      </c>
      <c r="K61" s="2473">
        <f t="shared" si="2"/>
        <v>26825504.346257634</v>
      </c>
      <c r="L61" s="2473">
        <f t="shared" si="6"/>
        <v>28719069.358934656</v>
      </c>
      <c r="M61" s="2473">
        <f t="shared" si="0"/>
        <v>-5633355.9127141032</v>
      </c>
      <c r="N61" s="2473">
        <f t="shared" si="7"/>
        <v>-6031004.5653762771</v>
      </c>
      <c r="P61" s="2479">
        <v>46234</v>
      </c>
      <c r="Q61" s="2522">
        <f>-'G-3.04,5.01 PF AMI'!AK102</f>
        <v>-89408.671805069913</v>
      </c>
      <c r="R61" s="2473">
        <f t="shared" si="3"/>
        <v>7599737.1034309091</v>
      </c>
      <c r="S61" s="2473">
        <f t="shared" si="8"/>
        <v>8136189.1342613287</v>
      </c>
      <c r="T61" s="2473">
        <f t="shared" si="1"/>
        <v>-1595944.7917204909</v>
      </c>
      <c r="U61" s="2473">
        <f t="shared" si="9"/>
        <v>-1708599.7181948787</v>
      </c>
      <c r="Y61" s="477">
        <v>54</v>
      </c>
      <c r="Z61" s="477">
        <v>202302</v>
      </c>
      <c r="AA61" s="2472">
        <f t="shared" ref="AA61:AD76" si="23">AA60</f>
        <v>141673.76797421335</v>
      </c>
      <c r="AB61" s="2472">
        <f t="shared" si="23"/>
        <v>9212.1931736232491</v>
      </c>
      <c r="AC61" s="2472">
        <f t="shared" si="23"/>
        <v>180859.29027261797</v>
      </c>
      <c r="AD61" s="2472">
        <f t="shared" si="23"/>
        <v>-16151.082640952791</v>
      </c>
      <c r="AE61" s="2472">
        <f t="shared" si="15"/>
        <v>315594.16877950181</v>
      </c>
      <c r="AF61" s="2472"/>
      <c r="AG61" s="2472">
        <f t="shared" ref="AG61:AK76" si="24">AG60</f>
        <v>28472.18673513988</v>
      </c>
      <c r="AH61" s="2472">
        <f t="shared" si="24"/>
        <v>3233.4334850305936</v>
      </c>
      <c r="AI61" s="2472">
        <f t="shared" si="24"/>
        <v>59670.591944930027</v>
      </c>
      <c r="AJ61" s="2472">
        <f t="shared" si="24"/>
        <v>-1967.5403600305935</v>
      </c>
      <c r="AK61" s="2472">
        <f t="shared" si="24"/>
        <v>89408.671805069913</v>
      </c>
    </row>
    <row r="62" spans="9:62">
      <c r="I62" s="2479">
        <v>46265</v>
      </c>
      <c r="J62" s="2522">
        <f>-'G-3.04,5.01 PF AMI'!AE103</f>
        <v>-315594.16877950181</v>
      </c>
      <c r="K62" s="2473">
        <f t="shared" si="2"/>
        <v>26509910.177478131</v>
      </c>
      <c r="L62" s="2473">
        <f t="shared" si="6"/>
        <v>28403475.190155149</v>
      </c>
      <c r="M62" s="2473">
        <f t="shared" si="0"/>
        <v>-5567081.1372704068</v>
      </c>
      <c r="N62" s="2473">
        <f t="shared" si="7"/>
        <v>-5964729.7899325816</v>
      </c>
      <c r="P62" s="2479">
        <v>46265</v>
      </c>
      <c r="Q62" s="2522">
        <f>-'G-3.04,5.01 PF AMI'!AK103</f>
        <v>-89408.671805069913</v>
      </c>
      <c r="R62" s="2473">
        <f t="shared" si="3"/>
        <v>7510328.4316258393</v>
      </c>
      <c r="S62" s="2473">
        <f t="shared" si="8"/>
        <v>8046780.4624562589</v>
      </c>
      <c r="T62" s="2473">
        <f t="shared" si="1"/>
        <v>-1577168.9706414263</v>
      </c>
      <c r="U62" s="2473">
        <f t="shared" si="9"/>
        <v>-1689823.8971158143</v>
      </c>
      <c r="Y62" s="477">
        <v>55</v>
      </c>
      <c r="Z62" s="477">
        <v>202303</v>
      </c>
      <c r="AA62" s="2472">
        <f t="shared" si="23"/>
        <v>141673.76797421335</v>
      </c>
      <c r="AB62" s="2472">
        <f t="shared" si="23"/>
        <v>9212.1931736232491</v>
      </c>
      <c r="AC62" s="2472">
        <f t="shared" si="23"/>
        <v>180859.29027261797</v>
      </c>
      <c r="AD62" s="2472">
        <f t="shared" si="23"/>
        <v>-16151.082640952791</v>
      </c>
      <c r="AE62" s="2472">
        <f t="shared" si="15"/>
        <v>315594.16877950181</v>
      </c>
      <c r="AF62" s="2472"/>
      <c r="AG62" s="2472">
        <f t="shared" si="24"/>
        <v>28472.18673513988</v>
      </c>
      <c r="AH62" s="2472">
        <f t="shared" si="24"/>
        <v>3233.4334850305936</v>
      </c>
      <c r="AI62" s="2472">
        <f t="shared" si="24"/>
        <v>59670.591944930027</v>
      </c>
      <c r="AJ62" s="2472">
        <f t="shared" si="24"/>
        <v>-1967.5403600305935</v>
      </c>
      <c r="AK62" s="2472">
        <f t="shared" si="24"/>
        <v>89408.671805069913</v>
      </c>
    </row>
    <row r="63" spans="9:62">
      <c r="I63" s="2479">
        <v>46295</v>
      </c>
      <c r="J63" s="2522">
        <f>-'G-3.04,5.01 PF AMI'!AE104</f>
        <v>-315594.16877950181</v>
      </c>
      <c r="K63" s="2473">
        <f t="shared" si="2"/>
        <v>26194316.008698627</v>
      </c>
      <c r="L63" s="2473">
        <f t="shared" si="6"/>
        <v>28087881.021375645</v>
      </c>
      <c r="M63" s="2473">
        <f t="shared" si="0"/>
        <v>-5500806.3618267113</v>
      </c>
      <c r="N63" s="2473">
        <f t="shared" si="7"/>
        <v>-5898455.0144888861</v>
      </c>
      <c r="P63" s="2479">
        <v>46295</v>
      </c>
      <c r="Q63" s="2522">
        <f>-'G-3.04,5.01 PF AMI'!AK104</f>
        <v>-89408.671805069913</v>
      </c>
      <c r="R63" s="2473">
        <f t="shared" si="3"/>
        <v>7420919.7598207695</v>
      </c>
      <c r="S63" s="2473">
        <f t="shared" si="8"/>
        <v>7957371.7906511882</v>
      </c>
      <c r="T63" s="2473">
        <f t="shared" si="1"/>
        <v>-1558393.1495623617</v>
      </c>
      <c r="U63" s="2473">
        <f t="shared" si="9"/>
        <v>-1671048.0760367494</v>
      </c>
      <c r="Y63" s="477">
        <v>56</v>
      </c>
      <c r="Z63" s="477">
        <v>202304</v>
      </c>
      <c r="AA63" s="2472">
        <f t="shared" si="23"/>
        <v>141673.76797421335</v>
      </c>
      <c r="AB63" s="2472">
        <f t="shared" si="23"/>
        <v>9212.1931736232491</v>
      </c>
      <c r="AC63" s="2472">
        <f t="shared" si="23"/>
        <v>180859.29027261797</v>
      </c>
      <c r="AD63" s="2472">
        <f t="shared" si="23"/>
        <v>-16151.082640952791</v>
      </c>
      <c r="AE63" s="2472">
        <f t="shared" si="15"/>
        <v>315594.16877950181</v>
      </c>
      <c r="AF63" s="2472"/>
      <c r="AG63" s="2472">
        <f t="shared" si="24"/>
        <v>28472.18673513988</v>
      </c>
      <c r="AH63" s="2472">
        <f t="shared" si="24"/>
        <v>3233.4334850305936</v>
      </c>
      <c r="AI63" s="2472">
        <f t="shared" si="24"/>
        <v>59670.591944930027</v>
      </c>
      <c r="AJ63" s="2472">
        <f t="shared" si="24"/>
        <v>-1967.5403600305935</v>
      </c>
      <c r="AK63" s="2472">
        <f t="shared" si="24"/>
        <v>89408.671805069913</v>
      </c>
    </row>
    <row r="64" spans="9:62">
      <c r="I64" s="2479">
        <v>46326</v>
      </c>
      <c r="J64" s="2522">
        <f>-'G-3.04,5.01 PF AMI'!AE105</f>
        <v>-315594.16877950181</v>
      </c>
      <c r="K64" s="2473">
        <f t="shared" si="2"/>
        <v>25878721.839919124</v>
      </c>
      <c r="L64" s="2473">
        <f t="shared" si="6"/>
        <v>27772286.852596149</v>
      </c>
      <c r="M64" s="2473">
        <f t="shared" si="0"/>
        <v>-5434531.5863830158</v>
      </c>
      <c r="N64" s="2473">
        <f t="shared" si="7"/>
        <v>-5832180.2390451888</v>
      </c>
      <c r="P64" s="2479">
        <v>46326</v>
      </c>
      <c r="Q64" s="2522">
        <f>-'G-3.04,5.01 PF AMI'!AK105</f>
        <v>-89408.671805069913</v>
      </c>
      <c r="R64" s="2473">
        <f t="shared" si="3"/>
        <v>7331511.0880156998</v>
      </c>
      <c r="S64" s="2473">
        <f t="shared" si="8"/>
        <v>7867963.1188461194</v>
      </c>
      <c r="T64" s="2473">
        <f t="shared" si="1"/>
        <v>-1539617.3284832968</v>
      </c>
      <c r="U64" s="2473">
        <f t="shared" si="9"/>
        <v>-1652272.254957685</v>
      </c>
      <c r="Y64" s="477">
        <v>57</v>
      </c>
      <c r="Z64" s="477">
        <v>202305</v>
      </c>
      <c r="AA64" s="2472">
        <f t="shared" si="23"/>
        <v>141673.76797421335</v>
      </c>
      <c r="AB64" s="2472">
        <f t="shared" si="23"/>
        <v>9212.1931736232491</v>
      </c>
      <c r="AC64" s="2472">
        <f t="shared" si="23"/>
        <v>180859.29027261797</v>
      </c>
      <c r="AD64" s="2472">
        <f t="shared" si="23"/>
        <v>-16151.082640952791</v>
      </c>
      <c r="AE64" s="2472">
        <f t="shared" si="15"/>
        <v>315594.16877950181</v>
      </c>
      <c r="AF64" s="2472"/>
      <c r="AG64" s="2472">
        <f t="shared" si="24"/>
        <v>28472.18673513988</v>
      </c>
      <c r="AH64" s="2472">
        <f t="shared" si="24"/>
        <v>3233.4334850305936</v>
      </c>
      <c r="AI64" s="2472">
        <f t="shared" si="24"/>
        <v>59670.591944930027</v>
      </c>
      <c r="AJ64" s="2472">
        <f t="shared" si="24"/>
        <v>-1967.5403600305935</v>
      </c>
      <c r="AK64" s="2472">
        <f t="shared" si="24"/>
        <v>89408.671805069913</v>
      </c>
    </row>
    <row r="65" spans="9:37">
      <c r="I65" s="2479">
        <v>46356</v>
      </c>
      <c r="J65" s="2522">
        <f>-'G-3.04,5.01 PF AMI'!AE106</f>
        <v>-315594.16877950181</v>
      </c>
      <c r="K65" s="2473">
        <f t="shared" si="2"/>
        <v>25563127.67113962</v>
      </c>
      <c r="L65" s="2473">
        <f t="shared" si="6"/>
        <v>27456692.683816642</v>
      </c>
      <c r="M65" s="2473">
        <f t="shared" si="0"/>
        <v>-5368256.8109393204</v>
      </c>
      <c r="N65" s="2473">
        <f t="shared" si="7"/>
        <v>-5765905.4636014933</v>
      </c>
      <c r="P65" s="2479">
        <v>46356</v>
      </c>
      <c r="Q65" s="2522">
        <f>-'G-3.04,5.01 PF AMI'!AK106</f>
        <v>-89408.671805069913</v>
      </c>
      <c r="R65" s="2473">
        <f t="shared" si="3"/>
        <v>7242102.41621063</v>
      </c>
      <c r="S65" s="2473">
        <f t="shared" si="8"/>
        <v>7778554.4470410496</v>
      </c>
      <c r="T65" s="2473">
        <f t="shared" si="1"/>
        <v>-1520841.5074042322</v>
      </c>
      <c r="U65" s="2473">
        <f t="shared" si="9"/>
        <v>-1633496.4338786204</v>
      </c>
      <c r="Y65" s="477">
        <v>58</v>
      </c>
      <c r="Z65" s="477">
        <v>202306</v>
      </c>
      <c r="AA65" s="2472">
        <f t="shared" si="23"/>
        <v>141673.76797421335</v>
      </c>
      <c r="AB65" s="2472">
        <f t="shared" si="23"/>
        <v>9212.1931736232491</v>
      </c>
      <c r="AC65" s="2472">
        <f t="shared" si="23"/>
        <v>180859.29027261797</v>
      </c>
      <c r="AD65" s="2472">
        <f t="shared" si="23"/>
        <v>-16151.082640952791</v>
      </c>
      <c r="AE65" s="2472">
        <f t="shared" si="15"/>
        <v>315594.16877950181</v>
      </c>
      <c r="AF65" s="2472"/>
      <c r="AG65" s="2472">
        <f t="shared" si="24"/>
        <v>28472.18673513988</v>
      </c>
      <c r="AH65" s="2472">
        <f t="shared" si="24"/>
        <v>3233.4334850305936</v>
      </c>
      <c r="AI65" s="2472">
        <f t="shared" si="24"/>
        <v>59670.591944930027</v>
      </c>
      <c r="AJ65" s="2472">
        <f t="shared" si="24"/>
        <v>-1967.5403600305935</v>
      </c>
      <c r="AK65" s="2472">
        <f t="shared" si="24"/>
        <v>89408.671805069913</v>
      </c>
    </row>
    <row r="66" spans="9:37">
      <c r="I66" s="2479">
        <v>46387</v>
      </c>
      <c r="J66" s="2522">
        <f>-'G-3.04,5.01 PF AMI'!AE107</f>
        <v>-315594.16877950181</v>
      </c>
      <c r="K66" s="2473">
        <f t="shared" si="2"/>
        <v>25247533.502360117</v>
      </c>
      <c r="L66" s="2510">
        <f t="shared" si="6"/>
        <v>27141098.515037138</v>
      </c>
      <c r="M66" s="2473">
        <f t="shared" si="0"/>
        <v>-5301982.0354956239</v>
      </c>
      <c r="N66" s="2510">
        <f t="shared" si="7"/>
        <v>-5699630.6881577978</v>
      </c>
      <c r="P66" s="2479">
        <v>46387</v>
      </c>
      <c r="Q66" s="2522">
        <f>-'G-3.04,5.01 PF AMI'!AK107</f>
        <v>-89408.671805069913</v>
      </c>
      <c r="R66" s="2473">
        <f t="shared" si="3"/>
        <v>7152693.7444055602</v>
      </c>
      <c r="S66" s="2510">
        <f t="shared" si="8"/>
        <v>7689145.7752359807</v>
      </c>
      <c r="T66" s="2473">
        <f t="shared" si="1"/>
        <v>-1502065.6863251675</v>
      </c>
      <c r="U66" s="2510">
        <f t="shared" si="9"/>
        <v>-1614720.6127995558</v>
      </c>
      <c r="Y66" s="477">
        <v>59</v>
      </c>
      <c r="Z66" s="477">
        <v>202307</v>
      </c>
      <c r="AA66" s="2472">
        <f t="shared" si="23"/>
        <v>141673.76797421335</v>
      </c>
      <c r="AB66" s="2472">
        <f t="shared" si="23"/>
        <v>9212.1931736232491</v>
      </c>
      <c r="AC66" s="2472">
        <f t="shared" si="23"/>
        <v>180859.29027261797</v>
      </c>
      <c r="AD66" s="2472">
        <f t="shared" si="23"/>
        <v>-16151.082640952791</v>
      </c>
      <c r="AE66" s="2472">
        <f t="shared" si="15"/>
        <v>315594.16877950181</v>
      </c>
      <c r="AF66" s="2472"/>
      <c r="AG66" s="2472">
        <f t="shared" si="24"/>
        <v>28472.18673513988</v>
      </c>
      <c r="AH66" s="2472">
        <f t="shared" si="24"/>
        <v>3233.4334850305936</v>
      </c>
      <c r="AI66" s="2472">
        <f t="shared" si="24"/>
        <v>59670.591944930027</v>
      </c>
      <c r="AJ66" s="2472">
        <f t="shared" si="24"/>
        <v>-1967.5403600305935</v>
      </c>
      <c r="AK66" s="2472">
        <f t="shared" si="24"/>
        <v>89408.671805069913</v>
      </c>
    </row>
    <row r="67" spans="9:37">
      <c r="I67" s="2479">
        <v>46418</v>
      </c>
      <c r="J67" s="2473">
        <f>-'G-3.04,5.01 PF AMI'!AE108</f>
        <v>-315594.16877950181</v>
      </c>
      <c r="K67" s="2473">
        <f t="shared" si="2"/>
        <v>24931939.333580613</v>
      </c>
      <c r="L67" s="2473">
        <f t="shared" si="6"/>
        <v>26825504.346257631</v>
      </c>
      <c r="M67" s="2473">
        <f t="shared" ref="M67:M130" si="25">K67*-0.21</f>
        <v>-5235707.2600519285</v>
      </c>
      <c r="N67" s="2473">
        <f t="shared" si="7"/>
        <v>-5633355.9127141023</v>
      </c>
      <c r="P67" s="2479">
        <v>46418</v>
      </c>
      <c r="Q67" s="2473">
        <f>-'G-3.04,5.01 PF AMI'!AK108</f>
        <v>-89408.671805069913</v>
      </c>
      <c r="R67" s="2473">
        <f t="shared" si="3"/>
        <v>7063285.0726004904</v>
      </c>
      <c r="S67" s="2473">
        <f t="shared" si="8"/>
        <v>7599737.1034309119</v>
      </c>
      <c r="T67" s="2473">
        <f t="shared" ref="T67:T130" si="26">R67*-0.21</f>
        <v>-1483289.8652461029</v>
      </c>
      <c r="U67" s="2473">
        <f t="shared" si="9"/>
        <v>-1595944.7917204909</v>
      </c>
      <c r="Y67" s="477">
        <v>60</v>
      </c>
      <c r="Z67" s="477">
        <v>202308</v>
      </c>
      <c r="AA67" s="2472">
        <f t="shared" si="23"/>
        <v>141673.76797421335</v>
      </c>
      <c r="AB67" s="2472">
        <f t="shared" si="23"/>
        <v>9212.1931736232491</v>
      </c>
      <c r="AC67" s="2472">
        <f t="shared" si="23"/>
        <v>180859.29027261797</v>
      </c>
      <c r="AD67" s="2472">
        <f t="shared" si="23"/>
        <v>-16151.082640952791</v>
      </c>
      <c r="AE67" s="2472">
        <f t="shared" si="15"/>
        <v>315594.16877950181</v>
      </c>
      <c r="AF67" s="2472"/>
      <c r="AG67" s="2472">
        <f t="shared" si="24"/>
        <v>28472.18673513988</v>
      </c>
      <c r="AH67" s="2472">
        <f t="shared" si="24"/>
        <v>3233.4334850305936</v>
      </c>
      <c r="AI67" s="2472">
        <f t="shared" si="24"/>
        <v>59670.591944930027</v>
      </c>
      <c r="AJ67" s="2472">
        <f t="shared" si="24"/>
        <v>-1967.5403600305935</v>
      </c>
      <c r="AK67" s="2472">
        <f t="shared" si="24"/>
        <v>89408.671805069913</v>
      </c>
    </row>
    <row r="68" spans="9:37">
      <c r="I68" s="2479">
        <v>46446</v>
      </c>
      <c r="J68" s="2473">
        <f>-'G-3.04,5.01 PF AMI'!AE109</f>
        <v>-315594.16877950181</v>
      </c>
      <c r="K68" s="2473">
        <f t="shared" ref="K68:K131" si="27">J68+K67</f>
        <v>24616345.16480111</v>
      </c>
      <c r="L68" s="2473">
        <f t="shared" si="6"/>
        <v>26509910.177478131</v>
      </c>
      <c r="M68" s="2473">
        <f t="shared" si="25"/>
        <v>-5169432.484608233</v>
      </c>
      <c r="N68" s="2473">
        <f t="shared" si="7"/>
        <v>-5567081.1372704068</v>
      </c>
      <c r="P68" s="2479">
        <v>46446</v>
      </c>
      <c r="Q68" s="2473">
        <f>-'G-3.04,5.01 PF AMI'!AK109</f>
        <v>-89408.671805069913</v>
      </c>
      <c r="R68" s="2473">
        <f t="shared" ref="R68:R131" si="28">Q68+R67</f>
        <v>6973876.4007954206</v>
      </c>
      <c r="S68" s="2473">
        <f t="shared" si="8"/>
        <v>7510328.4316258384</v>
      </c>
      <c r="T68" s="2473">
        <f t="shared" si="26"/>
        <v>-1464514.0441670383</v>
      </c>
      <c r="U68" s="2473">
        <f t="shared" si="9"/>
        <v>-1577168.970641426</v>
      </c>
      <c r="Y68" s="477">
        <v>61</v>
      </c>
      <c r="Z68" s="477">
        <v>202309</v>
      </c>
      <c r="AA68" s="2472">
        <f t="shared" si="23"/>
        <v>141673.76797421335</v>
      </c>
      <c r="AB68" s="2472">
        <f t="shared" si="23"/>
        <v>9212.1931736232491</v>
      </c>
      <c r="AC68" s="2472">
        <f t="shared" si="23"/>
        <v>180859.29027261797</v>
      </c>
      <c r="AD68" s="2472">
        <f t="shared" si="23"/>
        <v>-16151.082640952791</v>
      </c>
      <c r="AE68" s="2472">
        <f t="shared" si="15"/>
        <v>315594.16877950181</v>
      </c>
      <c r="AF68" s="2472"/>
      <c r="AG68" s="2472">
        <f t="shared" si="24"/>
        <v>28472.18673513988</v>
      </c>
      <c r="AH68" s="2472">
        <f t="shared" si="24"/>
        <v>3233.4334850305936</v>
      </c>
      <c r="AI68" s="2472">
        <f t="shared" si="24"/>
        <v>59670.591944930027</v>
      </c>
      <c r="AJ68" s="2472">
        <f t="shared" si="24"/>
        <v>-1967.5403600305935</v>
      </c>
      <c r="AK68" s="2472">
        <f t="shared" si="24"/>
        <v>89408.671805069913</v>
      </c>
    </row>
    <row r="69" spans="9:37">
      <c r="I69" s="2479">
        <v>46477</v>
      </c>
      <c r="J69" s="2473">
        <f>-'G-3.04,5.01 PF AMI'!AE110</f>
        <v>-315594.16877950181</v>
      </c>
      <c r="K69" s="2473">
        <f t="shared" si="27"/>
        <v>24300750.996021606</v>
      </c>
      <c r="L69" s="2473">
        <f t="shared" si="6"/>
        <v>26194316.008698627</v>
      </c>
      <c r="M69" s="2473">
        <f t="shared" si="25"/>
        <v>-5103157.7091645375</v>
      </c>
      <c r="N69" s="2473">
        <f t="shared" si="7"/>
        <v>-5500806.3618267113</v>
      </c>
      <c r="P69" s="2479">
        <v>46477</v>
      </c>
      <c r="Q69" s="2473">
        <f>-'G-3.04,5.01 PF AMI'!AK110</f>
        <v>-89408.671805069913</v>
      </c>
      <c r="R69" s="2473">
        <f t="shared" si="28"/>
        <v>6884467.7289903508</v>
      </c>
      <c r="S69" s="2473">
        <f t="shared" si="8"/>
        <v>7420919.7598207677</v>
      </c>
      <c r="T69" s="2473">
        <f t="shared" si="26"/>
        <v>-1445738.2230879737</v>
      </c>
      <c r="U69" s="2473">
        <f t="shared" si="9"/>
        <v>-1558393.1495623617</v>
      </c>
      <c r="Y69" s="477">
        <v>62</v>
      </c>
      <c r="Z69" s="477">
        <v>202310</v>
      </c>
      <c r="AA69" s="2472">
        <f t="shared" si="23"/>
        <v>141673.76797421335</v>
      </c>
      <c r="AB69" s="2472">
        <f t="shared" si="23"/>
        <v>9212.1931736232491</v>
      </c>
      <c r="AC69" s="2472">
        <f t="shared" si="23"/>
        <v>180859.29027261797</v>
      </c>
      <c r="AD69" s="2472">
        <f t="shared" si="23"/>
        <v>-16151.082640952791</v>
      </c>
      <c r="AE69" s="2472">
        <f t="shared" si="15"/>
        <v>315594.16877950181</v>
      </c>
      <c r="AF69" s="2472"/>
      <c r="AG69" s="2472">
        <f t="shared" si="24"/>
        <v>28472.18673513988</v>
      </c>
      <c r="AH69" s="2472">
        <f t="shared" si="24"/>
        <v>3233.4334850305936</v>
      </c>
      <c r="AI69" s="2472">
        <f t="shared" si="24"/>
        <v>59670.591944930027</v>
      </c>
      <c r="AJ69" s="2472">
        <f t="shared" si="24"/>
        <v>-1967.5403600305935</v>
      </c>
      <c r="AK69" s="2472">
        <f t="shared" si="24"/>
        <v>89408.671805069913</v>
      </c>
    </row>
    <row r="70" spans="9:37">
      <c r="I70" s="2479">
        <v>46507</v>
      </c>
      <c r="J70" s="2473">
        <f>-'G-3.04,5.01 PF AMI'!AE111</f>
        <v>-315594.16877950181</v>
      </c>
      <c r="K70" s="2473">
        <f t="shared" si="27"/>
        <v>23985156.827242102</v>
      </c>
      <c r="L70" s="2473">
        <f t="shared" si="6"/>
        <v>25878721.839919124</v>
      </c>
      <c r="M70" s="2473">
        <f t="shared" si="25"/>
        <v>-5036882.9337208411</v>
      </c>
      <c r="N70" s="2473">
        <f t="shared" si="7"/>
        <v>-5434531.5863830158</v>
      </c>
      <c r="P70" s="2479">
        <v>46507</v>
      </c>
      <c r="Q70" s="2473">
        <f>-'G-3.04,5.01 PF AMI'!AK111</f>
        <v>-89408.671805069913</v>
      </c>
      <c r="R70" s="2473">
        <f t="shared" si="28"/>
        <v>6795059.0571852811</v>
      </c>
      <c r="S70" s="2473">
        <f t="shared" si="8"/>
        <v>7331511.0880156979</v>
      </c>
      <c r="T70" s="2473">
        <f t="shared" si="26"/>
        <v>-1426962.402008909</v>
      </c>
      <c r="U70" s="2473">
        <f t="shared" si="9"/>
        <v>-1539617.3284832973</v>
      </c>
      <c r="Y70" s="477">
        <v>63</v>
      </c>
      <c r="Z70" s="477">
        <v>202311</v>
      </c>
      <c r="AA70" s="2472">
        <f t="shared" si="23"/>
        <v>141673.76797421335</v>
      </c>
      <c r="AB70" s="2472">
        <f t="shared" si="23"/>
        <v>9212.1931736232491</v>
      </c>
      <c r="AC70" s="2472">
        <f t="shared" si="23"/>
        <v>180859.29027261797</v>
      </c>
      <c r="AD70" s="2472">
        <f t="shared" si="23"/>
        <v>-16151.082640952791</v>
      </c>
      <c r="AE70" s="2472">
        <f t="shared" si="15"/>
        <v>315594.16877950181</v>
      </c>
      <c r="AF70" s="2472"/>
      <c r="AG70" s="2472">
        <f t="shared" si="24"/>
        <v>28472.18673513988</v>
      </c>
      <c r="AH70" s="2472">
        <f t="shared" si="24"/>
        <v>3233.4334850305936</v>
      </c>
      <c r="AI70" s="2472">
        <f t="shared" si="24"/>
        <v>59670.591944930027</v>
      </c>
      <c r="AJ70" s="2472">
        <f t="shared" si="24"/>
        <v>-1967.5403600305935</v>
      </c>
      <c r="AK70" s="2472">
        <f t="shared" si="24"/>
        <v>89408.671805069913</v>
      </c>
    </row>
    <row r="71" spans="9:37">
      <c r="I71" s="2479">
        <v>46538</v>
      </c>
      <c r="J71" s="2473">
        <f>-'G-3.04,5.01 PF AMI'!AE112</f>
        <v>-315594.16877950181</v>
      </c>
      <c r="K71" s="2473">
        <f t="shared" si="27"/>
        <v>23669562.658462599</v>
      </c>
      <c r="L71" s="2473">
        <f t="shared" si="6"/>
        <v>25563127.671139624</v>
      </c>
      <c r="M71" s="2473">
        <f t="shared" si="25"/>
        <v>-4970608.1582771456</v>
      </c>
      <c r="N71" s="2473">
        <f t="shared" si="7"/>
        <v>-5368256.8109393204</v>
      </c>
      <c r="P71" s="2479">
        <v>46538</v>
      </c>
      <c r="Q71" s="2473">
        <f>-'G-3.04,5.01 PF AMI'!AK112</f>
        <v>-89408.671805069913</v>
      </c>
      <c r="R71" s="2473">
        <f t="shared" si="28"/>
        <v>6705650.3853802113</v>
      </c>
      <c r="S71" s="2473">
        <f t="shared" si="8"/>
        <v>7242102.416210629</v>
      </c>
      <c r="T71" s="2473">
        <f t="shared" si="26"/>
        <v>-1408186.5809298444</v>
      </c>
      <c r="U71" s="2473">
        <f t="shared" si="9"/>
        <v>-1520841.5074042324</v>
      </c>
      <c r="Y71" s="477">
        <v>64</v>
      </c>
      <c r="Z71" s="477">
        <v>202312</v>
      </c>
      <c r="AA71" s="2472">
        <f t="shared" si="23"/>
        <v>141673.76797421335</v>
      </c>
      <c r="AB71" s="2472">
        <f t="shared" si="23"/>
        <v>9212.1931736232491</v>
      </c>
      <c r="AC71" s="2472">
        <f t="shared" si="23"/>
        <v>180859.29027261797</v>
      </c>
      <c r="AD71" s="2472">
        <f t="shared" si="23"/>
        <v>-16151.082640952791</v>
      </c>
      <c r="AE71" s="2472">
        <f t="shared" si="15"/>
        <v>315594.16877950181</v>
      </c>
      <c r="AF71" s="2472"/>
      <c r="AG71" s="2472">
        <f t="shared" si="24"/>
        <v>28472.18673513988</v>
      </c>
      <c r="AH71" s="2472">
        <f t="shared" si="24"/>
        <v>3233.4334850305936</v>
      </c>
      <c r="AI71" s="2472">
        <f t="shared" si="24"/>
        <v>59670.591944930027</v>
      </c>
      <c r="AJ71" s="2472">
        <f t="shared" si="24"/>
        <v>-1967.5403600305935</v>
      </c>
      <c r="AK71" s="2472">
        <f t="shared" si="24"/>
        <v>89408.671805069913</v>
      </c>
    </row>
    <row r="72" spans="9:37">
      <c r="I72" s="2479">
        <v>46568</v>
      </c>
      <c r="J72" s="2473">
        <f>-'G-3.04,5.01 PF AMI'!AE113</f>
        <v>-315594.16877950181</v>
      </c>
      <c r="K72" s="2473">
        <f t="shared" si="27"/>
        <v>23353968.489683095</v>
      </c>
      <c r="L72" s="2473">
        <f t="shared" si="6"/>
        <v>25247533.502360117</v>
      </c>
      <c r="M72" s="2473">
        <f t="shared" si="25"/>
        <v>-4904333.3828334501</v>
      </c>
      <c r="N72" s="2473">
        <f t="shared" si="7"/>
        <v>-5301982.0354956249</v>
      </c>
      <c r="P72" s="2479">
        <v>46568</v>
      </c>
      <c r="Q72" s="2473">
        <f>-'G-3.04,5.01 PF AMI'!AK113</f>
        <v>-89408.671805069913</v>
      </c>
      <c r="R72" s="2473">
        <f t="shared" si="28"/>
        <v>6616241.7135751415</v>
      </c>
      <c r="S72" s="2473">
        <f t="shared" si="8"/>
        <v>7152693.7444055602</v>
      </c>
      <c r="T72" s="2473">
        <f t="shared" si="26"/>
        <v>-1389410.7598507795</v>
      </c>
      <c r="U72" s="2473">
        <f t="shared" si="9"/>
        <v>-1502065.6863251675</v>
      </c>
      <c r="Y72" s="477">
        <v>65</v>
      </c>
      <c r="Z72" s="477">
        <v>202401</v>
      </c>
      <c r="AA72" s="2472">
        <f t="shared" si="23"/>
        <v>141673.76797421335</v>
      </c>
      <c r="AB72" s="2472">
        <f t="shared" si="23"/>
        <v>9212.1931736232491</v>
      </c>
      <c r="AC72" s="2472">
        <f t="shared" si="23"/>
        <v>180859.29027261797</v>
      </c>
      <c r="AD72" s="2472">
        <f t="shared" si="23"/>
        <v>-16151.082640952791</v>
      </c>
      <c r="AE72" s="2472">
        <f t="shared" si="15"/>
        <v>315594.16877950181</v>
      </c>
      <c r="AF72" s="2472"/>
      <c r="AG72" s="2472">
        <f t="shared" si="24"/>
        <v>28472.18673513988</v>
      </c>
      <c r="AH72" s="2472">
        <f t="shared" si="24"/>
        <v>3233.4334850305936</v>
      </c>
      <c r="AI72" s="2472">
        <f t="shared" si="24"/>
        <v>59670.591944930027</v>
      </c>
      <c r="AJ72" s="2472">
        <f t="shared" si="24"/>
        <v>-1967.5403600305935</v>
      </c>
      <c r="AK72" s="2472">
        <f t="shared" si="24"/>
        <v>89408.671805069913</v>
      </c>
    </row>
    <row r="73" spans="9:37">
      <c r="I73" s="2479">
        <v>46599</v>
      </c>
      <c r="J73" s="2473">
        <f>-'G-3.04,5.01 PF AMI'!AE114</f>
        <v>-315594.16877950181</v>
      </c>
      <c r="K73" s="2473">
        <f t="shared" si="27"/>
        <v>23038374.320903592</v>
      </c>
      <c r="L73" s="2473">
        <f t="shared" si="6"/>
        <v>24931939.333580613</v>
      </c>
      <c r="M73" s="2473">
        <f t="shared" si="25"/>
        <v>-4838058.6073897537</v>
      </c>
      <c r="N73" s="2473">
        <f t="shared" si="7"/>
        <v>-5235707.2600519285</v>
      </c>
      <c r="P73" s="2479">
        <v>46599</v>
      </c>
      <c r="Q73" s="2473">
        <f>-'G-3.04,5.01 PF AMI'!AK114</f>
        <v>-89408.671805069913</v>
      </c>
      <c r="R73" s="2473">
        <f t="shared" si="28"/>
        <v>6526833.0417700717</v>
      </c>
      <c r="S73" s="2473">
        <f t="shared" si="8"/>
        <v>7063285.0726004904</v>
      </c>
      <c r="T73" s="2473">
        <f t="shared" si="26"/>
        <v>-1370634.9387717149</v>
      </c>
      <c r="U73" s="2473">
        <f t="shared" si="9"/>
        <v>-1483289.8652461029</v>
      </c>
      <c r="Y73" s="477">
        <v>66</v>
      </c>
      <c r="Z73" s="477">
        <v>202402</v>
      </c>
      <c r="AA73" s="2472">
        <f t="shared" si="23"/>
        <v>141673.76797421335</v>
      </c>
      <c r="AB73" s="2472">
        <f t="shared" si="23"/>
        <v>9212.1931736232491</v>
      </c>
      <c r="AC73" s="2472">
        <f t="shared" si="23"/>
        <v>180859.29027261797</v>
      </c>
      <c r="AD73" s="2472">
        <f t="shared" si="23"/>
        <v>-16151.082640952791</v>
      </c>
      <c r="AE73" s="2472">
        <f t="shared" si="15"/>
        <v>315594.16877950181</v>
      </c>
      <c r="AF73" s="2472"/>
      <c r="AG73" s="2472">
        <f t="shared" si="24"/>
        <v>28472.18673513988</v>
      </c>
      <c r="AH73" s="2472">
        <f t="shared" si="24"/>
        <v>3233.4334850305936</v>
      </c>
      <c r="AI73" s="2472">
        <f t="shared" si="24"/>
        <v>59670.591944930027</v>
      </c>
      <c r="AJ73" s="2472">
        <f t="shared" si="24"/>
        <v>-1967.5403600305935</v>
      </c>
      <c r="AK73" s="2472">
        <f t="shared" si="24"/>
        <v>89408.671805069913</v>
      </c>
    </row>
    <row r="74" spans="9:37">
      <c r="I74" s="2479">
        <v>46630</v>
      </c>
      <c r="J74" s="2473">
        <f>-'G-3.04,5.01 PF AMI'!AE115</f>
        <v>-315594.16877950181</v>
      </c>
      <c r="K74" s="2473">
        <f t="shared" si="27"/>
        <v>22722780.152124088</v>
      </c>
      <c r="L74" s="2473">
        <f t="shared" si="6"/>
        <v>24616345.16480111</v>
      </c>
      <c r="M74" s="2473">
        <f t="shared" si="25"/>
        <v>-4771783.8319460582</v>
      </c>
      <c r="N74" s="2473">
        <f t="shared" si="7"/>
        <v>-5169432.484608233</v>
      </c>
      <c r="P74" s="2479">
        <v>46630</v>
      </c>
      <c r="Q74" s="2473">
        <f>-'G-3.04,5.01 PF AMI'!AK115</f>
        <v>-89408.671805069913</v>
      </c>
      <c r="R74" s="2473">
        <f t="shared" si="28"/>
        <v>6437424.3699650019</v>
      </c>
      <c r="S74" s="2473">
        <f t="shared" si="8"/>
        <v>6973876.4007954197</v>
      </c>
      <c r="T74" s="2473">
        <f t="shared" si="26"/>
        <v>-1351859.1176926503</v>
      </c>
      <c r="U74" s="2473">
        <f t="shared" si="9"/>
        <v>-1464514.0441670381</v>
      </c>
      <c r="Y74" s="477">
        <v>67</v>
      </c>
      <c r="Z74" s="477">
        <v>202403</v>
      </c>
      <c r="AA74" s="2472">
        <f t="shared" si="23"/>
        <v>141673.76797421335</v>
      </c>
      <c r="AB74" s="2472">
        <f t="shared" si="23"/>
        <v>9212.1931736232491</v>
      </c>
      <c r="AC74" s="2472">
        <f t="shared" si="23"/>
        <v>180859.29027261797</v>
      </c>
      <c r="AD74" s="2472">
        <f t="shared" si="23"/>
        <v>-16151.082640952791</v>
      </c>
      <c r="AE74" s="2472">
        <f t="shared" si="15"/>
        <v>315594.16877950181</v>
      </c>
      <c r="AF74" s="2472"/>
      <c r="AG74" s="2472">
        <f t="shared" si="24"/>
        <v>28472.18673513988</v>
      </c>
      <c r="AH74" s="2472">
        <f t="shared" si="24"/>
        <v>3233.4334850305936</v>
      </c>
      <c r="AI74" s="2472">
        <f t="shared" si="24"/>
        <v>59670.591944930027</v>
      </c>
      <c r="AJ74" s="2472">
        <f t="shared" si="24"/>
        <v>-1967.5403600305935</v>
      </c>
      <c r="AK74" s="2472">
        <f t="shared" si="24"/>
        <v>89408.671805069913</v>
      </c>
    </row>
    <row r="75" spans="9:37">
      <c r="I75" s="2479">
        <v>46660</v>
      </c>
      <c r="J75" s="2473">
        <f>-'G-3.04,5.01 PF AMI'!AE116</f>
        <v>-315594.16877950181</v>
      </c>
      <c r="K75" s="2473">
        <f t="shared" si="27"/>
        <v>22407185.983344585</v>
      </c>
      <c r="L75" s="2473">
        <f t="shared" si="6"/>
        <v>24300750.99602161</v>
      </c>
      <c r="M75" s="2473">
        <f t="shared" si="25"/>
        <v>-4705509.0565023627</v>
      </c>
      <c r="N75" s="2473">
        <f t="shared" si="7"/>
        <v>-5103157.7091645375</v>
      </c>
      <c r="P75" s="2479">
        <v>46660</v>
      </c>
      <c r="Q75" s="2473">
        <f>-'G-3.04,5.01 PF AMI'!AK116</f>
        <v>-89408.671805069913</v>
      </c>
      <c r="R75" s="2473">
        <f t="shared" si="28"/>
        <v>6348015.6981599322</v>
      </c>
      <c r="S75" s="2473">
        <f t="shared" si="8"/>
        <v>6884467.7289903508</v>
      </c>
      <c r="T75" s="2473">
        <f t="shared" si="26"/>
        <v>-1333083.2966135857</v>
      </c>
      <c r="U75" s="2473">
        <f t="shared" si="9"/>
        <v>-1445738.2230879737</v>
      </c>
      <c r="Y75" s="477">
        <v>68</v>
      </c>
      <c r="Z75" s="477">
        <v>202404</v>
      </c>
      <c r="AA75" s="2472">
        <f t="shared" si="23"/>
        <v>141673.76797421335</v>
      </c>
      <c r="AB75" s="2472">
        <f t="shared" si="23"/>
        <v>9212.1931736232491</v>
      </c>
      <c r="AC75" s="2472">
        <f t="shared" si="23"/>
        <v>180859.29027261797</v>
      </c>
      <c r="AD75" s="2472">
        <f t="shared" si="23"/>
        <v>-16151.082640952791</v>
      </c>
      <c r="AE75" s="2472">
        <f t="shared" si="15"/>
        <v>315594.16877950181</v>
      </c>
      <c r="AF75" s="2472"/>
      <c r="AG75" s="2472">
        <f t="shared" si="24"/>
        <v>28472.18673513988</v>
      </c>
      <c r="AH75" s="2472">
        <f t="shared" si="24"/>
        <v>3233.4334850305936</v>
      </c>
      <c r="AI75" s="2472">
        <f t="shared" si="24"/>
        <v>59670.591944930027</v>
      </c>
      <c r="AJ75" s="2472">
        <f t="shared" si="24"/>
        <v>-1967.5403600305935</v>
      </c>
      <c r="AK75" s="2472">
        <f t="shared" si="24"/>
        <v>89408.671805069913</v>
      </c>
    </row>
    <row r="76" spans="9:37">
      <c r="I76" s="2479">
        <v>46691</v>
      </c>
      <c r="J76" s="2473">
        <f>-'G-3.04,5.01 PF AMI'!AE117</f>
        <v>-315594.16877950181</v>
      </c>
      <c r="K76" s="2473">
        <f t="shared" si="27"/>
        <v>22091591.814565081</v>
      </c>
      <c r="L76" s="2473">
        <f t="shared" si="6"/>
        <v>23985156.827242102</v>
      </c>
      <c r="M76" s="2473">
        <f t="shared" si="25"/>
        <v>-4639234.2810586672</v>
      </c>
      <c r="N76" s="2473">
        <f t="shared" si="7"/>
        <v>-5036882.933720842</v>
      </c>
      <c r="P76" s="2479">
        <v>46691</v>
      </c>
      <c r="Q76" s="2473">
        <f>-'G-3.04,5.01 PF AMI'!AK117</f>
        <v>-89408.671805069913</v>
      </c>
      <c r="R76" s="2473">
        <f t="shared" si="28"/>
        <v>6258607.0263548624</v>
      </c>
      <c r="S76" s="2473">
        <f t="shared" si="8"/>
        <v>6795059.0571852811</v>
      </c>
      <c r="T76" s="2473">
        <f t="shared" si="26"/>
        <v>-1314307.475534521</v>
      </c>
      <c r="U76" s="2473">
        <f t="shared" si="9"/>
        <v>-1426962.4020089088</v>
      </c>
      <c r="Y76" s="477">
        <v>69</v>
      </c>
      <c r="Z76" s="477">
        <v>202405</v>
      </c>
      <c r="AA76" s="2472">
        <f t="shared" si="23"/>
        <v>141673.76797421335</v>
      </c>
      <c r="AB76" s="2472">
        <f t="shared" si="23"/>
        <v>9212.1931736232491</v>
      </c>
      <c r="AC76" s="2472">
        <f t="shared" si="23"/>
        <v>180859.29027261797</v>
      </c>
      <c r="AD76" s="2472">
        <f t="shared" si="23"/>
        <v>-16151.082640952791</v>
      </c>
      <c r="AE76" s="2472">
        <f t="shared" si="15"/>
        <v>315594.16877950181</v>
      </c>
      <c r="AF76" s="2472"/>
      <c r="AG76" s="2472">
        <f t="shared" si="24"/>
        <v>28472.18673513988</v>
      </c>
      <c r="AH76" s="2472">
        <f t="shared" si="24"/>
        <v>3233.4334850305936</v>
      </c>
      <c r="AI76" s="2472">
        <f t="shared" si="24"/>
        <v>59670.591944930027</v>
      </c>
      <c r="AJ76" s="2472">
        <f t="shared" si="24"/>
        <v>-1967.5403600305935</v>
      </c>
      <c r="AK76" s="2472">
        <f t="shared" si="24"/>
        <v>89408.671805069913</v>
      </c>
    </row>
    <row r="77" spans="9:37">
      <c r="I77" s="2479">
        <v>46721</v>
      </c>
      <c r="J77" s="2473">
        <f>-'G-3.04,5.01 PF AMI'!AE118</f>
        <v>-315594.16877950181</v>
      </c>
      <c r="K77" s="2473">
        <f t="shared" si="27"/>
        <v>21775997.645785578</v>
      </c>
      <c r="L77" s="2473">
        <f t="shared" si="6"/>
        <v>23669562.658462599</v>
      </c>
      <c r="M77" s="2473">
        <f t="shared" si="25"/>
        <v>-4572959.5056149708</v>
      </c>
      <c r="N77" s="2473">
        <f t="shared" si="7"/>
        <v>-4970608.1582771465</v>
      </c>
      <c r="P77" s="2479">
        <v>46721</v>
      </c>
      <c r="Q77" s="2473">
        <f>-'G-3.04,5.01 PF AMI'!AK118</f>
        <v>-89408.671805069913</v>
      </c>
      <c r="R77" s="2473">
        <f t="shared" si="28"/>
        <v>6169198.3545497926</v>
      </c>
      <c r="S77" s="2473">
        <f t="shared" si="8"/>
        <v>6705650.3853802113</v>
      </c>
      <c r="T77" s="2473">
        <f t="shared" si="26"/>
        <v>-1295531.6544554564</v>
      </c>
      <c r="U77" s="2473">
        <f t="shared" si="9"/>
        <v>-1408186.5809298444</v>
      </c>
      <c r="Y77" s="477">
        <v>70</v>
      </c>
      <c r="Z77" s="477">
        <v>202406</v>
      </c>
      <c r="AA77" s="2472">
        <f t="shared" ref="AA77:AD92" si="29">AA76</f>
        <v>141673.76797421335</v>
      </c>
      <c r="AB77" s="2472">
        <f t="shared" si="29"/>
        <v>9212.1931736232491</v>
      </c>
      <c r="AC77" s="2472">
        <f t="shared" si="29"/>
        <v>180859.29027261797</v>
      </c>
      <c r="AD77" s="2472">
        <f t="shared" si="29"/>
        <v>-16151.082640952791</v>
      </c>
      <c r="AE77" s="2472">
        <f t="shared" ref="AE77:AE108" si="30">SUM(AA77:AD77)</f>
        <v>315594.16877950181</v>
      </c>
      <c r="AF77" s="2472"/>
      <c r="AG77" s="2472">
        <f t="shared" ref="AG77:AK92" si="31">AG76</f>
        <v>28472.18673513988</v>
      </c>
      <c r="AH77" s="2472">
        <f t="shared" si="31"/>
        <v>3233.4334850305936</v>
      </c>
      <c r="AI77" s="2472">
        <f t="shared" si="31"/>
        <v>59670.591944930027</v>
      </c>
      <c r="AJ77" s="2472">
        <f t="shared" si="31"/>
        <v>-1967.5403600305935</v>
      </c>
      <c r="AK77" s="2472">
        <f t="shared" si="31"/>
        <v>89408.671805069913</v>
      </c>
    </row>
    <row r="78" spans="9:37">
      <c r="I78" s="2479">
        <v>46752</v>
      </c>
      <c r="J78" s="2473">
        <f>-'G-3.04,5.01 PF AMI'!AE119</f>
        <v>-315594.16877950181</v>
      </c>
      <c r="K78" s="2473">
        <f t="shared" si="27"/>
        <v>21460403.477006074</v>
      </c>
      <c r="L78" s="2473">
        <f t="shared" si="6"/>
        <v>23353968.489683095</v>
      </c>
      <c r="M78" s="2473">
        <f t="shared" si="25"/>
        <v>-4506684.7301712753</v>
      </c>
      <c r="N78" s="2473">
        <f t="shared" si="7"/>
        <v>-4904333.382833451</v>
      </c>
      <c r="P78" s="2479">
        <v>46752</v>
      </c>
      <c r="Q78" s="2473">
        <f>-'G-3.04,5.01 PF AMI'!AK119</f>
        <v>-89408.671805069913</v>
      </c>
      <c r="R78" s="2473">
        <f t="shared" si="28"/>
        <v>6079789.6827447228</v>
      </c>
      <c r="S78" s="2473">
        <f t="shared" si="8"/>
        <v>6616241.7135751406</v>
      </c>
      <c r="T78" s="2473">
        <f t="shared" si="26"/>
        <v>-1276755.8333763918</v>
      </c>
      <c r="U78" s="2473">
        <f t="shared" si="9"/>
        <v>-1389410.7598507795</v>
      </c>
      <c r="Y78" s="477">
        <v>71</v>
      </c>
      <c r="Z78" s="477">
        <v>202407</v>
      </c>
      <c r="AA78" s="2472">
        <f t="shared" si="29"/>
        <v>141673.76797421335</v>
      </c>
      <c r="AB78" s="2472">
        <f t="shared" si="29"/>
        <v>9212.1931736232491</v>
      </c>
      <c r="AC78" s="2472">
        <f t="shared" si="29"/>
        <v>180859.29027261797</v>
      </c>
      <c r="AD78" s="2472">
        <f t="shared" si="29"/>
        <v>-16151.082640952791</v>
      </c>
      <c r="AE78" s="2472">
        <f t="shared" si="30"/>
        <v>315594.16877950181</v>
      </c>
      <c r="AF78" s="2472"/>
      <c r="AG78" s="2472">
        <f t="shared" si="31"/>
        <v>28472.18673513988</v>
      </c>
      <c r="AH78" s="2472">
        <f t="shared" si="31"/>
        <v>3233.4334850305936</v>
      </c>
      <c r="AI78" s="2472">
        <f t="shared" si="31"/>
        <v>59670.591944930027</v>
      </c>
      <c r="AJ78" s="2472">
        <f t="shared" si="31"/>
        <v>-1967.5403600305935</v>
      </c>
      <c r="AK78" s="2472">
        <f t="shared" si="31"/>
        <v>89408.671805069913</v>
      </c>
    </row>
    <row r="79" spans="9:37">
      <c r="I79" s="2479">
        <v>46783</v>
      </c>
      <c r="J79" s="2473">
        <f>-'G-3.04,5.01 PF AMI'!AE120</f>
        <v>-315594.16877950181</v>
      </c>
      <c r="K79" s="2473">
        <f t="shared" si="27"/>
        <v>21144809.30822657</v>
      </c>
      <c r="L79" s="2473">
        <f t="shared" si="6"/>
        <v>23038374.320903596</v>
      </c>
      <c r="M79" s="2473">
        <f t="shared" si="25"/>
        <v>-4440409.9547275798</v>
      </c>
      <c r="N79" s="2473">
        <f t="shared" si="7"/>
        <v>-4838058.6073897546</v>
      </c>
      <c r="P79" s="2479">
        <v>46783</v>
      </c>
      <c r="Q79" s="2473">
        <f>-'G-3.04,5.01 PF AMI'!AK120</f>
        <v>-89408.671805069913</v>
      </c>
      <c r="R79" s="2473">
        <f t="shared" si="28"/>
        <v>5990381.010939653</v>
      </c>
      <c r="S79" s="2473">
        <f t="shared" si="8"/>
        <v>6526833.0417700717</v>
      </c>
      <c r="T79" s="2473">
        <f t="shared" si="26"/>
        <v>-1257980.0122973272</v>
      </c>
      <c r="U79" s="2473">
        <f t="shared" si="9"/>
        <v>-1370634.9387717152</v>
      </c>
      <c r="Y79" s="477">
        <v>72</v>
      </c>
      <c r="Z79" s="477">
        <v>202408</v>
      </c>
      <c r="AA79" s="2472">
        <f t="shared" si="29"/>
        <v>141673.76797421335</v>
      </c>
      <c r="AB79" s="2472">
        <f t="shared" si="29"/>
        <v>9212.1931736232491</v>
      </c>
      <c r="AC79" s="2472">
        <f t="shared" si="29"/>
        <v>180859.29027261797</v>
      </c>
      <c r="AD79" s="2472">
        <f t="shared" si="29"/>
        <v>-16151.082640952791</v>
      </c>
      <c r="AE79" s="2472">
        <f t="shared" si="30"/>
        <v>315594.16877950181</v>
      </c>
      <c r="AF79" s="2472"/>
      <c r="AG79" s="2472">
        <f t="shared" si="31"/>
        <v>28472.18673513988</v>
      </c>
      <c r="AH79" s="2472">
        <f t="shared" si="31"/>
        <v>3233.4334850305936</v>
      </c>
      <c r="AI79" s="2472">
        <f t="shared" si="31"/>
        <v>59670.591944930027</v>
      </c>
      <c r="AJ79" s="2472">
        <f t="shared" si="31"/>
        <v>-1967.5403600305935</v>
      </c>
      <c r="AK79" s="2472">
        <f t="shared" si="31"/>
        <v>89408.671805069913</v>
      </c>
    </row>
    <row r="80" spans="9:37">
      <c r="I80" s="2479">
        <v>46812</v>
      </c>
      <c r="J80" s="2473">
        <f>-'G-3.04,5.01 PF AMI'!AE121</f>
        <v>-315594.16877950181</v>
      </c>
      <c r="K80" s="2473">
        <f t="shared" si="27"/>
        <v>20829215.139447067</v>
      </c>
      <c r="L80" s="2473">
        <f t="shared" si="6"/>
        <v>22722780.152124088</v>
      </c>
      <c r="M80" s="2473">
        <f t="shared" si="25"/>
        <v>-4374135.1792838844</v>
      </c>
      <c r="N80" s="2473">
        <f t="shared" si="7"/>
        <v>-4771783.8319460591</v>
      </c>
      <c r="P80" s="2479">
        <v>46812</v>
      </c>
      <c r="Q80" s="2473">
        <f>-'G-3.04,5.01 PF AMI'!AK121</f>
        <v>-89408.671805069913</v>
      </c>
      <c r="R80" s="2473">
        <f t="shared" si="28"/>
        <v>5900972.3391345832</v>
      </c>
      <c r="S80" s="2473">
        <f t="shared" si="8"/>
        <v>6437424.3699650029</v>
      </c>
      <c r="T80" s="2473">
        <f t="shared" si="26"/>
        <v>-1239204.1912182625</v>
      </c>
      <c r="U80" s="2473">
        <f t="shared" si="9"/>
        <v>-1351859.1176926505</v>
      </c>
      <c r="Y80" s="477">
        <v>73</v>
      </c>
      <c r="Z80" s="477">
        <v>202409</v>
      </c>
      <c r="AA80" s="2472">
        <f t="shared" si="29"/>
        <v>141673.76797421335</v>
      </c>
      <c r="AB80" s="2472">
        <f t="shared" si="29"/>
        <v>9212.1931736232491</v>
      </c>
      <c r="AC80" s="2472">
        <f t="shared" si="29"/>
        <v>180859.29027261797</v>
      </c>
      <c r="AD80" s="2472">
        <f t="shared" si="29"/>
        <v>-16151.082640952791</v>
      </c>
      <c r="AE80" s="2472">
        <f t="shared" si="30"/>
        <v>315594.16877950181</v>
      </c>
      <c r="AF80" s="2472"/>
      <c r="AG80" s="2472">
        <f t="shared" si="31"/>
        <v>28472.18673513988</v>
      </c>
      <c r="AH80" s="2472">
        <f t="shared" si="31"/>
        <v>3233.4334850305936</v>
      </c>
      <c r="AI80" s="2472">
        <f t="shared" si="31"/>
        <v>59670.591944930027</v>
      </c>
      <c r="AJ80" s="2472">
        <f t="shared" si="31"/>
        <v>-1967.5403600305935</v>
      </c>
      <c r="AK80" s="2472">
        <f t="shared" si="31"/>
        <v>89408.671805069913</v>
      </c>
    </row>
    <row r="81" spans="9:37">
      <c r="I81" s="2479">
        <v>46843</v>
      </c>
      <c r="J81" s="2473">
        <f>-'G-3.04,5.01 PF AMI'!AE122</f>
        <v>-315594.16877950181</v>
      </c>
      <c r="K81" s="2473">
        <f t="shared" si="27"/>
        <v>20513620.970667563</v>
      </c>
      <c r="L81" s="2473">
        <f t="shared" si="6"/>
        <v>22407185.983344585</v>
      </c>
      <c r="M81" s="2473">
        <f t="shared" si="25"/>
        <v>-4307860.4038401879</v>
      </c>
      <c r="N81" s="2473">
        <f t="shared" si="7"/>
        <v>-4705509.0565023636</v>
      </c>
      <c r="P81" s="2479">
        <v>46843</v>
      </c>
      <c r="Q81" s="2473">
        <f>-'G-3.04,5.01 PF AMI'!AK122</f>
        <v>-89408.671805069913</v>
      </c>
      <c r="R81" s="2473">
        <f t="shared" si="28"/>
        <v>5811563.6673295135</v>
      </c>
      <c r="S81" s="2473">
        <f t="shared" si="8"/>
        <v>6348015.6981599331</v>
      </c>
      <c r="T81" s="2473">
        <f t="shared" si="26"/>
        <v>-1220428.3701391977</v>
      </c>
      <c r="U81" s="2473">
        <f t="shared" si="9"/>
        <v>-1333083.2966135859</v>
      </c>
      <c r="Y81" s="477">
        <v>74</v>
      </c>
      <c r="Z81" s="477">
        <v>202410</v>
      </c>
      <c r="AA81" s="2472">
        <f t="shared" si="29"/>
        <v>141673.76797421335</v>
      </c>
      <c r="AB81" s="2472">
        <f t="shared" si="29"/>
        <v>9212.1931736232491</v>
      </c>
      <c r="AC81" s="2472">
        <f t="shared" si="29"/>
        <v>180859.29027261797</v>
      </c>
      <c r="AD81" s="2472">
        <f t="shared" si="29"/>
        <v>-16151.082640952791</v>
      </c>
      <c r="AE81" s="2472">
        <f t="shared" si="30"/>
        <v>315594.16877950181</v>
      </c>
      <c r="AF81" s="2472"/>
      <c r="AG81" s="2472">
        <f t="shared" si="31"/>
        <v>28472.18673513988</v>
      </c>
      <c r="AH81" s="2472">
        <f t="shared" si="31"/>
        <v>3233.4334850305936</v>
      </c>
      <c r="AI81" s="2472">
        <f t="shared" si="31"/>
        <v>59670.591944930027</v>
      </c>
      <c r="AJ81" s="2472">
        <f t="shared" si="31"/>
        <v>-1967.5403600305935</v>
      </c>
      <c r="AK81" s="2472">
        <f t="shared" si="31"/>
        <v>89408.671805069913</v>
      </c>
    </row>
    <row r="82" spans="9:37">
      <c r="I82" s="2479">
        <v>46873</v>
      </c>
      <c r="J82" s="2473">
        <f>-'G-3.04,5.01 PF AMI'!AE123</f>
        <v>-315594.16877950181</v>
      </c>
      <c r="K82" s="2473">
        <f t="shared" si="27"/>
        <v>20198026.80188806</v>
      </c>
      <c r="L82" s="2473">
        <f t="shared" si="6"/>
        <v>22091591.814565081</v>
      </c>
      <c r="M82" s="2473">
        <f t="shared" si="25"/>
        <v>-4241585.6283964925</v>
      </c>
      <c r="N82" s="2473">
        <f t="shared" si="7"/>
        <v>-4639234.2810586682</v>
      </c>
      <c r="P82" s="2479">
        <v>46873</v>
      </c>
      <c r="Q82" s="2473">
        <f>-'G-3.04,5.01 PF AMI'!AK123</f>
        <v>-89408.671805069913</v>
      </c>
      <c r="R82" s="2473">
        <f t="shared" si="28"/>
        <v>5722154.9955244437</v>
      </c>
      <c r="S82" s="2473">
        <f t="shared" si="8"/>
        <v>6258607.0263548633</v>
      </c>
      <c r="T82" s="2473">
        <f t="shared" si="26"/>
        <v>-1201652.5490601331</v>
      </c>
      <c r="U82" s="2473">
        <f t="shared" si="9"/>
        <v>-1314307.4755345213</v>
      </c>
      <c r="Y82" s="477">
        <v>75</v>
      </c>
      <c r="Z82" s="477">
        <v>202411</v>
      </c>
      <c r="AA82" s="2472">
        <f t="shared" si="29"/>
        <v>141673.76797421335</v>
      </c>
      <c r="AB82" s="2472">
        <f t="shared" si="29"/>
        <v>9212.1931736232491</v>
      </c>
      <c r="AC82" s="2472">
        <f t="shared" si="29"/>
        <v>180859.29027261797</v>
      </c>
      <c r="AD82" s="2472">
        <f t="shared" si="29"/>
        <v>-16151.082640952791</v>
      </c>
      <c r="AE82" s="2472">
        <f t="shared" si="30"/>
        <v>315594.16877950181</v>
      </c>
      <c r="AF82" s="2472"/>
      <c r="AG82" s="2472">
        <f t="shared" si="31"/>
        <v>28472.18673513988</v>
      </c>
      <c r="AH82" s="2472">
        <f t="shared" si="31"/>
        <v>3233.4334850305936</v>
      </c>
      <c r="AI82" s="2472">
        <f t="shared" si="31"/>
        <v>59670.591944930027</v>
      </c>
      <c r="AJ82" s="2472">
        <f t="shared" si="31"/>
        <v>-1967.5403600305935</v>
      </c>
      <c r="AK82" s="2472">
        <f t="shared" si="31"/>
        <v>89408.671805069913</v>
      </c>
    </row>
    <row r="83" spans="9:37">
      <c r="I83" s="2479">
        <v>46904</v>
      </c>
      <c r="J83" s="2473">
        <f>-'G-3.04,5.01 PF AMI'!AE124</f>
        <v>-315594.16877950181</v>
      </c>
      <c r="K83" s="2473">
        <f t="shared" si="27"/>
        <v>19882432.633108556</v>
      </c>
      <c r="L83" s="2473">
        <f t="shared" ref="L83:L146" si="32">(((K71+K83)/2)+K72+K73+K74+K75+K76+K77+K78+K79+K80+K81+K82)/12</f>
        <v>21775997.645785574</v>
      </c>
      <c r="M83" s="2473">
        <f t="shared" si="25"/>
        <v>-4175310.8529527965</v>
      </c>
      <c r="N83" s="2473">
        <f t="shared" ref="N83:N146" si="33">(((M71+M83)/2)+M72+M73+M74+M75+M76+M77+M78+M79+M80+M81+M82)/12</f>
        <v>-4572959.5056149727</v>
      </c>
      <c r="P83" s="2479">
        <v>46904</v>
      </c>
      <c r="Q83" s="2473">
        <f>-'G-3.04,5.01 PF AMI'!AK124</f>
        <v>-89408.671805069913</v>
      </c>
      <c r="R83" s="2473">
        <f t="shared" si="28"/>
        <v>5632746.3237193739</v>
      </c>
      <c r="S83" s="2473">
        <f t="shared" ref="S83:S146" si="34">(((R71+R83)/2)+R72+R73+R74+R75+R76+R77+R78+R79+R80+R81+R82)/12</f>
        <v>6169198.3545497926</v>
      </c>
      <c r="T83" s="2473">
        <f t="shared" si="26"/>
        <v>-1182876.7279810684</v>
      </c>
      <c r="U83" s="2473">
        <f t="shared" ref="U83:U146" si="35">(((T71+T83)/2)+T72+T73+T74+T75+T76+T77+T78+T79+T80+T81+T82)/12</f>
        <v>-1295531.6544554564</v>
      </c>
      <c r="Y83" s="477">
        <v>76</v>
      </c>
      <c r="Z83" s="477">
        <v>202412</v>
      </c>
      <c r="AA83" s="2472">
        <f t="shared" si="29"/>
        <v>141673.76797421335</v>
      </c>
      <c r="AB83" s="2472">
        <f t="shared" si="29"/>
        <v>9212.1931736232491</v>
      </c>
      <c r="AC83" s="2472">
        <f t="shared" si="29"/>
        <v>180859.29027261797</v>
      </c>
      <c r="AD83" s="2472">
        <f t="shared" si="29"/>
        <v>-16151.082640952791</v>
      </c>
      <c r="AE83" s="2472">
        <f t="shared" si="30"/>
        <v>315594.16877950181</v>
      </c>
      <c r="AF83" s="2472"/>
      <c r="AG83" s="2472">
        <f t="shared" si="31"/>
        <v>28472.18673513988</v>
      </c>
      <c r="AH83" s="2472">
        <f t="shared" si="31"/>
        <v>3233.4334850305936</v>
      </c>
      <c r="AI83" s="2472">
        <f t="shared" si="31"/>
        <v>59670.591944930027</v>
      </c>
      <c r="AJ83" s="2472">
        <f t="shared" si="31"/>
        <v>-1967.5403600305935</v>
      </c>
      <c r="AK83" s="2472">
        <f t="shared" si="31"/>
        <v>89408.671805069913</v>
      </c>
    </row>
    <row r="84" spans="9:37">
      <c r="I84" s="2479">
        <v>46934</v>
      </c>
      <c r="J84" s="2473">
        <f>-'G-3.04,5.01 PF AMI'!AE125</f>
        <v>-315594.16877950181</v>
      </c>
      <c r="K84" s="2473">
        <f t="shared" si="27"/>
        <v>19566838.464329053</v>
      </c>
      <c r="L84" s="2473">
        <f t="shared" si="32"/>
        <v>21460403.477006074</v>
      </c>
      <c r="M84" s="2473">
        <f t="shared" si="25"/>
        <v>-4109036.077509101</v>
      </c>
      <c r="N84" s="2473">
        <f t="shared" si="33"/>
        <v>-4506684.7301712753</v>
      </c>
      <c r="P84" s="2479">
        <v>46934</v>
      </c>
      <c r="Q84" s="2473">
        <f>-'G-3.04,5.01 PF AMI'!AK125</f>
        <v>-89408.671805069913</v>
      </c>
      <c r="R84" s="2473">
        <f t="shared" si="28"/>
        <v>5543337.6519143041</v>
      </c>
      <c r="S84" s="2473">
        <f t="shared" si="34"/>
        <v>6079789.6827447219</v>
      </c>
      <c r="T84" s="2473">
        <f t="shared" si="26"/>
        <v>-1164100.9069020038</v>
      </c>
      <c r="U84" s="2473">
        <f t="shared" si="35"/>
        <v>-1276755.8333763916</v>
      </c>
      <c r="Y84" s="477">
        <v>77</v>
      </c>
      <c r="Z84" s="477">
        <v>202501</v>
      </c>
      <c r="AA84" s="2472">
        <f t="shared" si="29"/>
        <v>141673.76797421335</v>
      </c>
      <c r="AB84" s="2472">
        <f t="shared" si="29"/>
        <v>9212.1931736232491</v>
      </c>
      <c r="AC84" s="2472">
        <f t="shared" si="29"/>
        <v>180859.29027261797</v>
      </c>
      <c r="AD84" s="2472">
        <f t="shared" si="29"/>
        <v>-16151.082640952791</v>
      </c>
      <c r="AE84" s="2472">
        <f t="shared" si="30"/>
        <v>315594.16877950181</v>
      </c>
      <c r="AF84" s="2472"/>
      <c r="AG84" s="2472">
        <f t="shared" si="31"/>
        <v>28472.18673513988</v>
      </c>
      <c r="AH84" s="2472">
        <f t="shared" si="31"/>
        <v>3233.4334850305936</v>
      </c>
      <c r="AI84" s="2472">
        <f t="shared" si="31"/>
        <v>59670.591944930027</v>
      </c>
      <c r="AJ84" s="2472">
        <f t="shared" si="31"/>
        <v>-1967.5403600305935</v>
      </c>
      <c r="AK84" s="2472">
        <f t="shared" si="31"/>
        <v>89408.671805069913</v>
      </c>
    </row>
    <row r="85" spans="9:37">
      <c r="I85" s="2479">
        <v>46965</v>
      </c>
      <c r="J85" s="2473">
        <f>-'G-3.04,5.01 PF AMI'!AE126</f>
        <v>-315594.16877950181</v>
      </c>
      <c r="K85" s="2473">
        <f t="shared" si="27"/>
        <v>19251244.295549549</v>
      </c>
      <c r="L85" s="2473">
        <f t="shared" si="32"/>
        <v>21144809.30822657</v>
      </c>
      <c r="M85" s="2473">
        <f t="shared" si="25"/>
        <v>-4042761.3020654051</v>
      </c>
      <c r="N85" s="2473">
        <f t="shared" si="33"/>
        <v>-4440409.9547275798</v>
      </c>
      <c r="P85" s="2479">
        <v>46965</v>
      </c>
      <c r="Q85" s="2473">
        <f>-'G-3.04,5.01 PF AMI'!AK126</f>
        <v>-89408.671805069913</v>
      </c>
      <c r="R85" s="2473">
        <f t="shared" si="28"/>
        <v>5453928.9801092343</v>
      </c>
      <c r="S85" s="2473">
        <f t="shared" si="34"/>
        <v>5990381.010939653</v>
      </c>
      <c r="T85" s="2473">
        <f t="shared" si="26"/>
        <v>-1145325.0858229392</v>
      </c>
      <c r="U85" s="2473">
        <f t="shared" si="35"/>
        <v>-1257980.0122973272</v>
      </c>
      <c r="Y85" s="477">
        <v>78</v>
      </c>
      <c r="Z85" s="477">
        <v>202502</v>
      </c>
      <c r="AA85" s="2472">
        <f t="shared" si="29"/>
        <v>141673.76797421335</v>
      </c>
      <c r="AB85" s="2472">
        <f t="shared" si="29"/>
        <v>9212.1931736232491</v>
      </c>
      <c r="AC85" s="2472">
        <f t="shared" si="29"/>
        <v>180859.29027261797</v>
      </c>
      <c r="AD85" s="2472">
        <f t="shared" si="29"/>
        <v>-16151.082640952791</v>
      </c>
      <c r="AE85" s="2472">
        <f t="shared" si="30"/>
        <v>315594.16877950181</v>
      </c>
      <c r="AF85" s="2472"/>
      <c r="AG85" s="2472">
        <f t="shared" si="31"/>
        <v>28472.18673513988</v>
      </c>
      <c r="AH85" s="2472">
        <f t="shared" si="31"/>
        <v>3233.4334850305936</v>
      </c>
      <c r="AI85" s="2472">
        <f t="shared" si="31"/>
        <v>59670.591944930027</v>
      </c>
      <c r="AJ85" s="2472">
        <f t="shared" si="31"/>
        <v>-1967.5403600305935</v>
      </c>
      <c r="AK85" s="2472">
        <f t="shared" si="31"/>
        <v>89408.671805069913</v>
      </c>
    </row>
    <row r="86" spans="9:37">
      <c r="I86" s="2479">
        <v>46996</v>
      </c>
      <c r="J86" s="2473">
        <f>-'G-3.04,5.01 PF AMI'!AE127</f>
        <v>-315594.16877950181</v>
      </c>
      <c r="K86" s="2473">
        <f t="shared" si="27"/>
        <v>18935650.126770046</v>
      </c>
      <c r="L86" s="2473">
        <f t="shared" si="32"/>
        <v>20829215.139447067</v>
      </c>
      <c r="M86" s="2473">
        <f t="shared" si="25"/>
        <v>-3976486.5266217096</v>
      </c>
      <c r="N86" s="2473">
        <f t="shared" si="33"/>
        <v>-4374135.1792838825</v>
      </c>
      <c r="P86" s="2479">
        <v>46996</v>
      </c>
      <c r="Q86" s="2473">
        <f>-'G-3.04,5.01 PF AMI'!AK127</f>
        <v>-89408.671805069913</v>
      </c>
      <c r="R86" s="2473">
        <f t="shared" si="28"/>
        <v>5364520.3083041646</v>
      </c>
      <c r="S86" s="2473">
        <f t="shared" si="34"/>
        <v>5900972.3391345823</v>
      </c>
      <c r="T86" s="2473">
        <f t="shared" si="26"/>
        <v>-1126549.2647438745</v>
      </c>
      <c r="U86" s="2473">
        <f t="shared" si="35"/>
        <v>-1239204.1912182625</v>
      </c>
      <c r="Y86" s="477">
        <v>79</v>
      </c>
      <c r="Z86" s="477">
        <v>202503</v>
      </c>
      <c r="AA86" s="2472">
        <f t="shared" si="29"/>
        <v>141673.76797421335</v>
      </c>
      <c r="AB86" s="2472">
        <f t="shared" si="29"/>
        <v>9212.1931736232491</v>
      </c>
      <c r="AC86" s="2472">
        <f t="shared" si="29"/>
        <v>180859.29027261797</v>
      </c>
      <c r="AD86" s="2472">
        <f t="shared" si="29"/>
        <v>-16151.082640952791</v>
      </c>
      <c r="AE86" s="2472">
        <f t="shared" si="30"/>
        <v>315594.16877950181</v>
      </c>
      <c r="AF86" s="2472"/>
      <c r="AG86" s="2472">
        <f t="shared" si="31"/>
        <v>28472.18673513988</v>
      </c>
      <c r="AH86" s="2472">
        <f t="shared" si="31"/>
        <v>3233.4334850305936</v>
      </c>
      <c r="AI86" s="2472">
        <f t="shared" si="31"/>
        <v>59670.591944930027</v>
      </c>
      <c r="AJ86" s="2472">
        <f t="shared" si="31"/>
        <v>-1967.5403600305935</v>
      </c>
      <c r="AK86" s="2472">
        <f t="shared" si="31"/>
        <v>89408.671805069913</v>
      </c>
    </row>
    <row r="87" spans="9:37">
      <c r="I87" s="2479">
        <v>47026</v>
      </c>
      <c r="J87" s="2473">
        <f>-'G-3.04,5.01 PF AMI'!AE128</f>
        <v>-315594.16877950181</v>
      </c>
      <c r="K87" s="2473">
        <f t="shared" si="27"/>
        <v>18620055.957990542</v>
      </c>
      <c r="L87" s="2473">
        <f t="shared" si="32"/>
        <v>20513620.970667563</v>
      </c>
      <c r="M87" s="2473">
        <f t="shared" si="25"/>
        <v>-3910211.7511780136</v>
      </c>
      <c r="N87" s="2473">
        <f t="shared" si="33"/>
        <v>-4307860.403840187</v>
      </c>
      <c r="P87" s="2479">
        <v>47026</v>
      </c>
      <c r="Q87" s="2473">
        <f>-'G-3.04,5.01 PF AMI'!AK128</f>
        <v>-89408.671805069913</v>
      </c>
      <c r="R87" s="2473">
        <f t="shared" si="28"/>
        <v>5275111.6364990948</v>
      </c>
      <c r="S87" s="2473">
        <f t="shared" si="34"/>
        <v>5811563.6673295135</v>
      </c>
      <c r="T87" s="2473">
        <f t="shared" si="26"/>
        <v>-1107773.4436648099</v>
      </c>
      <c r="U87" s="2473">
        <f t="shared" si="35"/>
        <v>-1220428.3701391977</v>
      </c>
      <c r="Y87" s="477">
        <v>80</v>
      </c>
      <c r="Z87" s="477">
        <v>202504</v>
      </c>
      <c r="AA87" s="2472">
        <f t="shared" si="29"/>
        <v>141673.76797421335</v>
      </c>
      <c r="AB87" s="2472">
        <f t="shared" si="29"/>
        <v>9212.1931736232491</v>
      </c>
      <c r="AC87" s="2472">
        <f t="shared" si="29"/>
        <v>180859.29027261797</v>
      </c>
      <c r="AD87" s="2472">
        <f t="shared" si="29"/>
        <v>-16151.082640952791</v>
      </c>
      <c r="AE87" s="2472">
        <f t="shared" si="30"/>
        <v>315594.16877950181</v>
      </c>
      <c r="AF87" s="2472"/>
      <c r="AG87" s="2472">
        <f t="shared" si="31"/>
        <v>28472.18673513988</v>
      </c>
      <c r="AH87" s="2472">
        <f t="shared" si="31"/>
        <v>3233.4334850305936</v>
      </c>
      <c r="AI87" s="2472">
        <f t="shared" si="31"/>
        <v>59670.591944930027</v>
      </c>
      <c r="AJ87" s="2472">
        <f t="shared" si="31"/>
        <v>-1967.5403600305935</v>
      </c>
      <c r="AK87" s="2472">
        <f t="shared" si="31"/>
        <v>89408.671805069913</v>
      </c>
    </row>
    <row r="88" spans="9:37">
      <c r="I88" s="2479">
        <v>47057</v>
      </c>
      <c r="J88" s="2473">
        <f>-'G-3.04,5.01 PF AMI'!AE129</f>
        <v>-315594.16877950181</v>
      </c>
      <c r="K88" s="2473">
        <f t="shared" si="27"/>
        <v>18304461.789211039</v>
      </c>
      <c r="L88" s="2473">
        <f t="shared" si="32"/>
        <v>20198026.80188806</v>
      </c>
      <c r="M88" s="2473">
        <f t="shared" si="25"/>
        <v>-3843936.9757343181</v>
      </c>
      <c r="N88" s="2473">
        <f t="shared" si="33"/>
        <v>-4241585.6283964915</v>
      </c>
      <c r="P88" s="2479">
        <v>47057</v>
      </c>
      <c r="Q88" s="2473">
        <f>-'G-3.04,5.01 PF AMI'!AK129</f>
        <v>-89408.671805069913</v>
      </c>
      <c r="R88" s="2473">
        <f t="shared" si="28"/>
        <v>5185702.964694025</v>
      </c>
      <c r="S88" s="2473">
        <f t="shared" si="34"/>
        <v>5722154.9955244437</v>
      </c>
      <c r="T88" s="2473">
        <f t="shared" si="26"/>
        <v>-1088997.6225857453</v>
      </c>
      <c r="U88" s="2473">
        <f t="shared" si="35"/>
        <v>-1201652.5490601331</v>
      </c>
      <c r="Y88" s="477">
        <v>81</v>
      </c>
      <c r="Z88" s="477">
        <v>202505</v>
      </c>
      <c r="AA88" s="2472">
        <f t="shared" si="29"/>
        <v>141673.76797421335</v>
      </c>
      <c r="AB88" s="2472">
        <f t="shared" si="29"/>
        <v>9212.1931736232491</v>
      </c>
      <c r="AC88" s="2472">
        <f t="shared" si="29"/>
        <v>180859.29027261797</v>
      </c>
      <c r="AD88" s="2472">
        <f t="shared" si="29"/>
        <v>-16151.082640952791</v>
      </c>
      <c r="AE88" s="2472">
        <f t="shared" si="30"/>
        <v>315594.16877950181</v>
      </c>
      <c r="AF88" s="2472"/>
      <c r="AG88" s="2472">
        <f t="shared" si="31"/>
        <v>28472.18673513988</v>
      </c>
      <c r="AH88" s="2472">
        <f t="shared" si="31"/>
        <v>3233.4334850305936</v>
      </c>
      <c r="AI88" s="2472">
        <f t="shared" si="31"/>
        <v>59670.591944930027</v>
      </c>
      <c r="AJ88" s="2472">
        <f t="shared" si="31"/>
        <v>-1967.5403600305935</v>
      </c>
      <c r="AK88" s="2472">
        <f t="shared" si="31"/>
        <v>89408.671805069913</v>
      </c>
    </row>
    <row r="89" spans="9:37">
      <c r="I89" s="2479">
        <v>47087</v>
      </c>
      <c r="J89" s="2473">
        <f>-'G-3.04,5.01 PF AMI'!AE130</f>
        <v>-315594.16877950181</v>
      </c>
      <c r="K89" s="2473">
        <f t="shared" si="27"/>
        <v>17988867.620431535</v>
      </c>
      <c r="L89" s="2473">
        <f t="shared" si="32"/>
        <v>19882432.633108556</v>
      </c>
      <c r="M89" s="2473">
        <f t="shared" si="25"/>
        <v>-3777662.2002906222</v>
      </c>
      <c r="N89" s="2473">
        <f t="shared" si="33"/>
        <v>-4175310.8529527956</v>
      </c>
      <c r="P89" s="2479">
        <v>47087</v>
      </c>
      <c r="Q89" s="2473">
        <f>-'G-3.04,5.01 PF AMI'!AK130</f>
        <v>-89408.671805069913</v>
      </c>
      <c r="R89" s="2473">
        <f t="shared" si="28"/>
        <v>5096294.2928889552</v>
      </c>
      <c r="S89" s="2473">
        <f t="shared" si="34"/>
        <v>5632746.3237193739</v>
      </c>
      <c r="T89" s="2473">
        <f t="shared" si="26"/>
        <v>-1070221.8015066807</v>
      </c>
      <c r="U89" s="2473">
        <f t="shared" si="35"/>
        <v>-1182876.7279810684</v>
      </c>
      <c r="Y89" s="477">
        <v>82</v>
      </c>
      <c r="Z89" s="477">
        <v>202506</v>
      </c>
      <c r="AA89" s="2472">
        <f t="shared" si="29"/>
        <v>141673.76797421335</v>
      </c>
      <c r="AB89" s="2472">
        <f t="shared" si="29"/>
        <v>9212.1931736232491</v>
      </c>
      <c r="AC89" s="2472">
        <f t="shared" si="29"/>
        <v>180859.29027261797</v>
      </c>
      <c r="AD89" s="2472">
        <f t="shared" si="29"/>
        <v>-16151.082640952791</v>
      </c>
      <c r="AE89" s="2472">
        <f t="shared" si="30"/>
        <v>315594.16877950181</v>
      </c>
      <c r="AF89" s="2472"/>
      <c r="AG89" s="2472">
        <f t="shared" si="31"/>
        <v>28472.18673513988</v>
      </c>
      <c r="AH89" s="2472">
        <f t="shared" si="31"/>
        <v>3233.4334850305936</v>
      </c>
      <c r="AI89" s="2472">
        <f t="shared" si="31"/>
        <v>59670.591944930027</v>
      </c>
      <c r="AJ89" s="2472">
        <f t="shared" si="31"/>
        <v>-1967.5403600305935</v>
      </c>
      <c r="AK89" s="2472">
        <f t="shared" si="31"/>
        <v>89408.671805069913</v>
      </c>
    </row>
    <row r="90" spans="9:37">
      <c r="I90" s="2479">
        <v>47118</v>
      </c>
      <c r="J90" s="2473">
        <f>-'G-3.04,5.01 PF AMI'!AE131</f>
        <v>-315594.16877950181</v>
      </c>
      <c r="K90" s="2473">
        <f t="shared" si="27"/>
        <v>17673273.451652031</v>
      </c>
      <c r="L90" s="2473">
        <f t="shared" si="32"/>
        <v>19566838.464329053</v>
      </c>
      <c r="M90" s="2473">
        <f t="shared" si="25"/>
        <v>-3711387.4248469262</v>
      </c>
      <c r="N90" s="2473">
        <f t="shared" si="33"/>
        <v>-4109036.0775091001</v>
      </c>
      <c r="P90" s="2479">
        <v>47118</v>
      </c>
      <c r="Q90" s="2473">
        <f>-'G-3.04,5.01 PF AMI'!AK131</f>
        <v>-89408.671805069913</v>
      </c>
      <c r="R90" s="2473">
        <f t="shared" si="28"/>
        <v>5006885.6210838854</v>
      </c>
      <c r="S90" s="2473">
        <f t="shared" si="34"/>
        <v>5543337.6519143032</v>
      </c>
      <c r="T90" s="2473">
        <f t="shared" si="26"/>
        <v>-1051445.9804276158</v>
      </c>
      <c r="U90" s="2473">
        <f t="shared" si="35"/>
        <v>-1164100.9069020038</v>
      </c>
      <c r="Y90" s="477">
        <v>83</v>
      </c>
      <c r="Z90" s="477">
        <v>202507</v>
      </c>
      <c r="AA90" s="2472">
        <f t="shared" si="29"/>
        <v>141673.76797421335</v>
      </c>
      <c r="AB90" s="2472">
        <f t="shared" si="29"/>
        <v>9212.1931736232491</v>
      </c>
      <c r="AC90" s="2472">
        <f t="shared" si="29"/>
        <v>180859.29027261797</v>
      </c>
      <c r="AD90" s="2472">
        <f t="shared" si="29"/>
        <v>-16151.082640952791</v>
      </c>
      <c r="AE90" s="2472">
        <f t="shared" si="30"/>
        <v>315594.16877950181</v>
      </c>
      <c r="AF90" s="2472"/>
      <c r="AG90" s="2472">
        <f t="shared" si="31"/>
        <v>28472.18673513988</v>
      </c>
      <c r="AH90" s="2472">
        <f t="shared" si="31"/>
        <v>3233.4334850305936</v>
      </c>
      <c r="AI90" s="2472">
        <f t="shared" si="31"/>
        <v>59670.591944930027</v>
      </c>
      <c r="AJ90" s="2472">
        <f t="shared" si="31"/>
        <v>-1967.5403600305935</v>
      </c>
      <c r="AK90" s="2472">
        <f t="shared" si="31"/>
        <v>89408.671805069913</v>
      </c>
    </row>
    <row r="91" spans="9:37">
      <c r="I91" s="2479">
        <v>47149</v>
      </c>
      <c r="J91" s="2473">
        <f>-'G-3.04,5.01 PF AMI'!AE132</f>
        <v>-315594.16877950181</v>
      </c>
      <c r="K91" s="2473">
        <f t="shared" si="27"/>
        <v>17357679.282872528</v>
      </c>
      <c r="L91" s="2473">
        <f t="shared" si="32"/>
        <v>19251244.295549549</v>
      </c>
      <c r="M91" s="2473">
        <f t="shared" si="25"/>
        <v>-3645112.6494032308</v>
      </c>
      <c r="N91" s="2473">
        <f t="shared" si="33"/>
        <v>-4042761.3020654046</v>
      </c>
      <c r="P91" s="2479">
        <v>47149</v>
      </c>
      <c r="Q91" s="2473">
        <f>-'G-3.04,5.01 PF AMI'!AK132</f>
        <v>-89408.671805069913</v>
      </c>
      <c r="R91" s="2473">
        <f t="shared" si="28"/>
        <v>4917476.9492788156</v>
      </c>
      <c r="S91" s="2473">
        <f t="shared" si="34"/>
        <v>5453928.9801092343</v>
      </c>
      <c r="T91" s="2473">
        <f t="shared" si="26"/>
        <v>-1032670.1593485513</v>
      </c>
      <c r="U91" s="2473">
        <f t="shared" si="35"/>
        <v>-1145325.0858229392</v>
      </c>
      <c r="Y91" s="477">
        <v>84</v>
      </c>
      <c r="Z91" s="477">
        <v>202508</v>
      </c>
      <c r="AA91" s="2472">
        <f t="shared" si="29"/>
        <v>141673.76797421335</v>
      </c>
      <c r="AB91" s="2472">
        <f t="shared" si="29"/>
        <v>9212.1931736232491</v>
      </c>
      <c r="AC91" s="2472">
        <f t="shared" si="29"/>
        <v>180859.29027261797</v>
      </c>
      <c r="AD91" s="2472">
        <f t="shared" si="29"/>
        <v>-16151.082640952791</v>
      </c>
      <c r="AE91" s="2472">
        <f t="shared" si="30"/>
        <v>315594.16877950181</v>
      </c>
      <c r="AF91" s="2472"/>
      <c r="AG91" s="2472">
        <f t="shared" si="31"/>
        <v>28472.18673513988</v>
      </c>
      <c r="AH91" s="2472">
        <f t="shared" si="31"/>
        <v>3233.4334850305936</v>
      </c>
      <c r="AI91" s="2472">
        <f t="shared" si="31"/>
        <v>59670.591944930027</v>
      </c>
      <c r="AJ91" s="2472">
        <f t="shared" si="31"/>
        <v>-1967.5403600305935</v>
      </c>
      <c r="AK91" s="2472">
        <f t="shared" si="31"/>
        <v>89408.671805069913</v>
      </c>
    </row>
    <row r="92" spans="9:37">
      <c r="I92" s="2479">
        <v>47177</v>
      </c>
      <c r="J92" s="2473">
        <f>-'G-3.04,5.01 PF AMI'!AE133</f>
        <v>-315594.16877950181</v>
      </c>
      <c r="K92" s="2473">
        <f t="shared" si="27"/>
        <v>17042085.114093024</v>
      </c>
      <c r="L92" s="2473">
        <f t="shared" si="32"/>
        <v>18935650.126770046</v>
      </c>
      <c r="M92" s="2473">
        <f t="shared" si="25"/>
        <v>-3578837.8739595348</v>
      </c>
      <c r="N92" s="2473">
        <f t="shared" si="33"/>
        <v>-3976486.5266217091</v>
      </c>
      <c r="P92" s="2479">
        <v>47177</v>
      </c>
      <c r="Q92" s="2473">
        <f>-'G-3.04,5.01 PF AMI'!AK133</f>
        <v>-89408.671805069913</v>
      </c>
      <c r="R92" s="2473">
        <f t="shared" si="28"/>
        <v>4828068.2774737459</v>
      </c>
      <c r="S92" s="2473">
        <f t="shared" si="34"/>
        <v>5364520.3083041636</v>
      </c>
      <c r="T92" s="2473">
        <f t="shared" si="26"/>
        <v>-1013894.3382694866</v>
      </c>
      <c r="U92" s="2473">
        <f t="shared" si="35"/>
        <v>-1126549.2647438745</v>
      </c>
      <c r="Y92" s="477">
        <v>85</v>
      </c>
      <c r="Z92" s="477">
        <v>202509</v>
      </c>
      <c r="AA92" s="2472">
        <f t="shared" si="29"/>
        <v>141673.76797421335</v>
      </c>
      <c r="AB92" s="2472">
        <f t="shared" si="29"/>
        <v>9212.1931736232491</v>
      </c>
      <c r="AC92" s="2472">
        <f t="shared" si="29"/>
        <v>180859.29027261797</v>
      </c>
      <c r="AD92" s="2472">
        <f t="shared" si="29"/>
        <v>-16151.082640952791</v>
      </c>
      <c r="AE92" s="2472">
        <f t="shared" si="30"/>
        <v>315594.16877950181</v>
      </c>
      <c r="AF92" s="2472"/>
      <c r="AG92" s="2472">
        <f t="shared" si="31"/>
        <v>28472.18673513988</v>
      </c>
      <c r="AH92" s="2472">
        <f t="shared" si="31"/>
        <v>3233.4334850305936</v>
      </c>
      <c r="AI92" s="2472">
        <f t="shared" si="31"/>
        <v>59670.591944930027</v>
      </c>
      <c r="AJ92" s="2472">
        <f t="shared" si="31"/>
        <v>-1967.5403600305935</v>
      </c>
      <c r="AK92" s="2472">
        <f t="shared" si="31"/>
        <v>89408.671805069913</v>
      </c>
    </row>
    <row r="93" spans="9:37">
      <c r="I93" s="2479">
        <v>47208</v>
      </c>
      <c r="J93" s="2473">
        <f>-'G-3.04,5.01 PF AMI'!AE134</f>
        <v>-315594.16877950181</v>
      </c>
      <c r="K93" s="2473">
        <f t="shared" si="27"/>
        <v>16726490.945313523</v>
      </c>
      <c r="L93" s="2473">
        <f t="shared" si="32"/>
        <v>18620055.957990546</v>
      </c>
      <c r="M93" s="2473">
        <f t="shared" si="25"/>
        <v>-3512563.0985158398</v>
      </c>
      <c r="N93" s="2473">
        <f t="shared" si="33"/>
        <v>-3910211.7511780136</v>
      </c>
      <c r="P93" s="2479">
        <v>47208</v>
      </c>
      <c r="Q93" s="2473">
        <f>-'G-3.04,5.01 PF AMI'!AK134</f>
        <v>-89408.671805069913</v>
      </c>
      <c r="R93" s="2473">
        <f t="shared" si="28"/>
        <v>4738659.6056686761</v>
      </c>
      <c r="S93" s="2473">
        <f t="shared" si="34"/>
        <v>5275111.6364990948</v>
      </c>
      <c r="T93" s="2473">
        <f t="shared" si="26"/>
        <v>-995118.51719042193</v>
      </c>
      <c r="U93" s="2473">
        <f t="shared" si="35"/>
        <v>-1107773.4436648099</v>
      </c>
      <c r="Y93" s="477">
        <v>86</v>
      </c>
      <c r="Z93" s="477">
        <v>202510</v>
      </c>
      <c r="AA93" s="2472">
        <f t="shared" ref="AA93:AD108" si="36">AA92</f>
        <v>141673.76797421335</v>
      </c>
      <c r="AB93" s="2472">
        <f t="shared" si="36"/>
        <v>9212.1931736232491</v>
      </c>
      <c r="AC93" s="2472">
        <f t="shared" si="36"/>
        <v>180859.29027261797</v>
      </c>
      <c r="AD93" s="2472">
        <f t="shared" si="36"/>
        <v>-16151.082640952791</v>
      </c>
      <c r="AE93" s="2472">
        <f t="shared" si="30"/>
        <v>315594.16877950181</v>
      </c>
      <c r="AF93" s="2472"/>
      <c r="AG93" s="2472">
        <f t="shared" ref="AG93:AK108" si="37">AG92</f>
        <v>28472.18673513988</v>
      </c>
      <c r="AH93" s="2472">
        <f t="shared" si="37"/>
        <v>3233.4334850305936</v>
      </c>
      <c r="AI93" s="2472">
        <f t="shared" si="37"/>
        <v>59670.591944930027</v>
      </c>
      <c r="AJ93" s="2472">
        <f t="shared" si="37"/>
        <v>-1967.5403600305935</v>
      </c>
      <c r="AK93" s="2472">
        <f t="shared" si="37"/>
        <v>89408.671805069913</v>
      </c>
    </row>
    <row r="94" spans="9:37">
      <c r="I94" s="2479">
        <v>47238</v>
      </c>
      <c r="J94" s="2473">
        <f>-'G-3.04,5.01 PF AMI'!AE135</f>
        <v>-315594.16877950181</v>
      </c>
      <c r="K94" s="2473">
        <f t="shared" si="27"/>
        <v>16410896.776534021</v>
      </c>
      <c r="L94" s="2473">
        <f t="shared" si="32"/>
        <v>18304461.789211039</v>
      </c>
      <c r="M94" s="2473">
        <f t="shared" si="25"/>
        <v>-3446288.3230721443</v>
      </c>
      <c r="N94" s="2473">
        <f t="shared" si="33"/>
        <v>-3843936.9757343177</v>
      </c>
      <c r="P94" s="2479">
        <v>47238</v>
      </c>
      <c r="Q94" s="2473">
        <f>-'G-3.04,5.01 PF AMI'!AK135</f>
        <v>-89408.671805069913</v>
      </c>
      <c r="R94" s="2473">
        <f t="shared" si="28"/>
        <v>4649250.9338636063</v>
      </c>
      <c r="S94" s="2473">
        <f t="shared" si="34"/>
        <v>5185702.9646940259</v>
      </c>
      <c r="T94" s="2473">
        <f t="shared" si="26"/>
        <v>-976342.69611135731</v>
      </c>
      <c r="U94" s="2473">
        <f t="shared" si="35"/>
        <v>-1088997.6225857453</v>
      </c>
      <c r="Y94" s="477">
        <v>87</v>
      </c>
      <c r="Z94" s="477">
        <v>202511</v>
      </c>
      <c r="AA94" s="2472">
        <f t="shared" si="36"/>
        <v>141673.76797421335</v>
      </c>
      <c r="AB94" s="2472">
        <f t="shared" si="36"/>
        <v>9212.1931736232491</v>
      </c>
      <c r="AC94" s="2472">
        <f t="shared" si="36"/>
        <v>180859.29027261797</v>
      </c>
      <c r="AD94" s="2472">
        <f t="shared" si="36"/>
        <v>-16151.082640952791</v>
      </c>
      <c r="AE94" s="2472">
        <f t="shared" si="30"/>
        <v>315594.16877950181</v>
      </c>
      <c r="AF94" s="2472"/>
      <c r="AG94" s="2472">
        <f t="shared" si="37"/>
        <v>28472.18673513988</v>
      </c>
      <c r="AH94" s="2472">
        <f t="shared" si="37"/>
        <v>3233.4334850305936</v>
      </c>
      <c r="AI94" s="2472">
        <f t="shared" si="37"/>
        <v>59670.591944930027</v>
      </c>
      <c r="AJ94" s="2472">
        <f t="shared" si="37"/>
        <v>-1967.5403600305935</v>
      </c>
      <c r="AK94" s="2472">
        <f t="shared" si="37"/>
        <v>89408.671805069913</v>
      </c>
    </row>
    <row r="95" spans="9:37">
      <c r="I95" s="2479">
        <v>47269</v>
      </c>
      <c r="J95" s="2473">
        <f>-'G-3.04,5.01 PF AMI'!AE136</f>
        <v>-315594.16877950181</v>
      </c>
      <c r="K95" s="2473">
        <f t="shared" si="27"/>
        <v>16095302.607754519</v>
      </c>
      <c r="L95" s="2473">
        <f t="shared" si="32"/>
        <v>17988867.620431535</v>
      </c>
      <c r="M95" s="2473">
        <f t="shared" si="25"/>
        <v>-3380013.5476284488</v>
      </c>
      <c r="N95" s="2473">
        <f t="shared" si="33"/>
        <v>-3777662.2002906222</v>
      </c>
      <c r="P95" s="2479">
        <v>47269</v>
      </c>
      <c r="Q95" s="2473">
        <f>-'G-3.04,5.01 PF AMI'!AK136</f>
        <v>-89408.671805069913</v>
      </c>
      <c r="R95" s="2473">
        <f t="shared" si="28"/>
        <v>4559842.2620585365</v>
      </c>
      <c r="S95" s="2473">
        <f t="shared" si="34"/>
        <v>5096294.2928889552</v>
      </c>
      <c r="T95" s="2473">
        <f t="shared" si="26"/>
        <v>-957566.87503229268</v>
      </c>
      <c r="U95" s="2473">
        <f t="shared" si="35"/>
        <v>-1070221.8015066807</v>
      </c>
      <c r="Y95" s="477">
        <v>88</v>
      </c>
      <c r="Z95" s="477">
        <v>202512</v>
      </c>
      <c r="AA95" s="2472">
        <f t="shared" si="36"/>
        <v>141673.76797421335</v>
      </c>
      <c r="AB95" s="2472">
        <f t="shared" si="36"/>
        <v>9212.1931736232491</v>
      </c>
      <c r="AC95" s="2472">
        <f t="shared" si="36"/>
        <v>180859.29027261797</v>
      </c>
      <c r="AD95" s="2472">
        <f t="shared" si="36"/>
        <v>-16151.082640952791</v>
      </c>
      <c r="AE95" s="2472">
        <f t="shared" si="30"/>
        <v>315594.16877950181</v>
      </c>
      <c r="AF95" s="2472"/>
      <c r="AG95" s="2472">
        <f t="shared" si="37"/>
        <v>28472.18673513988</v>
      </c>
      <c r="AH95" s="2472">
        <f t="shared" si="37"/>
        <v>3233.4334850305936</v>
      </c>
      <c r="AI95" s="2472">
        <f t="shared" si="37"/>
        <v>59670.591944930027</v>
      </c>
      <c r="AJ95" s="2472">
        <f t="shared" si="37"/>
        <v>-1967.5403600305935</v>
      </c>
      <c r="AK95" s="2472">
        <f t="shared" si="37"/>
        <v>89408.671805069913</v>
      </c>
    </row>
    <row r="96" spans="9:37">
      <c r="I96" s="2479">
        <v>47299</v>
      </c>
      <c r="J96" s="2473">
        <f>-'G-3.04,5.01 PF AMI'!AE137</f>
        <v>-315594.16877950181</v>
      </c>
      <c r="K96" s="2473">
        <f t="shared" si="27"/>
        <v>15779708.438975018</v>
      </c>
      <c r="L96" s="2473">
        <f t="shared" si="32"/>
        <v>17673273.451652031</v>
      </c>
      <c r="M96" s="2473">
        <f t="shared" si="25"/>
        <v>-3313738.7721847533</v>
      </c>
      <c r="N96" s="2473">
        <f t="shared" si="33"/>
        <v>-3711387.4248469262</v>
      </c>
      <c r="P96" s="2479">
        <v>47299</v>
      </c>
      <c r="Q96" s="2473">
        <f>-'G-3.04,5.01 PF AMI'!AK137</f>
        <v>-89408.671805069913</v>
      </c>
      <c r="R96" s="2473">
        <f t="shared" si="28"/>
        <v>4470433.5902534667</v>
      </c>
      <c r="S96" s="2473">
        <f t="shared" si="34"/>
        <v>5006885.6210838864</v>
      </c>
      <c r="T96" s="2473">
        <f t="shared" si="26"/>
        <v>-938791.05395322794</v>
      </c>
      <c r="U96" s="2473">
        <f t="shared" si="35"/>
        <v>-1051445.980427616</v>
      </c>
      <c r="Y96" s="477">
        <v>89</v>
      </c>
      <c r="Z96" s="477">
        <v>202601</v>
      </c>
      <c r="AA96" s="2472">
        <f t="shared" si="36"/>
        <v>141673.76797421335</v>
      </c>
      <c r="AB96" s="2472">
        <f t="shared" si="36"/>
        <v>9212.1931736232491</v>
      </c>
      <c r="AC96" s="2472">
        <f t="shared" si="36"/>
        <v>180859.29027261797</v>
      </c>
      <c r="AD96" s="2472">
        <f t="shared" si="36"/>
        <v>-16151.082640952791</v>
      </c>
      <c r="AE96" s="2472">
        <f t="shared" si="30"/>
        <v>315594.16877950181</v>
      </c>
      <c r="AF96" s="2472"/>
      <c r="AG96" s="2472">
        <f t="shared" si="37"/>
        <v>28472.18673513988</v>
      </c>
      <c r="AH96" s="2472">
        <f t="shared" si="37"/>
        <v>3233.4334850305936</v>
      </c>
      <c r="AI96" s="2472">
        <f t="shared" si="37"/>
        <v>59670.591944930027</v>
      </c>
      <c r="AJ96" s="2472">
        <f t="shared" si="37"/>
        <v>-1967.5403600305935</v>
      </c>
      <c r="AK96" s="2472">
        <f t="shared" si="37"/>
        <v>89408.671805069913</v>
      </c>
    </row>
    <row r="97" spans="9:37">
      <c r="I97" s="2479">
        <v>47330</v>
      </c>
      <c r="J97" s="2473">
        <f>-'G-3.04,5.01 PF AMI'!AE138</f>
        <v>-315594.16877950181</v>
      </c>
      <c r="K97" s="2473">
        <f t="shared" si="27"/>
        <v>15464114.270195516</v>
      </c>
      <c r="L97" s="2473">
        <f t="shared" si="32"/>
        <v>17357679.282872528</v>
      </c>
      <c r="M97" s="2473">
        <f t="shared" si="25"/>
        <v>-3247463.9967410583</v>
      </c>
      <c r="N97" s="2473">
        <f t="shared" si="33"/>
        <v>-3645112.6494032308</v>
      </c>
      <c r="P97" s="2479">
        <v>47330</v>
      </c>
      <c r="Q97" s="2473">
        <f>-'G-3.04,5.01 PF AMI'!AK138</f>
        <v>-89408.671805069913</v>
      </c>
      <c r="R97" s="2473">
        <f t="shared" si="28"/>
        <v>4381024.918448397</v>
      </c>
      <c r="S97" s="2473">
        <f t="shared" si="34"/>
        <v>4917476.9492788156</v>
      </c>
      <c r="T97" s="2473">
        <f t="shared" si="26"/>
        <v>-920015.23287416331</v>
      </c>
      <c r="U97" s="2473">
        <f t="shared" si="35"/>
        <v>-1032670.1593485513</v>
      </c>
      <c r="Y97" s="477">
        <v>90</v>
      </c>
      <c r="Z97" s="477">
        <v>202602</v>
      </c>
      <c r="AA97" s="2472">
        <f t="shared" si="36"/>
        <v>141673.76797421335</v>
      </c>
      <c r="AB97" s="2472">
        <f t="shared" si="36"/>
        <v>9212.1931736232491</v>
      </c>
      <c r="AC97" s="2472">
        <f t="shared" si="36"/>
        <v>180859.29027261797</v>
      </c>
      <c r="AD97" s="2472">
        <f t="shared" si="36"/>
        <v>-16151.082640952791</v>
      </c>
      <c r="AE97" s="2472">
        <f t="shared" si="30"/>
        <v>315594.16877950181</v>
      </c>
      <c r="AF97" s="2472"/>
      <c r="AG97" s="2472">
        <f t="shared" si="37"/>
        <v>28472.18673513988</v>
      </c>
      <c r="AH97" s="2472">
        <f t="shared" si="37"/>
        <v>3233.4334850305936</v>
      </c>
      <c r="AI97" s="2472">
        <f t="shared" si="37"/>
        <v>59670.591944930027</v>
      </c>
      <c r="AJ97" s="2472">
        <f t="shared" si="37"/>
        <v>-1967.5403600305935</v>
      </c>
      <c r="AK97" s="2472">
        <f t="shared" si="37"/>
        <v>89408.671805069913</v>
      </c>
    </row>
    <row r="98" spans="9:37">
      <c r="I98" s="2479">
        <v>47361</v>
      </c>
      <c r="J98" s="2473">
        <f>-'G-3.04,5.01 PF AMI'!AE139</f>
        <v>-315594.16877950181</v>
      </c>
      <c r="K98" s="2473">
        <f t="shared" si="27"/>
        <v>15148520.101416014</v>
      </c>
      <c r="L98" s="2473">
        <f t="shared" si="32"/>
        <v>17042085.114093024</v>
      </c>
      <c r="M98" s="2473">
        <f t="shared" si="25"/>
        <v>-3181189.2212973628</v>
      </c>
      <c r="N98" s="2473">
        <f t="shared" si="33"/>
        <v>-3578837.8739595353</v>
      </c>
      <c r="P98" s="2479">
        <v>47361</v>
      </c>
      <c r="Q98" s="2473">
        <f>-'G-3.04,5.01 PF AMI'!AK139</f>
        <v>-89408.671805069913</v>
      </c>
      <c r="R98" s="2473">
        <f t="shared" si="28"/>
        <v>4291616.2466433272</v>
      </c>
      <c r="S98" s="2473">
        <f t="shared" si="34"/>
        <v>4828068.2774737459</v>
      </c>
      <c r="T98" s="2473">
        <f t="shared" si="26"/>
        <v>-901239.41179509868</v>
      </c>
      <c r="U98" s="2473">
        <f t="shared" si="35"/>
        <v>-1013894.3382694867</v>
      </c>
      <c r="Y98" s="477">
        <v>91</v>
      </c>
      <c r="Z98" s="477">
        <v>202603</v>
      </c>
      <c r="AA98" s="2472">
        <f t="shared" si="36"/>
        <v>141673.76797421335</v>
      </c>
      <c r="AB98" s="2472">
        <f t="shared" si="36"/>
        <v>9212.1931736232491</v>
      </c>
      <c r="AC98" s="2472">
        <f t="shared" si="36"/>
        <v>180859.29027261797</v>
      </c>
      <c r="AD98" s="2472">
        <f t="shared" si="36"/>
        <v>-16151.082640952791</v>
      </c>
      <c r="AE98" s="2472">
        <f t="shared" si="30"/>
        <v>315594.16877950181</v>
      </c>
      <c r="AF98" s="2472"/>
      <c r="AG98" s="2472">
        <f t="shared" si="37"/>
        <v>28472.18673513988</v>
      </c>
      <c r="AH98" s="2472">
        <f t="shared" si="37"/>
        <v>3233.4334850305936</v>
      </c>
      <c r="AI98" s="2472">
        <f t="shared" si="37"/>
        <v>59670.591944930027</v>
      </c>
      <c r="AJ98" s="2472">
        <f t="shared" si="37"/>
        <v>-1967.5403600305935</v>
      </c>
      <c r="AK98" s="2472">
        <f t="shared" si="37"/>
        <v>89408.671805069913</v>
      </c>
    </row>
    <row r="99" spans="9:37">
      <c r="I99" s="2479">
        <v>47391</v>
      </c>
      <c r="J99" s="2473">
        <f>-'G-3.04,5.01 PF AMI'!AE140</f>
        <v>-315594.16877950181</v>
      </c>
      <c r="K99" s="2473">
        <f t="shared" si="27"/>
        <v>14832925.932636512</v>
      </c>
      <c r="L99" s="2473">
        <f t="shared" si="32"/>
        <v>16726490.945313526</v>
      </c>
      <c r="M99" s="2473">
        <f t="shared" si="25"/>
        <v>-3114914.4458536673</v>
      </c>
      <c r="N99" s="2473">
        <f t="shared" si="33"/>
        <v>-3512563.0985158389</v>
      </c>
      <c r="P99" s="2479">
        <v>47391</v>
      </c>
      <c r="Q99" s="2473">
        <f>-'G-3.04,5.01 PF AMI'!AK140</f>
        <v>-89408.671805069913</v>
      </c>
      <c r="R99" s="2473">
        <f t="shared" si="28"/>
        <v>4202207.5748382574</v>
      </c>
      <c r="S99" s="2473">
        <f t="shared" si="34"/>
        <v>4738659.6056686761</v>
      </c>
      <c r="T99" s="2473">
        <f t="shared" si="26"/>
        <v>-882463.59071603406</v>
      </c>
      <c r="U99" s="2473">
        <f t="shared" si="35"/>
        <v>-995118.51719042193</v>
      </c>
      <c r="Y99" s="477">
        <v>92</v>
      </c>
      <c r="Z99" s="477">
        <v>202604</v>
      </c>
      <c r="AA99" s="2472">
        <f t="shared" si="36"/>
        <v>141673.76797421335</v>
      </c>
      <c r="AB99" s="2472">
        <f t="shared" si="36"/>
        <v>9212.1931736232491</v>
      </c>
      <c r="AC99" s="2472">
        <f t="shared" si="36"/>
        <v>180859.29027261797</v>
      </c>
      <c r="AD99" s="2472">
        <f t="shared" si="36"/>
        <v>-16151.082640952791</v>
      </c>
      <c r="AE99" s="2472">
        <f t="shared" si="30"/>
        <v>315594.16877950181</v>
      </c>
      <c r="AF99" s="2472"/>
      <c r="AG99" s="2472">
        <f t="shared" si="37"/>
        <v>28472.18673513988</v>
      </c>
      <c r="AH99" s="2472">
        <f t="shared" si="37"/>
        <v>3233.4334850305936</v>
      </c>
      <c r="AI99" s="2472">
        <f t="shared" si="37"/>
        <v>59670.591944930027</v>
      </c>
      <c r="AJ99" s="2472">
        <f t="shared" si="37"/>
        <v>-1967.5403600305935</v>
      </c>
      <c r="AK99" s="2472">
        <f t="shared" si="37"/>
        <v>89408.671805069913</v>
      </c>
    </row>
    <row r="100" spans="9:37">
      <c r="I100" s="2479">
        <v>47422</v>
      </c>
      <c r="J100" s="2473">
        <f>-'G-3.04,5.01 PF AMI'!AE141</f>
        <v>-315594.16877950181</v>
      </c>
      <c r="K100" s="2473">
        <f t="shared" si="27"/>
        <v>14517331.763857011</v>
      </c>
      <c r="L100" s="2473">
        <f t="shared" si="32"/>
        <v>16410896.776534021</v>
      </c>
      <c r="M100" s="2473">
        <f t="shared" si="25"/>
        <v>-3048639.6704099723</v>
      </c>
      <c r="N100" s="2473">
        <f t="shared" si="33"/>
        <v>-3446288.3230721434</v>
      </c>
      <c r="P100" s="2479">
        <v>47422</v>
      </c>
      <c r="Q100" s="2473">
        <f>-'G-3.04,5.01 PF AMI'!AK141</f>
        <v>-89408.671805069913</v>
      </c>
      <c r="R100" s="2473">
        <f t="shared" si="28"/>
        <v>4112798.9030331876</v>
      </c>
      <c r="S100" s="2473">
        <f t="shared" si="34"/>
        <v>4649250.9338636054</v>
      </c>
      <c r="T100" s="2473">
        <f t="shared" si="26"/>
        <v>-863687.76963696931</v>
      </c>
      <c r="U100" s="2473">
        <f t="shared" si="35"/>
        <v>-976342.69611135731</v>
      </c>
      <c r="Y100" s="477">
        <v>93</v>
      </c>
      <c r="Z100" s="477">
        <v>202605</v>
      </c>
      <c r="AA100" s="2472">
        <f t="shared" si="36"/>
        <v>141673.76797421335</v>
      </c>
      <c r="AB100" s="2472">
        <f t="shared" si="36"/>
        <v>9212.1931736232491</v>
      </c>
      <c r="AC100" s="2472">
        <f t="shared" si="36"/>
        <v>180859.29027261797</v>
      </c>
      <c r="AD100" s="2472">
        <f t="shared" si="36"/>
        <v>-16151.082640952791</v>
      </c>
      <c r="AE100" s="2472">
        <f t="shared" si="30"/>
        <v>315594.16877950181</v>
      </c>
      <c r="AF100" s="2472"/>
      <c r="AG100" s="2472">
        <f t="shared" si="37"/>
        <v>28472.18673513988</v>
      </c>
      <c r="AH100" s="2472">
        <f t="shared" si="37"/>
        <v>3233.4334850305936</v>
      </c>
      <c r="AI100" s="2472">
        <f t="shared" si="37"/>
        <v>59670.591944930027</v>
      </c>
      <c r="AJ100" s="2472">
        <f t="shared" si="37"/>
        <v>-1967.5403600305935</v>
      </c>
      <c r="AK100" s="2472">
        <f t="shared" si="37"/>
        <v>89408.671805069913</v>
      </c>
    </row>
    <row r="101" spans="9:37">
      <c r="I101" s="2479">
        <v>47452</v>
      </c>
      <c r="J101" s="2473">
        <f>-'G-3.04,5.01 PF AMI'!AE142</f>
        <v>-315594.16877950181</v>
      </c>
      <c r="K101" s="2473">
        <f t="shared" si="27"/>
        <v>14201737.595077509</v>
      </c>
      <c r="L101" s="2473">
        <f t="shared" si="32"/>
        <v>16095302.607754519</v>
      </c>
      <c r="M101" s="2473">
        <f t="shared" si="25"/>
        <v>-2982364.8949662768</v>
      </c>
      <c r="N101" s="2473">
        <f t="shared" si="33"/>
        <v>-3380013.5476284479</v>
      </c>
      <c r="P101" s="2479">
        <v>47452</v>
      </c>
      <c r="Q101" s="2473">
        <f>-'G-3.04,5.01 PF AMI'!AK142</f>
        <v>-89408.671805069913</v>
      </c>
      <c r="R101" s="2473">
        <f t="shared" si="28"/>
        <v>4023390.2312281178</v>
      </c>
      <c r="S101" s="2473">
        <f t="shared" si="34"/>
        <v>4559842.2620585365</v>
      </c>
      <c r="T101" s="2473">
        <f t="shared" si="26"/>
        <v>-844911.94855790469</v>
      </c>
      <c r="U101" s="2473">
        <f t="shared" si="35"/>
        <v>-957566.87503229268</v>
      </c>
      <c r="Y101" s="477">
        <v>94</v>
      </c>
      <c r="Z101" s="477">
        <v>202606</v>
      </c>
      <c r="AA101" s="2472">
        <f t="shared" si="36"/>
        <v>141673.76797421335</v>
      </c>
      <c r="AB101" s="2472">
        <f t="shared" si="36"/>
        <v>9212.1931736232491</v>
      </c>
      <c r="AC101" s="2472">
        <f t="shared" si="36"/>
        <v>180859.29027261797</v>
      </c>
      <c r="AD101" s="2472">
        <f t="shared" si="36"/>
        <v>-16151.082640952791</v>
      </c>
      <c r="AE101" s="2472">
        <f t="shared" si="30"/>
        <v>315594.16877950181</v>
      </c>
      <c r="AF101" s="2472"/>
      <c r="AG101" s="2472">
        <f t="shared" si="37"/>
        <v>28472.18673513988</v>
      </c>
      <c r="AH101" s="2472">
        <f t="shared" si="37"/>
        <v>3233.4334850305936</v>
      </c>
      <c r="AI101" s="2472">
        <f t="shared" si="37"/>
        <v>59670.591944930027</v>
      </c>
      <c r="AJ101" s="2472">
        <f t="shared" si="37"/>
        <v>-1967.5403600305935</v>
      </c>
      <c r="AK101" s="2472">
        <f t="shared" si="37"/>
        <v>89408.671805069913</v>
      </c>
    </row>
    <row r="102" spans="9:37">
      <c r="I102" s="2479">
        <v>47483</v>
      </c>
      <c r="J102" s="2473">
        <f>-'G-3.04,5.01 PF AMI'!AE143</f>
        <v>-315594.16877950181</v>
      </c>
      <c r="K102" s="2473">
        <f t="shared" si="27"/>
        <v>13886143.426298007</v>
      </c>
      <c r="L102" s="2473">
        <f t="shared" si="32"/>
        <v>15779708.438975016</v>
      </c>
      <c r="M102" s="2473">
        <f t="shared" si="25"/>
        <v>-2916090.1195225813</v>
      </c>
      <c r="N102" s="2473">
        <f t="shared" si="33"/>
        <v>-3313738.7721847524</v>
      </c>
      <c r="P102" s="2479">
        <v>47483</v>
      </c>
      <c r="Q102" s="2473">
        <f>-'G-3.04,5.01 PF AMI'!AK143</f>
        <v>-89408.671805069913</v>
      </c>
      <c r="R102" s="2473">
        <f t="shared" si="28"/>
        <v>3933981.559423048</v>
      </c>
      <c r="S102" s="2473">
        <f t="shared" si="34"/>
        <v>4470433.5902534677</v>
      </c>
      <c r="T102" s="2473">
        <f t="shared" si="26"/>
        <v>-826136.12747884006</v>
      </c>
      <c r="U102" s="2473">
        <f t="shared" si="35"/>
        <v>-938791.05395322794</v>
      </c>
      <c r="Y102" s="477">
        <v>95</v>
      </c>
      <c r="Z102" s="477">
        <v>202607</v>
      </c>
      <c r="AA102" s="2472">
        <f t="shared" si="36"/>
        <v>141673.76797421335</v>
      </c>
      <c r="AB102" s="2472">
        <f t="shared" si="36"/>
        <v>9212.1931736232491</v>
      </c>
      <c r="AC102" s="2472">
        <f t="shared" si="36"/>
        <v>180859.29027261797</v>
      </c>
      <c r="AD102" s="2472">
        <f t="shared" si="36"/>
        <v>-16151.082640952791</v>
      </c>
      <c r="AE102" s="2472">
        <f t="shared" si="30"/>
        <v>315594.16877950181</v>
      </c>
      <c r="AF102" s="2472"/>
      <c r="AG102" s="2472">
        <f t="shared" si="37"/>
        <v>28472.18673513988</v>
      </c>
      <c r="AH102" s="2472">
        <f t="shared" si="37"/>
        <v>3233.4334850305936</v>
      </c>
      <c r="AI102" s="2472">
        <f t="shared" si="37"/>
        <v>59670.591944930027</v>
      </c>
      <c r="AJ102" s="2472">
        <f t="shared" si="37"/>
        <v>-1967.5403600305935</v>
      </c>
      <c r="AK102" s="2472">
        <f t="shared" si="37"/>
        <v>89408.671805069913</v>
      </c>
    </row>
    <row r="103" spans="9:37">
      <c r="I103" s="2479">
        <v>47514</v>
      </c>
      <c r="J103" s="2473">
        <f>-'G-3.04,5.01 PF AMI'!AE144</f>
        <v>-315594.16877950181</v>
      </c>
      <c r="K103" s="2473">
        <f t="shared" si="27"/>
        <v>13570549.257518506</v>
      </c>
      <c r="L103" s="2473">
        <f t="shared" si="32"/>
        <v>15464114.270195514</v>
      </c>
      <c r="M103" s="2473">
        <f t="shared" si="25"/>
        <v>-2849815.3440788859</v>
      </c>
      <c r="N103" s="2473">
        <f t="shared" si="33"/>
        <v>-3247463.9967410578</v>
      </c>
      <c r="P103" s="2479">
        <v>47514</v>
      </c>
      <c r="Q103" s="2473">
        <f>-'G-3.04,5.01 PF AMI'!AK144</f>
        <v>-89408.671805069913</v>
      </c>
      <c r="R103" s="2473">
        <f t="shared" si="28"/>
        <v>3844572.8876179783</v>
      </c>
      <c r="S103" s="2473">
        <f t="shared" si="34"/>
        <v>4381024.918448397</v>
      </c>
      <c r="T103" s="2473">
        <f t="shared" si="26"/>
        <v>-807360.30639977544</v>
      </c>
      <c r="U103" s="2473">
        <f t="shared" si="35"/>
        <v>-920015.23287416331</v>
      </c>
      <c r="Y103" s="477">
        <v>96</v>
      </c>
      <c r="Z103" s="477">
        <v>202608</v>
      </c>
      <c r="AA103" s="2472">
        <f t="shared" si="36"/>
        <v>141673.76797421335</v>
      </c>
      <c r="AB103" s="2472">
        <f t="shared" si="36"/>
        <v>9212.1931736232491</v>
      </c>
      <c r="AC103" s="2472">
        <f t="shared" si="36"/>
        <v>180859.29027261797</v>
      </c>
      <c r="AD103" s="2472">
        <f t="shared" si="36"/>
        <v>-16151.082640952791</v>
      </c>
      <c r="AE103" s="2472">
        <f t="shared" si="30"/>
        <v>315594.16877950181</v>
      </c>
      <c r="AF103" s="2472"/>
      <c r="AG103" s="2472">
        <f t="shared" si="37"/>
        <v>28472.18673513988</v>
      </c>
      <c r="AH103" s="2472">
        <f t="shared" si="37"/>
        <v>3233.4334850305936</v>
      </c>
      <c r="AI103" s="2472">
        <f t="shared" si="37"/>
        <v>59670.591944930027</v>
      </c>
      <c r="AJ103" s="2472">
        <f t="shared" si="37"/>
        <v>-1967.5403600305935</v>
      </c>
      <c r="AK103" s="2472">
        <f t="shared" si="37"/>
        <v>89408.671805069913</v>
      </c>
    </row>
    <row r="104" spans="9:37">
      <c r="I104" s="2479">
        <v>47542</v>
      </c>
      <c r="J104" s="2473">
        <f>-'G-3.04,5.01 PF AMI'!AE145</f>
        <v>-315594.16877950181</v>
      </c>
      <c r="K104" s="2473">
        <f t="shared" si="27"/>
        <v>13254955.088739004</v>
      </c>
      <c r="L104" s="2473">
        <f t="shared" si="32"/>
        <v>15148520.101416014</v>
      </c>
      <c r="M104" s="2473">
        <f t="shared" si="25"/>
        <v>-2783540.5686351908</v>
      </c>
      <c r="N104" s="2473">
        <f t="shared" si="33"/>
        <v>-3181189.2212973624</v>
      </c>
      <c r="P104" s="2479">
        <v>47542</v>
      </c>
      <c r="Q104" s="2473">
        <f>-'G-3.04,5.01 PF AMI'!AK145</f>
        <v>-89408.671805069913</v>
      </c>
      <c r="R104" s="2473">
        <f t="shared" si="28"/>
        <v>3755164.2158129085</v>
      </c>
      <c r="S104" s="2473">
        <f t="shared" si="34"/>
        <v>4291616.2466433272</v>
      </c>
      <c r="T104" s="2473">
        <f t="shared" si="26"/>
        <v>-788584.48532071081</v>
      </c>
      <c r="U104" s="2473">
        <f t="shared" si="35"/>
        <v>-901239.41179509868</v>
      </c>
      <c r="Y104" s="477">
        <v>97</v>
      </c>
      <c r="Z104" s="477">
        <v>202609</v>
      </c>
      <c r="AA104" s="2472">
        <f t="shared" si="36"/>
        <v>141673.76797421335</v>
      </c>
      <c r="AB104" s="2472">
        <f t="shared" si="36"/>
        <v>9212.1931736232491</v>
      </c>
      <c r="AC104" s="2472">
        <f t="shared" si="36"/>
        <v>180859.29027261797</v>
      </c>
      <c r="AD104" s="2472">
        <f t="shared" si="36"/>
        <v>-16151.082640952791</v>
      </c>
      <c r="AE104" s="2472">
        <f t="shared" si="30"/>
        <v>315594.16877950181</v>
      </c>
      <c r="AF104" s="2472"/>
      <c r="AG104" s="2472">
        <f t="shared" si="37"/>
        <v>28472.18673513988</v>
      </c>
      <c r="AH104" s="2472">
        <f t="shared" si="37"/>
        <v>3233.4334850305936</v>
      </c>
      <c r="AI104" s="2472">
        <f t="shared" si="37"/>
        <v>59670.591944930027</v>
      </c>
      <c r="AJ104" s="2472">
        <f t="shared" si="37"/>
        <v>-1967.5403600305935</v>
      </c>
      <c r="AK104" s="2472">
        <f t="shared" si="37"/>
        <v>89408.671805069913</v>
      </c>
    </row>
    <row r="105" spans="9:37">
      <c r="I105" s="2479">
        <v>47573</v>
      </c>
      <c r="J105" s="2473">
        <f>-'G-3.04,5.01 PF AMI'!AE146</f>
        <v>-315594.16877950181</v>
      </c>
      <c r="K105" s="2473">
        <f t="shared" si="27"/>
        <v>12939360.919959502</v>
      </c>
      <c r="L105" s="2473">
        <f t="shared" si="32"/>
        <v>14832925.932636509</v>
      </c>
      <c r="M105" s="2473">
        <f t="shared" si="25"/>
        <v>-2717265.7931914954</v>
      </c>
      <c r="N105" s="2473">
        <f t="shared" si="33"/>
        <v>-3114914.4458536678</v>
      </c>
      <c r="P105" s="2479">
        <v>47573</v>
      </c>
      <c r="Q105" s="2473">
        <f>-'G-3.04,5.01 PF AMI'!AK146</f>
        <v>-89408.671805069913</v>
      </c>
      <c r="R105" s="2473">
        <f t="shared" si="28"/>
        <v>3665755.5440078387</v>
      </c>
      <c r="S105" s="2473">
        <f t="shared" si="34"/>
        <v>4202207.5748382574</v>
      </c>
      <c r="T105" s="2473">
        <f t="shared" si="26"/>
        <v>-769808.66424164607</v>
      </c>
      <c r="U105" s="2473">
        <f t="shared" si="35"/>
        <v>-882463.59071603406</v>
      </c>
      <c r="Y105" s="477">
        <v>98</v>
      </c>
      <c r="Z105" s="477">
        <v>202610</v>
      </c>
      <c r="AA105" s="2472">
        <f t="shared" si="36"/>
        <v>141673.76797421335</v>
      </c>
      <c r="AB105" s="2472">
        <f t="shared" si="36"/>
        <v>9212.1931736232491</v>
      </c>
      <c r="AC105" s="2472">
        <f t="shared" si="36"/>
        <v>180859.29027261797</v>
      </c>
      <c r="AD105" s="2472">
        <f t="shared" si="36"/>
        <v>-16151.082640952791</v>
      </c>
      <c r="AE105" s="2472">
        <f t="shared" si="30"/>
        <v>315594.16877950181</v>
      </c>
      <c r="AF105" s="2472"/>
      <c r="AG105" s="2472">
        <f t="shared" si="37"/>
        <v>28472.18673513988</v>
      </c>
      <c r="AH105" s="2472">
        <f t="shared" si="37"/>
        <v>3233.4334850305936</v>
      </c>
      <c r="AI105" s="2472">
        <f t="shared" si="37"/>
        <v>59670.591944930027</v>
      </c>
      <c r="AJ105" s="2472">
        <f t="shared" si="37"/>
        <v>-1967.5403600305935</v>
      </c>
      <c r="AK105" s="2472">
        <f t="shared" si="37"/>
        <v>89408.671805069913</v>
      </c>
    </row>
    <row r="106" spans="9:37">
      <c r="I106" s="2479">
        <v>47603</v>
      </c>
      <c r="J106" s="2473">
        <f>-'G-3.04,5.01 PF AMI'!AE147</f>
        <v>-315594.16877950181</v>
      </c>
      <c r="K106" s="2473">
        <f t="shared" si="27"/>
        <v>12623766.751180001</v>
      </c>
      <c r="L106" s="2473">
        <f t="shared" si="32"/>
        <v>14517331.763857013</v>
      </c>
      <c r="M106" s="2473">
        <f t="shared" si="25"/>
        <v>-2650991.0177477999</v>
      </c>
      <c r="N106" s="2473">
        <f t="shared" si="33"/>
        <v>-3048639.6704099723</v>
      </c>
      <c r="P106" s="2479">
        <v>47603</v>
      </c>
      <c r="Q106" s="2473">
        <f>-'G-3.04,5.01 PF AMI'!AK147</f>
        <v>-89408.671805069913</v>
      </c>
      <c r="R106" s="2473">
        <f t="shared" si="28"/>
        <v>3576346.8722027689</v>
      </c>
      <c r="S106" s="2473">
        <f t="shared" si="34"/>
        <v>4112798.9030331871</v>
      </c>
      <c r="T106" s="2473">
        <f t="shared" si="26"/>
        <v>-751032.84316258144</v>
      </c>
      <c r="U106" s="2473">
        <f t="shared" si="35"/>
        <v>-863687.76963696943</v>
      </c>
      <c r="Y106" s="477">
        <v>99</v>
      </c>
      <c r="Z106" s="477">
        <v>202611</v>
      </c>
      <c r="AA106" s="2472">
        <f t="shared" si="36"/>
        <v>141673.76797421335</v>
      </c>
      <c r="AB106" s="2472">
        <f t="shared" si="36"/>
        <v>9212.1931736232491</v>
      </c>
      <c r="AC106" s="2472">
        <f t="shared" si="36"/>
        <v>180859.29027261797</v>
      </c>
      <c r="AD106" s="2472">
        <f t="shared" si="36"/>
        <v>-16151.082640952791</v>
      </c>
      <c r="AE106" s="2472">
        <f t="shared" si="30"/>
        <v>315594.16877950181</v>
      </c>
      <c r="AF106" s="2472"/>
      <c r="AG106" s="2472">
        <f t="shared" si="37"/>
        <v>28472.18673513988</v>
      </c>
      <c r="AH106" s="2472">
        <f t="shared" si="37"/>
        <v>3233.4334850305936</v>
      </c>
      <c r="AI106" s="2472">
        <f t="shared" si="37"/>
        <v>59670.591944930027</v>
      </c>
      <c r="AJ106" s="2472">
        <f t="shared" si="37"/>
        <v>-1967.5403600305935</v>
      </c>
      <c r="AK106" s="2472">
        <f t="shared" si="37"/>
        <v>89408.671805069913</v>
      </c>
    </row>
    <row r="107" spans="9:37">
      <c r="I107" s="2479">
        <v>47634</v>
      </c>
      <c r="J107" s="2473">
        <f>-'G-3.04,5.01 PF AMI'!AE148</f>
        <v>-315594.16877950181</v>
      </c>
      <c r="K107" s="2473">
        <f t="shared" si="27"/>
        <v>12308172.582400499</v>
      </c>
      <c r="L107" s="2473">
        <f t="shared" si="32"/>
        <v>14201737.595077509</v>
      </c>
      <c r="M107" s="2473">
        <f t="shared" si="25"/>
        <v>-2584716.2423041048</v>
      </c>
      <c r="N107" s="2473">
        <f t="shared" si="33"/>
        <v>-2982364.8949662768</v>
      </c>
      <c r="P107" s="2479">
        <v>47634</v>
      </c>
      <c r="Q107" s="2473">
        <f>-'G-3.04,5.01 PF AMI'!AK148</f>
        <v>-89408.671805069913</v>
      </c>
      <c r="R107" s="2473">
        <f t="shared" si="28"/>
        <v>3486938.2003976991</v>
      </c>
      <c r="S107" s="2473">
        <f t="shared" si="34"/>
        <v>4023390.2312281174</v>
      </c>
      <c r="T107" s="2473">
        <f t="shared" si="26"/>
        <v>-732257.02208351681</v>
      </c>
      <c r="U107" s="2473">
        <f t="shared" si="35"/>
        <v>-844911.94855790457</v>
      </c>
      <c r="Y107" s="477">
        <v>100</v>
      </c>
      <c r="Z107" s="477">
        <v>202612</v>
      </c>
      <c r="AA107" s="2472">
        <f t="shared" si="36"/>
        <v>141673.76797421335</v>
      </c>
      <c r="AB107" s="2472">
        <f t="shared" si="36"/>
        <v>9212.1931736232491</v>
      </c>
      <c r="AC107" s="2472">
        <f t="shared" si="36"/>
        <v>180859.29027261797</v>
      </c>
      <c r="AD107" s="2472">
        <f t="shared" si="36"/>
        <v>-16151.082640952791</v>
      </c>
      <c r="AE107" s="2472">
        <f t="shared" si="30"/>
        <v>315594.16877950181</v>
      </c>
      <c r="AF107" s="2472"/>
      <c r="AG107" s="2472">
        <f t="shared" si="37"/>
        <v>28472.18673513988</v>
      </c>
      <c r="AH107" s="2472">
        <f t="shared" si="37"/>
        <v>3233.4334850305936</v>
      </c>
      <c r="AI107" s="2472">
        <f t="shared" si="37"/>
        <v>59670.591944930027</v>
      </c>
      <c r="AJ107" s="2472">
        <f t="shared" si="37"/>
        <v>-1967.5403600305935</v>
      </c>
      <c r="AK107" s="2472">
        <f t="shared" si="37"/>
        <v>89408.671805069913</v>
      </c>
    </row>
    <row r="108" spans="9:37">
      <c r="I108" s="2479">
        <v>47664</v>
      </c>
      <c r="J108" s="2473">
        <f>-'G-3.04,5.01 PF AMI'!AE149</f>
        <v>-315594.16877950181</v>
      </c>
      <c r="K108" s="2473">
        <f t="shared" si="27"/>
        <v>11992578.413620997</v>
      </c>
      <c r="L108" s="2473">
        <f t="shared" si="32"/>
        <v>13886143.426298007</v>
      </c>
      <c r="M108" s="2473">
        <f t="shared" si="25"/>
        <v>-2518441.4668604094</v>
      </c>
      <c r="N108" s="2473">
        <f t="shared" si="33"/>
        <v>-2916090.1195225813</v>
      </c>
      <c r="P108" s="2479">
        <v>47664</v>
      </c>
      <c r="Q108" s="2473">
        <f>-'G-3.04,5.01 PF AMI'!AK149</f>
        <v>-89408.671805069913</v>
      </c>
      <c r="R108" s="2473">
        <f t="shared" si="28"/>
        <v>3397529.5285926294</v>
      </c>
      <c r="S108" s="2473">
        <f t="shared" si="34"/>
        <v>3933981.559423048</v>
      </c>
      <c r="T108" s="2473">
        <f t="shared" si="26"/>
        <v>-713481.20100445219</v>
      </c>
      <c r="U108" s="2473">
        <f t="shared" si="35"/>
        <v>-826136.12747884018</v>
      </c>
      <c r="Y108" s="477">
        <v>101</v>
      </c>
      <c r="Z108" s="477">
        <v>202701</v>
      </c>
      <c r="AA108" s="2472">
        <f t="shared" si="36"/>
        <v>141673.76797421335</v>
      </c>
      <c r="AB108" s="2472">
        <f t="shared" si="36"/>
        <v>9212.1931736232491</v>
      </c>
      <c r="AC108" s="2472">
        <f t="shared" si="36"/>
        <v>180859.29027261797</v>
      </c>
      <c r="AD108" s="2472">
        <f t="shared" si="36"/>
        <v>-16151.082640952791</v>
      </c>
      <c r="AE108" s="2472">
        <f t="shared" si="30"/>
        <v>315594.16877950181</v>
      </c>
      <c r="AF108" s="2472"/>
      <c r="AG108" s="2472">
        <f t="shared" si="37"/>
        <v>28472.18673513988</v>
      </c>
      <c r="AH108" s="2472">
        <f t="shared" si="37"/>
        <v>3233.4334850305936</v>
      </c>
      <c r="AI108" s="2472">
        <f t="shared" si="37"/>
        <v>59670.591944930027</v>
      </c>
      <c r="AJ108" s="2472">
        <f t="shared" si="37"/>
        <v>-1967.5403600305935</v>
      </c>
      <c r="AK108" s="2472">
        <f t="shared" si="37"/>
        <v>89408.671805069913</v>
      </c>
    </row>
    <row r="109" spans="9:37">
      <c r="I109" s="2479">
        <v>47695</v>
      </c>
      <c r="J109" s="2473">
        <f>-'G-3.04,5.01 PF AMI'!AE150</f>
        <v>-315594.16877950181</v>
      </c>
      <c r="K109" s="2473">
        <f t="shared" si="27"/>
        <v>11676984.244841496</v>
      </c>
      <c r="L109" s="2473">
        <f t="shared" si="32"/>
        <v>13570549.257518508</v>
      </c>
      <c r="M109" s="2473">
        <f t="shared" si="25"/>
        <v>-2452166.6914167139</v>
      </c>
      <c r="N109" s="2473">
        <f t="shared" si="33"/>
        <v>-2849815.3440788868</v>
      </c>
      <c r="P109" s="2479">
        <v>47695</v>
      </c>
      <c r="Q109" s="2473">
        <f>-'G-3.04,5.01 PF AMI'!AK150</f>
        <v>-89408.671805069913</v>
      </c>
      <c r="R109" s="2473">
        <f t="shared" si="28"/>
        <v>3308120.8567875596</v>
      </c>
      <c r="S109" s="2473">
        <f t="shared" si="34"/>
        <v>3844572.8876179787</v>
      </c>
      <c r="T109" s="2473">
        <f t="shared" si="26"/>
        <v>-694705.37992538745</v>
      </c>
      <c r="U109" s="2473">
        <f t="shared" si="35"/>
        <v>-807360.30639977555</v>
      </c>
      <c r="Y109" s="477">
        <v>102</v>
      </c>
      <c r="Z109" s="477">
        <v>202702</v>
      </c>
      <c r="AA109" s="2472">
        <f t="shared" ref="AA109:AD124" si="38">AA108</f>
        <v>141673.76797421335</v>
      </c>
      <c r="AB109" s="2472">
        <f t="shared" si="38"/>
        <v>9212.1931736232491</v>
      </c>
      <c r="AC109" s="2472">
        <f t="shared" si="38"/>
        <v>180859.29027261797</v>
      </c>
      <c r="AD109" s="2472">
        <f t="shared" si="38"/>
        <v>-16151.082640952791</v>
      </c>
      <c r="AE109" s="2472">
        <f t="shared" ref="AE109:AE172" si="39">SUM(AA109:AD109)</f>
        <v>315594.16877950181</v>
      </c>
      <c r="AF109" s="2472"/>
      <c r="AG109" s="2472">
        <f t="shared" ref="AG109:AK124" si="40">AG108</f>
        <v>28472.18673513988</v>
      </c>
      <c r="AH109" s="2472">
        <f t="shared" si="40"/>
        <v>3233.4334850305936</v>
      </c>
      <c r="AI109" s="2472">
        <f t="shared" si="40"/>
        <v>59670.591944930027</v>
      </c>
      <c r="AJ109" s="2472">
        <f t="shared" si="40"/>
        <v>-1967.5403600305935</v>
      </c>
      <c r="AK109" s="2472">
        <f t="shared" si="40"/>
        <v>89408.671805069913</v>
      </c>
    </row>
    <row r="110" spans="9:37">
      <c r="I110" s="2479">
        <v>47726</v>
      </c>
      <c r="J110" s="2473">
        <f>-'G-3.04,5.01 PF AMI'!AE151</f>
        <v>-315594.16877950181</v>
      </c>
      <c r="K110" s="2473">
        <f t="shared" si="27"/>
        <v>11361390.076061994</v>
      </c>
      <c r="L110" s="2473">
        <f t="shared" si="32"/>
        <v>13254955.088739006</v>
      </c>
      <c r="M110" s="2473">
        <f t="shared" si="25"/>
        <v>-2385891.9159730184</v>
      </c>
      <c r="N110" s="2473">
        <f t="shared" si="33"/>
        <v>-2783540.5686351913</v>
      </c>
      <c r="P110" s="2479">
        <v>47726</v>
      </c>
      <c r="Q110" s="2473">
        <f>-'G-3.04,5.01 PF AMI'!AK151</f>
        <v>-89408.671805069913</v>
      </c>
      <c r="R110" s="2473">
        <f t="shared" si="28"/>
        <v>3218712.1849824898</v>
      </c>
      <c r="S110" s="2473">
        <f t="shared" si="34"/>
        <v>3755164.215812909</v>
      </c>
      <c r="T110" s="2473">
        <f t="shared" si="26"/>
        <v>-675929.55884632282</v>
      </c>
      <c r="U110" s="2473">
        <f t="shared" si="35"/>
        <v>-788584.48532071069</v>
      </c>
      <c r="Y110" s="477">
        <v>103</v>
      </c>
      <c r="Z110" s="477">
        <v>202703</v>
      </c>
      <c r="AA110" s="2472">
        <f t="shared" si="38"/>
        <v>141673.76797421335</v>
      </c>
      <c r="AB110" s="2472">
        <f t="shared" si="38"/>
        <v>9212.1931736232491</v>
      </c>
      <c r="AC110" s="2472">
        <f t="shared" si="38"/>
        <v>180859.29027261797</v>
      </c>
      <c r="AD110" s="2472">
        <f t="shared" si="38"/>
        <v>-16151.082640952791</v>
      </c>
      <c r="AE110" s="2472">
        <f t="shared" si="39"/>
        <v>315594.16877950181</v>
      </c>
      <c r="AF110" s="2472"/>
      <c r="AG110" s="2472">
        <f t="shared" si="40"/>
        <v>28472.18673513988</v>
      </c>
      <c r="AH110" s="2472">
        <f t="shared" si="40"/>
        <v>3233.4334850305936</v>
      </c>
      <c r="AI110" s="2472">
        <f t="shared" si="40"/>
        <v>59670.591944930027</v>
      </c>
      <c r="AJ110" s="2472">
        <f t="shared" si="40"/>
        <v>-1967.5403600305935</v>
      </c>
      <c r="AK110" s="2472">
        <f t="shared" si="40"/>
        <v>89408.671805069913</v>
      </c>
    </row>
    <row r="111" spans="9:37">
      <c r="I111" s="2479">
        <v>47756</v>
      </c>
      <c r="J111" s="2473">
        <f>-'G-3.04,5.01 PF AMI'!AE152</f>
        <v>-315594.16877950181</v>
      </c>
      <c r="K111" s="2473">
        <f t="shared" si="27"/>
        <v>11045795.907282492</v>
      </c>
      <c r="L111" s="2473">
        <f t="shared" si="32"/>
        <v>12939360.919959502</v>
      </c>
      <c r="M111" s="2473">
        <f t="shared" si="25"/>
        <v>-2319617.1405293234</v>
      </c>
      <c r="N111" s="2473">
        <f t="shared" si="33"/>
        <v>-2717265.7931914958</v>
      </c>
      <c r="P111" s="2479">
        <v>47756</v>
      </c>
      <c r="Q111" s="2473">
        <f>-'G-3.04,5.01 PF AMI'!AK152</f>
        <v>-89408.671805069913</v>
      </c>
      <c r="R111" s="2473">
        <f t="shared" si="28"/>
        <v>3129303.51317742</v>
      </c>
      <c r="S111" s="2473">
        <f t="shared" si="34"/>
        <v>3665755.5440078392</v>
      </c>
      <c r="T111" s="2473">
        <f t="shared" si="26"/>
        <v>-657153.73776725819</v>
      </c>
      <c r="U111" s="2473">
        <f t="shared" si="35"/>
        <v>-769808.66424164607</v>
      </c>
      <c r="Y111" s="477">
        <v>104</v>
      </c>
      <c r="Z111" s="477">
        <v>202704</v>
      </c>
      <c r="AA111" s="2472">
        <f t="shared" si="38"/>
        <v>141673.76797421335</v>
      </c>
      <c r="AB111" s="2472">
        <f t="shared" si="38"/>
        <v>9212.1931736232491</v>
      </c>
      <c r="AC111" s="2472">
        <f t="shared" si="38"/>
        <v>180859.29027261797</v>
      </c>
      <c r="AD111" s="2472">
        <f t="shared" si="38"/>
        <v>-16151.082640952791</v>
      </c>
      <c r="AE111" s="2472">
        <f t="shared" si="39"/>
        <v>315594.16877950181</v>
      </c>
      <c r="AF111" s="2472"/>
      <c r="AG111" s="2472">
        <f t="shared" si="40"/>
        <v>28472.18673513988</v>
      </c>
      <c r="AH111" s="2472">
        <f t="shared" si="40"/>
        <v>3233.4334850305936</v>
      </c>
      <c r="AI111" s="2472">
        <f t="shared" si="40"/>
        <v>59670.591944930027</v>
      </c>
      <c r="AJ111" s="2472">
        <f t="shared" si="40"/>
        <v>-1967.5403600305935</v>
      </c>
      <c r="AK111" s="2472">
        <f t="shared" si="40"/>
        <v>89408.671805069913</v>
      </c>
    </row>
    <row r="112" spans="9:37">
      <c r="I112" s="2479">
        <v>47787</v>
      </c>
      <c r="J112" s="2473">
        <f>-'G-3.04,5.01 PF AMI'!AE153</f>
        <v>-315594.16877950181</v>
      </c>
      <c r="K112" s="2473">
        <f t="shared" si="27"/>
        <v>10730201.73850299</v>
      </c>
      <c r="L112" s="2473">
        <f t="shared" si="32"/>
        <v>12623766.751180001</v>
      </c>
      <c r="M112" s="2473">
        <f t="shared" si="25"/>
        <v>-2253342.3650856279</v>
      </c>
      <c r="N112" s="2473">
        <f t="shared" si="33"/>
        <v>-2650991.0177478003</v>
      </c>
      <c r="P112" s="2479">
        <v>47787</v>
      </c>
      <c r="Q112" s="2473">
        <f>-'G-3.04,5.01 PF AMI'!AK153</f>
        <v>-89408.671805069913</v>
      </c>
      <c r="R112" s="2473">
        <f t="shared" si="28"/>
        <v>3039894.8413723502</v>
      </c>
      <c r="S112" s="2473">
        <f t="shared" si="34"/>
        <v>3576346.8722027694</v>
      </c>
      <c r="T112" s="2473">
        <f t="shared" si="26"/>
        <v>-638377.91668819357</v>
      </c>
      <c r="U112" s="2473">
        <f t="shared" si="35"/>
        <v>-751032.84316258144</v>
      </c>
      <c r="Y112" s="477">
        <v>105</v>
      </c>
      <c r="Z112" s="477">
        <v>202705</v>
      </c>
      <c r="AA112" s="2472">
        <f t="shared" si="38"/>
        <v>141673.76797421335</v>
      </c>
      <c r="AB112" s="2472">
        <f t="shared" si="38"/>
        <v>9212.1931736232491</v>
      </c>
      <c r="AC112" s="2472">
        <f t="shared" si="38"/>
        <v>180859.29027261797</v>
      </c>
      <c r="AD112" s="2472">
        <f t="shared" si="38"/>
        <v>-16151.082640952791</v>
      </c>
      <c r="AE112" s="2472">
        <f t="shared" si="39"/>
        <v>315594.16877950181</v>
      </c>
      <c r="AF112" s="2472"/>
      <c r="AG112" s="2472">
        <f t="shared" si="40"/>
        <v>28472.18673513988</v>
      </c>
      <c r="AH112" s="2472">
        <f t="shared" si="40"/>
        <v>3233.4334850305936</v>
      </c>
      <c r="AI112" s="2472">
        <f t="shared" si="40"/>
        <v>59670.591944930027</v>
      </c>
      <c r="AJ112" s="2472">
        <f t="shared" si="40"/>
        <v>-1967.5403600305935</v>
      </c>
      <c r="AK112" s="2472">
        <f t="shared" si="40"/>
        <v>89408.671805069913</v>
      </c>
    </row>
    <row r="113" spans="9:37">
      <c r="I113" s="2479">
        <v>47817</v>
      </c>
      <c r="J113" s="2473">
        <f>-'G-3.04,5.01 PF AMI'!AE154</f>
        <v>-315594.16877950181</v>
      </c>
      <c r="K113" s="2473">
        <f t="shared" si="27"/>
        <v>10414607.569723489</v>
      </c>
      <c r="L113" s="2473">
        <f t="shared" si="32"/>
        <v>12308172.582400499</v>
      </c>
      <c r="M113" s="2473">
        <f t="shared" si="25"/>
        <v>-2187067.5896419324</v>
      </c>
      <c r="N113" s="2473">
        <f t="shared" si="33"/>
        <v>-2584716.2423041048</v>
      </c>
      <c r="P113" s="2479">
        <v>47817</v>
      </c>
      <c r="Q113" s="2473">
        <f>-'G-3.04,5.01 PF AMI'!AK154</f>
        <v>-89408.671805069913</v>
      </c>
      <c r="R113" s="2473">
        <f t="shared" si="28"/>
        <v>2950486.1695672804</v>
      </c>
      <c r="S113" s="2473">
        <f t="shared" si="34"/>
        <v>3486938.2003976987</v>
      </c>
      <c r="T113" s="2473">
        <f t="shared" si="26"/>
        <v>-619602.09560912882</v>
      </c>
      <c r="U113" s="2473">
        <f t="shared" si="35"/>
        <v>-732257.02208351681</v>
      </c>
      <c r="Y113" s="477">
        <v>106</v>
      </c>
      <c r="Z113" s="477">
        <v>202706</v>
      </c>
      <c r="AA113" s="2472">
        <f t="shared" si="38"/>
        <v>141673.76797421335</v>
      </c>
      <c r="AB113" s="2472">
        <f t="shared" si="38"/>
        <v>9212.1931736232491</v>
      </c>
      <c r="AC113" s="2472">
        <f t="shared" si="38"/>
        <v>180859.29027261797</v>
      </c>
      <c r="AD113" s="2472">
        <f t="shared" si="38"/>
        <v>-16151.082640952791</v>
      </c>
      <c r="AE113" s="2472">
        <f t="shared" si="39"/>
        <v>315594.16877950181</v>
      </c>
      <c r="AF113" s="2472"/>
      <c r="AG113" s="2472">
        <f t="shared" si="40"/>
        <v>28472.18673513988</v>
      </c>
      <c r="AH113" s="2472">
        <f t="shared" si="40"/>
        <v>3233.4334850305936</v>
      </c>
      <c r="AI113" s="2472">
        <f t="shared" si="40"/>
        <v>59670.591944930027</v>
      </c>
      <c r="AJ113" s="2472">
        <f t="shared" si="40"/>
        <v>-1967.5403600305935</v>
      </c>
      <c r="AK113" s="2472">
        <f t="shared" si="40"/>
        <v>89408.671805069913</v>
      </c>
    </row>
    <row r="114" spans="9:37">
      <c r="I114" s="2479">
        <v>47848</v>
      </c>
      <c r="J114" s="2473">
        <f>-'G-3.04,5.01 PF AMI'!AE155</f>
        <v>-315594.16877950181</v>
      </c>
      <c r="K114" s="2473">
        <f t="shared" si="27"/>
        <v>10099013.400943987</v>
      </c>
      <c r="L114" s="2473">
        <f t="shared" si="32"/>
        <v>11992578.413620995</v>
      </c>
      <c r="M114" s="2473">
        <f t="shared" si="25"/>
        <v>-2120792.8141982374</v>
      </c>
      <c r="N114" s="2473">
        <f t="shared" si="33"/>
        <v>-2518441.4668604094</v>
      </c>
      <c r="P114" s="2479">
        <v>47848</v>
      </c>
      <c r="Q114" s="2473">
        <f>-'G-3.04,5.01 PF AMI'!AK155</f>
        <v>-89408.671805069913</v>
      </c>
      <c r="R114" s="2473">
        <f t="shared" si="28"/>
        <v>2861077.4977622107</v>
      </c>
      <c r="S114" s="2473">
        <f t="shared" si="34"/>
        <v>3397529.5285926289</v>
      </c>
      <c r="T114" s="2473">
        <f t="shared" si="26"/>
        <v>-600826.2745300642</v>
      </c>
      <c r="U114" s="2473">
        <f t="shared" si="35"/>
        <v>-713481.20100445219</v>
      </c>
      <c r="Y114" s="477">
        <v>107</v>
      </c>
      <c r="Z114" s="477">
        <v>202707</v>
      </c>
      <c r="AA114" s="2472">
        <f t="shared" si="38"/>
        <v>141673.76797421335</v>
      </c>
      <c r="AB114" s="2472">
        <f t="shared" si="38"/>
        <v>9212.1931736232491</v>
      </c>
      <c r="AC114" s="2472">
        <f t="shared" si="38"/>
        <v>180859.29027261797</v>
      </c>
      <c r="AD114" s="2472">
        <f t="shared" si="38"/>
        <v>-16151.082640952791</v>
      </c>
      <c r="AE114" s="2472">
        <f t="shared" si="39"/>
        <v>315594.16877950181</v>
      </c>
      <c r="AF114" s="2472"/>
      <c r="AG114" s="2472">
        <f t="shared" si="40"/>
        <v>28472.18673513988</v>
      </c>
      <c r="AH114" s="2472">
        <f t="shared" si="40"/>
        <v>3233.4334850305936</v>
      </c>
      <c r="AI114" s="2472">
        <f t="shared" si="40"/>
        <v>59670.591944930027</v>
      </c>
      <c r="AJ114" s="2472">
        <f t="shared" si="40"/>
        <v>-1967.5403600305935</v>
      </c>
      <c r="AK114" s="2472">
        <f t="shared" si="40"/>
        <v>89408.671805069913</v>
      </c>
    </row>
    <row r="115" spans="9:37">
      <c r="I115" s="2479">
        <v>47879</v>
      </c>
      <c r="J115" s="2473">
        <f>-'G-3.04,5.01 PF AMI'!AE156</f>
        <v>-315594.16877950181</v>
      </c>
      <c r="K115" s="2473">
        <f t="shared" si="27"/>
        <v>9783419.2321644854</v>
      </c>
      <c r="L115" s="2473">
        <f t="shared" si="32"/>
        <v>11676984.244841496</v>
      </c>
      <c r="M115" s="2473">
        <f t="shared" si="25"/>
        <v>-2054518.0387545419</v>
      </c>
      <c r="N115" s="2473">
        <f t="shared" si="33"/>
        <v>-2452166.6914167139</v>
      </c>
      <c r="P115" s="2479">
        <v>47879</v>
      </c>
      <c r="Q115" s="2473">
        <f>-'G-3.04,5.01 PF AMI'!AK156</f>
        <v>-89408.671805069913</v>
      </c>
      <c r="R115" s="2473">
        <f t="shared" si="28"/>
        <v>2771668.8259571409</v>
      </c>
      <c r="S115" s="2473">
        <f t="shared" si="34"/>
        <v>3308120.85678756</v>
      </c>
      <c r="T115" s="2473">
        <f t="shared" si="26"/>
        <v>-582050.45345099957</v>
      </c>
      <c r="U115" s="2473">
        <f t="shared" si="35"/>
        <v>-694705.37992538756</v>
      </c>
      <c r="Y115" s="477">
        <v>108</v>
      </c>
      <c r="Z115" s="477">
        <v>202708</v>
      </c>
      <c r="AA115" s="2472">
        <f t="shared" si="38"/>
        <v>141673.76797421335</v>
      </c>
      <c r="AB115" s="2472">
        <f t="shared" si="38"/>
        <v>9212.1931736232491</v>
      </c>
      <c r="AC115" s="2472">
        <f t="shared" si="38"/>
        <v>180859.29027261797</v>
      </c>
      <c r="AD115" s="2472">
        <f t="shared" si="38"/>
        <v>-16151.082640952791</v>
      </c>
      <c r="AE115" s="2472">
        <f t="shared" si="39"/>
        <v>315594.16877950181</v>
      </c>
      <c r="AF115" s="2472"/>
      <c r="AG115" s="2472">
        <f t="shared" si="40"/>
        <v>28472.18673513988</v>
      </c>
      <c r="AH115" s="2472">
        <f t="shared" si="40"/>
        <v>3233.4334850305936</v>
      </c>
      <c r="AI115" s="2472">
        <f t="shared" si="40"/>
        <v>59670.591944930027</v>
      </c>
      <c r="AJ115" s="2472">
        <f t="shared" si="40"/>
        <v>-1967.5403600305935</v>
      </c>
      <c r="AK115" s="2472">
        <f t="shared" si="40"/>
        <v>89408.671805069913</v>
      </c>
    </row>
    <row r="116" spans="9:37">
      <c r="I116" s="2479">
        <v>47907</v>
      </c>
      <c r="J116" s="2473">
        <f>-'G-3.04,5.01 PF AMI'!AE157</f>
        <v>-315594.16877950181</v>
      </c>
      <c r="K116" s="2473">
        <f t="shared" si="27"/>
        <v>9467825.0633849837</v>
      </c>
      <c r="L116" s="2473">
        <f t="shared" si="32"/>
        <v>11361390.076061994</v>
      </c>
      <c r="M116" s="2473">
        <f t="shared" si="25"/>
        <v>-1988243.2633108464</v>
      </c>
      <c r="N116" s="2473">
        <f t="shared" si="33"/>
        <v>-2385891.9159730184</v>
      </c>
      <c r="P116" s="2479">
        <v>47907</v>
      </c>
      <c r="Q116" s="2473">
        <f>-'G-3.04,5.01 PF AMI'!AK157</f>
        <v>-89408.671805069913</v>
      </c>
      <c r="R116" s="2473">
        <f t="shared" si="28"/>
        <v>2682260.1541520711</v>
      </c>
      <c r="S116" s="2473">
        <f t="shared" si="34"/>
        <v>3218712.1849824898</v>
      </c>
      <c r="T116" s="2473">
        <f t="shared" si="26"/>
        <v>-563274.63237193495</v>
      </c>
      <c r="U116" s="2473">
        <f t="shared" si="35"/>
        <v>-675929.55884632282</v>
      </c>
      <c r="Y116" s="477">
        <v>109</v>
      </c>
      <c r="Z116" s="477">
        <v>202709</v>
      </c>
      <c r="AA116" s="2472">
        <f t="shared" si="38"/>
        <v>141673.76797421335</v>
      </c>
      <c r="AB116" s="2472">
        <f t="shared" si="38"/>
        <v>9212.1931736232491</v>
      </c>
      <c r="AC116" s="2472">
        <f t="shared" si="38"/>
        <v>180859.29027261797</v>
      </c>
      <c r="AD116" s="2472">
        <f t="shared" si="38"/>
        <v>-16151.082640952791</v>
      </c>
      <c r="AE116" s="2472">
        <f t="shared" si="39"/>
        <v>315594.16877950181</v>
      </c>
      <c r="AF116" s="2472"/>
      <c r="AG116" s="2472">
        <f t="shared" si="40"/>
        <v>28472.18673513988</v>
      </c>
      <c r="AH116" s="2472">
        <f t="shared" si="40"/>
        <v>3233.4334850305936</v>
      </c>
      <c r="AI116" s="2472">
        <f t="shared" si="40"/>
        <v>59670.591944930027</v>
      </c>
      <c r="AJ116" s="2472">
        <f t="shared" si="40"/>
        <v>-1967.5403600305935</v>
      </c>
      <c r="AK116" s="2472">
        <f t="shared" si="40"/>
        <v>89408.671805069913</v>
      </c>
    </row>
    <row r="117" spans="9:37">
      <c r="I117" s="2479">
        <v>47938</v>
      </c>
      <c r="J117" s="2473">
        <f>-'G-3.04,5.01 PF AMI'!AE158</f>
        <v>-315594.16877950181</v>
      </c>
      <c r="K117" s="2473">
        <f t="shared" si="27"/>
        <v>9152230.894605482</v>
      </c>
      <c r="L117" s="2473">
        <f t="shared" si="32"/>
        <v>11045795.907282492</v>
      </c>
      <c r="M117" s="2473">
        <f t="shared" si="25"/>
        <v>-1921968.4878671512</v>
      </c>
      <c r="N117" s="2473">
        <f t="shared" si="33"/>
        <v>-2319617.1405293229</v>
      </c>
      <c r="P117" s="2479">
        <v>47938</v>
      </c>
      <c r="Q117" s="2473">
        <f>-'G-3.04,5.01 PF AMI'!AK158</f>
        <v>-89408.671805069913</v>
      </c>
      <c r="R117" s="2473">
        <f t="shared" si="28"/>
        <v>2592851.4823470013</v>
      </c>
      <c r="S117" s="2473">
        <f t="shared" si="34"/>
        <v>3129303.5131774205</v>
      </c>
      <c r="T117" s="2473">
        <f t="shared" si="26"/>
        <v>-544498.8112928702</v>
      </c>
      <c r="U117" s="2473">
        <f t="shared" si="35"/>
        <v>-657153.73776725808</v>
      </c>
      <c r="Y117" s="477">
        <v>110</v>
      </c>
      <c r="Z117" s="477">
        <v>202710</v>
      </c>
      <c r="AA117" s="2472">
        <f t="shared" si="38"/>
        <v>141673.76797421335</v>
      </c>
      <c r="AB117" s="2472">
        <f t="shared" si="38"/>
        <v>9212.1931736232491</v>
      </c>
      <c r="AC117" s="2472">
        <f t="shared" si="38"/>
        <v>180859.29027261797</v>
      </c>
      <c r="AD117" s="2472">
        <f t="shared" si="38"/>
        <v>-16151.082640952791</v>
      </c>
      <c r="AE117" s="2472">
        <f t="shared" si="39"/>
        <v>315594.16877950181</v>
      </c>
      <c r="AF117" s="2472"/>
      <c r="AG117" s="2472">
        <f t="shared" si="40"/>
        <v>28472.18673513988</v>
      </c>
      <c r="AH117" s="2472">
        <f t="shared" si="40"/>
        <v>3233.4334850305936</v>
      </c>
      <c r="AI117" s="2472">
        <f t="shared" si="40"/>
        <v>59670.591944930027</v>
      </c>
      <c r="AJ117" s="2472">
        <f t="shared" si="40"/>
        <v>-1967.5403600305935</v>
      </c>
      <c r="AK117" s="2472">
        <f t="shared" si="40"/>
        <v>89408.671805069913</v>
      </c>
    </row>
    <row r="118" spans="9:37">
      <c r="I118" s="2479">
        <v>47968</v>
      </c>
      <c r="J118" s="2473">
        <f>-'G-3.04,5.01 PF AMI'!AE159</f>
        <v>-315594.16877950181</v>
      </c>
      <c r="K118" s="2473">
        <f t="shared" si="27"/>
        <v>8836636.7258259803</v>
      </c>
      <c r="L118" s="2473">
        <f t="shared" si="32"/>
        <v>10730201.73850299</v>
      </c>
      <c r="M118" s="2473">
        <f t="shared" si="25"/>
        <v>-1855693.7124234559</v>
      </c>
      <c r="N118" s="2473">
        <f t="shared" si="33"/>
        <v>-2253342.3650856279</v>
      </c>
      <c r="P118" s="2479">
        <v>47968</v>
      </c>
      <c r="Q118" s="2473">
        <f>-'G-3.04,5.01 PF AMI'!AK159</f>
        <v>-89408.671805069913</v>
      </c>
      <c r="R118" s="2473">
        <f t="shared" si="28"/>
        <v>2503442.8105419315</v>
      </c>
      <c r="S118" s="2473">
        <f t="shared" si="34"/>
        <v>3039894.8413723507</v>
      </c>
      <c r="T118" s="2473">
        <f t="shared" si="26"/>
        <v>-525722.99021380558</v>
      </c>
      <c r="U118" s="2473">
        <f t="shared" si="35"/>
        <v>-638377.91668819345</v>
      </c>
      <c r="Y118" s="477">
        <v>111</v>
      </c>
      <c r="Z118" s="477">
        <v>202711</v>
      </c>
      <c r="AA118" s="2472">
        <f t="shared" si="38"/>
        <v>141673.76797421335</v>
      </c>
      <c r="AB118" s="2472">
        <f t="shared" si="38"/>
        <v>9212.1931736232491</v>
      </c>
      <c r="AC118" s="2472">
        <f t="shared" si="38"/>
        <v>180859.29027261797</v>
      </c>
      <c r="AD118" s="2472">
        <f t="shared" si="38"/>
        <v>-16151.082640952791</v>
      </c>
      <c r="AE118" s="2472">
        <f t="shared" si="39"/>
        <v>315594.16877950181</v>
      </c>
      <c r="AF118" s="2472"/>
      <c r="AG118" s="2472">
        <f t="shared" si="40"/>
        <v>28472.18673513988</v>
      </c>
      <c r="AH118" s="2472">
        <f t="shared" si="40"/>
        <v>3233.4334850305936</v>
      </c>
      <c r="AI118" s="2472">
        <f t="shared" si="40"/>
        <v>59670.591944930027</v>
      </c>
      <c r="AJ118" s="2472">
        <f t="shared" si="40"/>
        <v>-1967.5403600305935</v>
      </c>
      <c r="AK118" s="2472">
        <f t="shared" si="40"/>
        <v>89408.671805069913</v>
      </c>
    </row>
    <row r="119" spans="9:37">
      <c r="I119" s="2479">
        <v>47999</v>
      </c>
      <c r="J119" s="2473">
        <f>-'G-3.04,5.01 PF AMI'!AE160</f>
        <v>-315594.16877950181</v>
      </c>
      <c r="K119" s="2473">
        <f t="shared" si="27"/>
        <v>8521042.5570464786</v>
      </c>
      <c r="L119" s="2473">
        <f t="shared" si="32"/>
        <v>10414607.569723489</v>
      </c>
      <c r="M119" s="2473">
        <f t="shared" si="25"/>
        <v>-1789418.9369797604</v>
      </c>
      <c r="N119" s="2473">
        <f t="shared" si="33"/>
        <v>-2187067.5896419324</v>
      </c>
      <c r="P119" s="2479">
        <v>47999</v>
      </c>
      <c r="Q119" s="2473">
        <f>-'G-3.04,5.01 PF AMI'!AK160</f>
        <v>-89408.671805069913</v>
      </c>
      <c r="R119" s="2473">
        <f t="shared" si="28"/>
        <v>2414034.1387368618</v>
      </c>
      <c r="S119" s="2473">
        <f t="shared" si="34"/>
        <v>2950486.1695672809</v>
      </c>
      <c r="T119" s="2473">
        <f t="shared" si="26"/>
        <v>-506947.16913474095</v>
      </c>
      <c r="U119" s="2473">
        <f t="shared" si="35"/>
        <v>-619602.09560912882</v>
      </c>
      <c r="Y119" s="477">
        <v>112</v>
      </c>
      <c r="Z119" s="477">
        <v>202712</v>
      </c>
      <c r="AA119" s="2472">
        <f t="shared" si="38"/>
        <v>141673.76797421335</v>
      </c>
      <c r="AB119" s="2472">
        <f t="shared" si="38"/>
        <v>9212.1931736232491</v>
      </c>
      <c r="AC119" s="2472">
        <f t="shared" si="38"/>
        <v>180859.29027261797</v>
      </c>
      <c r="AD119" s="2472">
        <f t="shared" si="38"/>
        <v>-16151.082640952791</v>
      </c>
      <c r="AE119" s="2472">
        <f t="shared" si="39"/>
        <v>315594.16877950181</v>
      </c>
      <c r="AF119" s="2472"/>
      <c r="AG119" s="2472">
        <f t="shared" si="40"/>
        <v>28472.18673513988</v>
      </c>
      <c r="AH119" s="2472">
        <f t="shared" si="40"/>
        <v>3233.4334850305936</v>
      </c>
      <c r="AI119" s="2472">
        <f t="shared" si="40"/>
        <v>59670.591944930027</v>
      </c>
      <c r="AJ119" s="2472">
        <f t="shared" si="40"/>
        <v>-1967.5403600305935</v>
      </c>
      <c r="AK119" s="2472">
        <f t="shared" si="40"/>
        <v>89408.671805069913</v>
      </c>
    </row>
    <row r="120" spans="9:37">
      <c r="I120" s="2479">
        <v>48029</v>
      </c>
      <c r="J120" s="2473">
        <f>-'G-3.04,5.01 PF AMI'!AE161</f>
        <v>-315594.16877950181</v>
      </c>
      <c r="K120" s="2473">
        <f t="shared" si="27"/>
        <v>8205448.3882669769</v>
      </c>
      <c r="L120" s="2473">
        <f t="shared" si="32"/>
        <v>10099013.400943987</v>
      </c>
      <c r="M120" s="2473">
        <f t="shared" si="25"/>
        <v>-1723144.1615360652</v>
      </c>
      <c r="N120" s="2473">
        <f t="shared" si="33"/>
        <v>-2120792.8141982369</v>
      </c>
      <c r="P120" s="2479">
        <v>48029</v>
      </c>
      <c r="Q120" s="2473">
        <f>-'G-3.04,5.01 PF AMI'!AK161</f>
        <v>-89408.671805069913</v>
      </c>
      <c r="R120" s="2473">
        <f t="shared" si="28"/>
        <v>2324625.466931792</v>
      </c>
      <c r="S120" s="2473">
        <f t="shared" si="34"/>
        <v>2861077.4977622107</v>
      </c>
      <c r="T120" s="2473">
        <f t="shared" si="26"/>
        <v>-488171.34805567632</v>
      </c>
      <c r="U120" s="2473">
        <f t="shared" si="35"/>
        <v>-600826.2745300642</v>
      </c>
      <c r="Y120" s="477">
        <v>113</v>
      </c>
      <c r="Z120" s="477">
        <v>202801</v>
      </c>
      <c r="AA120" s="2472">
        <f t="shared" si="38"/>
        <v>141673.76797421335</v>
      </c>
      <c r="AB120" s="2472">
        <f t="shared" si="38"/>
        <v>9212.1931736232491</v>
      </c>
      <c r="AC120" s="2472">
        <f t="shared" si="38"/>
        <v>180859.29027261797</v>
      </c>
      <c r="AD120" s="2472">
        <f t="shared" si="38"/>
        <v>-16151.082640952791</v>
      </c>
      <c r="AE120" s="2472">
        <f t="shared" si="39"/>
        <v>315594.16877950181</v>
      </c>
      <c r="AF120" s="2472"/>
      <c r="AG120" s="2472">
        <f t="shared" si="40"/>
        <v>28472.18673513988</v>
      </c>
      <c r="AH120" s="2472">
        <f t="shared" si="40"/>
        <v>3233.4334850305936</v>
      </c>
      <c r="AI120" s="2472">
        <f t="shared" si="40"/>
        <v>59670.591944930027</v>
      </c>
      <c r="AJ120" s="2472">
        <f t="shared" si="40"/>
        <v>-1967.5403600305935</v>
      </c>
      <c r="AK120" s="2472">
        <f t="shared" si="40"/>
        <v>89408.671805069913</v>
      </c>
    </row>
    <row r="121" spans="9:37">
      <c r="I121" s="2479">
        <v>48060</v>
      </c>
      <c r="J121" s="2473">
        <f>-'G-3.04,5.01 PF AMI'!AE162</f>
        <v>-315594.16877950181</v>
      </c>
      <c r="K121" s="2473">
        <f t="shared" si="27"/>
        <v>7889854.2194874752</v>
      </c>
      <c r="L121" s="2473">
        <f t="shared" si="32"/>
        <v>9783419.2321644854</v>
      </c>
      <c r="M121" s="2473">
        <f t="shared" si="25"/>
        <v>-1656869.3860923697</v>
      </c>
      <c r="N121" s="2473">
        <f t="shared" si="33"/>
        <v>-2054518.0387545414</v>
      </c>
      <c r="P121" s="2479">
        <v>48060</v>
      </c>
      <c r="Q121" s="2473">
        <f>-'G-3.04,5.01 PF AMI'!AK162</f>
        <v>-89408.671805069913</v>
      </c>
      <c r="R121" s="2473">
        <f t="shared" si="28"/>
        <v>2235216.7951267222</v>
      </c>
      <c r="S121" s="2473">
        <f t="shared" si="34"/>
        <v>2771668.8259571414</v>
      </c>
      <c r="T121" s="2473">
        <f t="shared" si="26"/>
        <v>-469395.52697661164</v>
      </c>
      <c r="U121" s="2473">
        <f t="shared" si="35"/>
        <v>-582050.45345099957</v>
      </c>
      <c r="Y121" s="477">
        <v>114</v>
      </c>
      <c r="Z121" s="477">
        <v>202802</v>
      </c>
      <c r="AA121" s="2472">
        <f t="shared" si="38"/>
        <v>141673.76797421335</v>
      </c>
      <c r="AB121" s="2472">
        <f t="shared" si="38"/>
        <v>9212.1931736232491</v>
      </c>
      <c r="AC121" s="2472">
        <f t="shared" si="38"/>
        <v>180859.29027261797</v>
      </c>
      <c r="AD121" s="2472">
        <f t="shared" si="38"/>
        <v>-16151.082640952791</v>
      </c>
      <c r="AE121" s="2472">
        <f t="shared" si="39"/>
        <v>315594.16877950181</v>
      </c>
      <c r="AF121" s="2472"/>
      <c r="AG121" s="2472">
        <f t="shared" si="40"/>
        <v>28472.18673513988</v>
      </c>
      <c r="AH121" s="2472">
        <f t="shared" si="40"/>
        <v>3233.4334850305936</v>
      </c>
      <c r="AI121" s="2472">
        <f t="shared" si="40"/>
        <v>59670.591944930027</v>
      </c>
      <c r="AJ121" s="2472">
        <f t="shared" si="40"/>
        <v>-1967.5403600305935</v>
      </c>
      <c r="AK121" s="2472">
        <f t="shared" si="40"/>
        <v>89408.671805069913</v>
      </c>
    </row>
    <row r="122" spans="9:37">
      <c r="I122" s="2479">
        <v>48091</v>
      </c>
      <c r="J122" s="2473">
        <f>-'G-3.04,5.01 PF AMI'!AE163</f>
        <v>-315594.16877950181</v>
      </c>
      <c r="K122" s="2473">
        <f t="shared" si="27"/>
        <v>7574260.0507079735</v>
      </c>
      <c r="L122" s="2473">
        <f t="shared" si="32"/>
        <v>9467825.0633849837</v>
      </c>
      <c r="M122" s="2473">
        <f t="shared" si="25"/>
        <v>-1590594.6106486744</v>
      </c>
      <c r="N122" s="2473">
        <f t="shared" si="33"/>
        <v>-1988243.2633108459</v>
      </c>
      <c r="P122" s="2479">
        <v>48091</v>
      </c>
      <c r="Q122" s="2473">
        <f>-'G-3.04,5.01 PF AMI'!AK163</f>
        <v>-89408.671805069913</v>
      </c>
      <c r="R122" s="2473">
        <f t="shared" si="28"/>
        <v>2145808.1233216524</v>
      </c>
      <c r="S122" s="2473">
        <f t="shared" si="34"/>
        <v>2682260.1541520711</v>
      </c>
      <c r="T122" s="2473">
        <f t="shared" si="26"/>
        <v>-450619.70589754701</v>
      </c>
      <c r="U122" s="2473">
        <f t="shared" si="35"/>
        <v>-563274.63237193495</v>
      </c>
      <c r="Y122" s="477">
        <v>115</v>
      </c>
      <c r="Z122" s="477">
        <v>202803</v>
      </c>
      <c r="AA122" s="2472">
        <f t="shared" si="38"/>
        <v>141673.76797421335</v>
      </c>
      <c r="AB122" s="2472">
        <f t="shared" si="38"/>
        <v>9212.1931736232491</v>
      </c>
      <c r="AC122" s="2472">
        <f t="shared" si="38"/>
        <v>180859.29027261797</v>
      </c>
      <c r="AD122" s="2472">
        <f t="shared" si="38"/>
        <v>-16151.082640952791</v>
      </c>
      <c r="AE122" s="2472">
        <f t="shared" si="39"/>
        <v>315594.16877950181</v>
      </c>
      <c r="AF122" s="2472"/>
      <c r="AG122" s="2472">
        <f t="shared" si="40"/>
        <v>28472.18673513988</v>
      </c>
      <c r="AH122" s="2472">
        <f t="shared" si="40"/>
        <v>3233.4334850305936</v>
      </c>
      <c r="AI122" s="2472">
        <f t="shared" si="40"/>
        <v>59670.591944930027</v>
      </c>
      <c r="AJ122" s="2472">
        <f t="shared" si="40"/>
        <v>-1967.5403600305935</v>
      </c>
      <c r="AK122" s="2472">
        <f t="shared" si="40"/>
        <v>89408.671805069913</v>
      </c>
    </row>
    <row r="123" spans="9:37">
      <c r="I123" s="2479">
        <v>48121</v>
      </c>
      <c r="J123" s="2473">
        <f>-'G-3.04,5.01 PF AMI'!AE164</f>
        <v>-315594.16877950181</v>
      </c>
      <c r="K123" s="2473">
        <f t="shared" si="27"/>
        <v>7258665.8819284718</v>
      </c>
      <c r="L123" s="2473">
        <f t="shared" si="32"/>
        <v>9152230.894605482</v>
      </c>
      <c r="M123" s="2473">
        <f t="shared" si="25"/>
        <v>-1524319.8352049789</v>
      </c>
      <c r="N123" s="2473">
        <f t="shared" si="33"/>
        <v>-1921968.4878671507</v>
      </c>
      <c r="P123" s="2479">
        <v>48121</v>
      </c>
      <c r="Q123" s="2473">
        <f>-'G-3.04,5.01 PF AMI'!AK164</f>
        <v>-89408.671805069913</v>
      </c>
      <c r="R123" s="2473">
        <f t="shared" si="28"/>
        <v>2056399.4515165824</v>
      </c>
      <c r="S123" s="2473">
        <f t="shared" si="34"/>
        <v>2592851.4823470018</v>
      </c>
      <c r="T123" s="2473">
        <f t="shared" si="26"/>
        <v>-431843.88481848227</v>
      </c>
      <c r="U123" s="2473">
        <f t="shared" si="35"/>
        <v>-544498.81129287032</v>
      </c>
      <c r="Y123" s="477">
        <v>116</v>
      </c>
      <c r="Z123" s="477">
        <v>202804</v>
      </c>
      <c r="AA123" s="2472">
        <f t="shared" si="38"/>
        <v>141673.76797421335</v>
      </c>
      <c r="AB123" s="2472">
        <f t="shared" si="38"/>
        <v>9212.1931736232491</v>
      </c>
      <c r="AC123" s="2472">
        <f t="shared" si="38"/>
        <v>180859.29027261797</v>
      </c>
      <c r="AD123" s="2472">
        <f t="shared" si="38"/>
        <v>-16151.082640952791</v>
      </c>
      <c r="AE123" s="2472">
        <f t="shared" si="39"/>
        <v>315594.16877950181</v>
      </c>
      <c r="AF123" s="2472"/>
      <c r="AG123" s="2472">
        <f t="shared" si="40"/>
        <v>28472.18673513988</v>
      </c>
      <c r="AH123" s="2472">
        <f t="shared" si="40"/>
        <v>3233.4334850305936</v>
      </c>
      <c r="AI123" s="2472">
        <f t="shared" si="40"/>
        <v>59670.591944930027</v>
      </c>
      <c r="AJ123" s="2472">
        <f t="shared" si="40"/>
        <v>-1967.5403600305935</v>
      </c>
      <c r="AK123" s="2472">
        <f t="shared" si="40"/>
        <v>89408.671805069913</v>
      </c>
    </row>
    <row r="124" spans="9:37">
      <c r="I124" s="2479">
        <v>48152</v>
      </c>
      <c r="J124" s="2473">
        <f>-'G-3.04,5.01 PF AMI'!AE165</f>
        <v>-315594.16877950181</v>
      </c>
      <c r="K124" s="2473">
        <f t="shared" si="27"/>
        <v>6943071.7131489702</v>
      </c>
      <c r="L124" s="2473">
        <f t="shared" si="32"/>
        <v>8836636.7258259803</v>
      </c>
      <c r="M124" s="2473">
        <f t="shared" si="25"/>
        <v>-1458045.0597612837</v>
      </c>
      <c r="N124" s="2473">
        <f t="shared" si="33"/>
        <v>-1855693.7124234552</v>
      </c>
      <c r="P124" s="2479">
        <v>48152</v>
      </c>
      <c r="Q124" s="2473">
        <f>-'G-3.04,5.01 PF AMI'!AK165</f>
        <v>-89408.671805069913</v>
      </c>
      <c r="R124" s="2473">
        <f t="shared" si="28"/>
        <v>1966990.7797115124</v>
      </c>
      <c r="S124" s="2473">
        <f t="shared" si="34"/>
        <v>2503442.8105419315</v>
      </c>
      <c r="T124" s="2473">
        <f t="shared" si="26"/>
        <v>-413068.06373941759</v>
      </c>
      <c r="U124" s="2473">
        <f t="shared" si="35"/>
        <v>-525722.99021380569</v>
      </c>
      <c r="Y124" s="477">
        <v>117</v>
      </c>
      <c r="Z124" s="477">
        <v>202805</v>
      </c>
      <c r="AA124" s="2472">
        <f t="shared" si="38"/>
        <v>141673.76797421335</v>
      </c>
      <c r="AB124" s="2472">
        <f t="shared" si="38"/>
        <v>9212.1931736232491</v>
      </c>
      <c r="AC124" s="2472">
        <f t="shared" si="38"/>
        <v>180859.29027261797</v>
      </c>
      <c r="AD124" s="2472">
        <f t="shared" si="38"/>
        <v>-16151.082640952791</v>
      </c>
      <c r="AE124" s="2472">
        <f t="shared" si="39"/>
        <v>315594.16877950181</v>
      </c>
      <c r="AF124" s="2472"/>
      <c r="AG124" s="2472">
        <f t="shared" si="40"/>
        <v>28472.18673513988</v>
      </c>
      <c r="AH124" s="2472">
        <f t="shared" si="40"/>
        <v>3233.4334850305936</v>
      </c>
      <c r="AI124" s="2472">
        <f t="shared" si="40"/>
        <v>59670.591944930027</v>
      </c>
      <c r="AJ124" s="2472">
        <f t="shared" si="40"/>
        <v>-1967.5403600305935</v>
      </c>
      <c r="AK124" s="2472">
        <f t="shared" si="40"/>
        <v>89408.671805069913</v>
      </c>
    </row>
    <row r="125" spans="9:37">
      <c r="I125" s="2479">
        <v>48182</v>
      </c>
      <c r="J125" s="2473">
        <f>-'G-3.04,5.01 PF AMI'!AE166</f>
        <v>-315594.16877950181</v>
      </c>
      <c r="K125" s="2473">
        <f t="shared" si="27"/>
        <v>6627477.5443694685</v>
      </c>
      <c r="L125" s="2473">
        <f t="shared" si="32"/>
        <v>8521042.5570464786</v>
      </c>
      <c r="M125" s="2473">
        <f t="shared" si="25"/>
        <v>-1391770.2843175884</v>
      </c>
      <c r="N125" s="2473">
        <f t="shared" si="33"/>
        <v>-1789418.9369797602</v>
      </c>
      <c r="P125" s="2479">
        <v>48182</v>
      </c>
      <c r="Q125" s="2473">
        <f>-'G-3.04,5.01 PF AMI'!AK166</f>
        <v>-89408.671805069913</v>
      </c>
      <c r="R125" s="2473">
        <f t="shared" si="28"/>
        <v>1877582.1079064424</v>
      </c>
      <c r="S125" s="2473">
        <f t="shared" si="34"/>
        <v>2414034.1387368618</v>
      </c>
      <c r="T125" s="2473">
        <f t="shared" si="26"/>
        <v>-394292.2426603529</v>
      </c>
      <c r="U125" s="2473">
        <f t="shared" si="35"/>
        <v>-506947.16913474101</v>
      </c>
      <c r="Y125" s="477">
        <v>118</v>
      </c>
      <c r="Z125" s="477">
        <v>202806</v>
      </c>
      <c r="AA125" s="2472">
        <f t="shared" ref="AA125:AD140" si="41">AA124</f>
        <v>141673.76797421335</v>
      </c>
      <c r="AB125" s="2472">
        <f t="shared" si="41"/>
        <v>9212.1931736232491</v>
      </c>
      <c r="AC125" s="2472">
        <f t="shared" si="41"/>
        <v>180859.29027261797</v>
      </c>
      <c r="AD125" s="2472">
        <f t="shared" si="41"/>
        <v>-16151.082640952791</v>
      </c>
      <c r="AE125" s="2472">
        <f t="shared" si="39"/>
        <v>315594.16877950181</v>
      </c>
      <c r="AF125" s="2472"/>
      <c r="AG125" s="2472">
        <f t="shared" ref="AG125:AK140" si="42">AG124</f>
        <v>28472.18673513988</v>
      </c>
      <c r="AH125" s="2472">
        <f t="shared" si="42"/>
        <v>3233.4334850305936</v>
      </c>
      <c r="AI125" s="2472">
        <f t="shared" si="42"/>
        <v>59670.591944930027</v>
      </c>
      <c r="AJ125" s="2472">
        <f t="shared" si="42"/>
        <v>-1967.5403600305935</v>
      </c>
      <c r="AK125" s="2472">
        <f t="shared" si="42"/>
        <v>89408.671805069913</v>
      </c>
    </row>
    <row r="126" spans="9:37">
      <c r="I126" s="2479">
        <v>48213</v>
      </c>
      <c r="J126" s="2473">
        <f>-'G-3.04,5.01 PF AMI'!AE167</f>
        <v>-315594.16877950181</v>
      </c>
      <c r="K126" s="2473">
        <f t="shared" si="27"/>
        <v>6311883.3755899668</v>
      </c>
      <c r="L126" s="2473">
        <f t="shared" si="32"/>
        <v>8205448.3882669779</v>
      </c>
      <c r="M126" s="2473">
        <f t="shared" si="25"/>
        <v>-1325495.5088738929</v>
      </c>
      <c r="N126" s="2473">
        <f t="shared" si="33"/>
        <v>-1723144.1615360652</v>
      </c>
      <c r="P126" s="2479">
        <v>48213</v>
      </c>
      <c r="Q126" s="2473">
        <f>-'G-3.04,5.01 PF AMI'!AK167</f>
        <v>-89408.671805069913</v>
      </c>
      <c r="R126" s="2473">
        <f t="shared" si="28"/>
        <v>1788173.4361013724</v>
      </c>
      <c r="S126" s="2473">
        <f t="shared" si="34"/>
        <v>2324625.466931792</v>
      </c>
      <c r="T126" s="2473">
        <f t="shared" si="26"/>
        <v>-375516.42158128816</v>
      </c>
      <c r="U126" s="2473">
        <f t="shared" si="35"/>
        <v>-488171.34805567627</v>
      </c>
      <c r="Y126" s="477">
        <v>119</v>
      </c>
      <c r="Z126" s="477">
        <v>202807</v>
      </c>
      <c r="AA126" s="2472">
        <f t="shared" si="41"/>
        <v>141673.76797421335</v>
      </c>
      <c r="AB126" s="2472">
        <f t="shared" si="41"/>
        <v>9212.1931736232491</v>
      </c>
      <c r="AC126" s="2472">
        <f t="shared" si="41"/>
        <v>180859.29027261797</v>
      </c>
      <c r="AD126" s="2472">
        <f t="shared" si="41"/>
        <v>-16151.082640952791</v>
      </c>
      <c r="AE126" s="2472">
        <f t="shared" si="39"/>
        <v>315594.16877950181</v>
      </c>
      <c r="AF126" s="2472"/>
      <c r="AG126" s="2472">
        <f t="shared" si="42"/>
        <v>28472.18673513988</v>
      </c>
      <c r="AH126" s="2472">
        <f t="shared" si="42"/>
        <v>3233.4334850305936</v>
      </c>
      <c r="AI126" s="2472">
        <f t="shared" si="42"/>
        <v>59670.591944930027</v>
      </c>
      <c r="AJ126" s="2472">
        <f t="shared" si="42"/>
        <v>-1967.5403600305935</v>
      </c>
      <c r="AK126" s="2472">
        <f t="shared" si="42"/>
        <v>89408.671805069913</v>
      </c>
    </row>
    <row r="127" spans="9:37">
      <c r="I127" s="2479">
        <v>48244</v>
      </c>
      <c r="J127" s="2473">
        <f>-'G-3.04,5.01 PF AMI'!AE168</f>
        <v>-315594.16877950181</v>
      </c>
      <c r="K127" s="2473">
        <f t="shared" si="27"/>
        <v>5996289.2068104651</v>
      </c>
      <c r="L127" s="2473">
        <f t="shared" si="32"/>
        <v>7889854.2194874762</v>
      </c>
      <c r="M127" s="2473">
        <f t="shared" si="25"/>
        <v>-1259220.7334301977</v>
      </c>
      <c r="N127" s="2473">
        <f t="shared" si="33"/>
        <v>-1656869.3860923697</v>
      </c>
      <c r="P127" s="2479">
        <v>48244</v>
      </c>
      <c r="Q127" s="2473">
        <f>-'G-3.04,5.01 PF AMI'!AK168</f>
        <v>-89408.671805069913</v>
      </c>
      <c r="R127" s="2473">
        <f t="shared" si="28"/>
        <v>1698764.7642963023</v>
      </c>
      <c r="S127" s="2473">
        <f t="shared" si="34"/>
        <v>2235216.7951267222</v>
      </c>
      <c r="T127" s="2473">
        <f t="shared" si="26"/>
        <v>-356740.60050222347</v>
      </c>
      <c r="U127" s="2473">
        <f t="shared" si="35"/>
        <v>-469395.52697661152</v>
      </c>
      <c r="Y127" s="477">
        <v>120</v>
      </c>
      <c r="Z127" s="477">
        <v>202808</v>
      </c>
      <c r="AA127" s="2472">
        <f t="shared" si="41"/>
        <v>141673.76797421335</v>
      </c>
      <c r="AB127" s="2472">
        <f t="shared" si="41"/>
        <v>9212.1931736232491</v>
      </c>
      <c r="AC127" s="2472">
        <f t="shared" si="41"/>
        <v>180859.29027261797</v>
      </c>
      <c r="AD127" s="2472">
        <f t="shared" si="41"/>
        <v>-16151.082640952791</v>
      </c>
      <c r="AE127" s="2472">
        <f t="shared" si="39"/>
        <v>315594.16877950181</v>
      </c>
      <c r="AF127" s="2472"/>
      <c r="AG127" s="2472">
        <f t="shared" si="42"/>
        <v>28472.18673513988</v>
      </c>
      <c r="AH127" s="2472">
        <f t="shared" si="42"/>
        <v>3233.4334850305936</v>
      </c>
      <c r="AI127" s="2472">
        <f t="shared" si="42"/>
        <v>59670.591944930027</v>
      </c>
      <c r="AJ127" s="2472">
        <f t="shared" si="42"/>
        <v>-1967.5403600305935</v>
      </c>
      <c r="AK127" s="2472">
        <f t="shared" si="42"/>
        <v>89408.671805069913</v>
      </c>
    </row>
    <row r="128" spans="9:37">
      <c r="I128" s="2479">
        <v>48273</v>
      </c>
      <c r="J128" s="2473">
        <f>-'G-3.04,5.01 PF AMI'!AE169</f>
        <v>-315594.16877950181</v>
      </c>
      <c r="K128" s="2473">
        <f t="shared" si="27"/>
        <v>5680695.0380309634</v>
      </c>
      <c r="L128" s="2473">
        <f t="shared" si="32"/>
        <v>7574260.0507079735</v>
      </c>
      <c r="M128" s="2473">
        <f t="shared" si="25"/>
        <v>-1192945.9579865022</v>
      </c>
      <c r="N128" s="2473">
        <f t="shared" si="33"/>
        <v>-1590594.6106486749</v>
      </c>
      <c r="P128" s="2479">
        <v>48273</v>
      </c>
      <c r="Q128" s="2473">
        <f>-'G-3.04,5.01 PF AMI'!AK169</f>
        <v>-89408.671805069913</v>
      </c>
      <c r="R128" s="2473">
        <f t="shared" si="28"/>
        <v>1609356.0924912323</v>
      </c>
      <c r="S128" s="2473">
        <f t="shared" si="34"/>
        <v>2145808.1233216519</v>
      </c>
      <c r="T128" s="2473">
        <f t="shared" si="26"/>
        <v>-337964.77942315879</v>
      </c>
      <c r="U128" s="2473">
        <f t="shared" si="35"/>
        <v>-450619.70589754684</v>
      </c>
      <c r="Y128" s="477">
        <v>121</v>
      </c>
      <c r="Z128" s="477">
        <v>202809</v>
      </c>
      <c r="AA128" s="2472">
        <f t="shared" si="41"/>
        <v>141673.76797421335</v>
      </c>
      <c r="AB128" s="2472">
        <f t="shared" si="41"/>
        <v>9212.1931736232491</v>
      </c>
      <c r="AC128" s="2472">
        <f t="shared" si="41"/>
        <v>180859.29027261797</v>
      </c>
      <c r="AD128" s="2472">
        <f t="shared" si="41"/>
        <v>-16151.082640952791</v>
      </c>
      <c r="AE128" s="2472">
        <f t="shared" si="39"/>
        <v>315594.16877950181</v>
      </c>
      <c r="AF128" s="2472"/>
      <c r="AG128" s="2472">
        <f t="shared" si="42"/>
        <v>28472.18673513988</v>
      </c>
      <c r="AH128" s="2472">
        <f t="shared" si="42"/>
        <v>3233.4334850305936</v>
      </c>
      <c r="AI128" s="2472">
        <f t="shared" si="42"/>
        <v>59670.591944930027</v>
      </c>
      <c r="AJ128" s="2472">
        <f t="shared" si="42"/>
        <v>-1967.5403600305935</v>
      </c>
      <c r="AK128" s="2472">
        <f t="shared" si="42"/>
        <v>89408.671805069913</v>
      </c>
    </row>
    <row r="129" spans="9:37">
      <c r="I129" s="2479">
        <v>48304</v>
      </c>
      <c r="J129" s="2473">
        <f>-'G-3.04,5.01 PF AMI'!AE170</f>
        <v>-315594.16877950181</v>
      </c>
      <c r="K129" s="2473">
        <f t="shared" si="27"/>
        <v>5365100.8692514617</v>
      </c>
      <c r="L129" s="2473">
        <f t="shared" si="32"/>
        <v>7258665.8819284728</v>
      </c>
      <c r="M129" s="2473">
        <f t="shared" si="25"/>
        <v>-1126671.182542807</v>
      </c>
      <c r="N129" s="2473">
        <f t="shared" si="33"/>
        <v>-1524319.8352049794</v>
      </c>
      <c r="P129" s="2479">
        <v>48304</v>
      </c>
      <c r="Q129" s="2473">
        <f>-'G-3.04,5.01 PF AMI'!AK170</f>
        <v>-89408.671805069913</v>
      </c>
      <c r="R129" s="2473">
        <f t="shared" si="28"/>
        <v>1519947.4206861623</v>
      </c>
      <c r="S129" s="2473">
        <f t="shared" si="34"/>
        <v>2056399.4515165819</v>
      </c>
      <c r="T129" s="2473">
        <f t="shared" si="26"/>
        <v>-319188.95834409405</v>
      </c>
      <c r="U129" s="2473">
        <f t="shared" si="35"/>
        <v>-431843.88481848221</v>
      </c>
      <c r="Y129" s="477">
        <v>122</v>
      </c>
      <c r="Z129" s="477">
        <v>202810</v>
      </c>
      <c r="AA129" s="2472">
        <f t="shared" si="41"/>
        <v>141673.76797421335</v>
      </c>
      <c r="AB129" s="2472">
        <f t="shared" si="41"/>
        <v>9212.1931736232491</v>
      </c>
      <c r="AC129" s="2472">
        <f t="shared" si="41"/>
        <v>180859.29027261797</v>
      </c>
      <c r="AD129" s="2472">
        <f t="shared" si="41"/>
        <v>-16151.082640952791</v>
      </c>
      <c r="AE129" s="2472">
        <f t="shared" si="39"/>
        <v>315594.16877950181</v>
      </c>
      <c r="AF129" s="2472"/>
      <c r="AG129" s="2472">
        <f t="shared" si="42"/>
        <v>28472.18673513988</v>
      </c>
      <c r="AH129" s="2472">
        <f t="shared" si="42"/>
        <v>3233.4334850305936</v>
      </c>
      <c r="AI129" s="2472">
        <f t="shared" si="42"/>
        <v>59670.591944930027</v>
      </c>
      <c r="AJ129" s="2472">
        <f t="shared" si="42"/>
        <v>-1967.5403600305935</v>
      </c>
      <c r="AK129" s="2472">
        <f t="shared" si="42"/>
        <v>89408.671805069913</v>
      </c>
    </row>
    <row r="130" spans="9:37">
      <c r="I130" s="2479">
        <v>48334</v>
      </c>
      <c r="J130" s="2473">
        <f>-'G-3.04,5.01 PF AMI'!AE171</f>
        <v>-315594.16877950181</v>
      </c>
      <c r="K130" s="2473">
        <f t="shared" si="27"/>
        <v>5049506.70047196</v>
      </c>
      <c r="L130" s="2473">
        <f t="shared" si="32"/>
        <v>6943071.7131489702</v>
      </c>
      <c r="M130" s="2473">
        <f t="shared" si="25"/>
        <v>-1060396.4070991115</v>
      </c>
      <c r="N130" s="2473">
        <f t="shared" si="33"/>
        <v>-1458045.0597612837</v>
      </c>
      <c r="P130" s="2479">
        <v>48334</v>
      </c>
      <c r="Q130" s="2473">
        <f>-'G-3.04,5.01 PF AMI'!AK171</f>
        <v>-89408.671805069913</v>
      </c>
      <c r="R130" s="2473">
        <f t="shared" si="28"/>
        <v>1430538.7488810923</v>
      </c>
      <c r="S130" s="2473">
        <f t="shared" si="34"/>
        <v>1966990.7797115122</v>
      </c>
      <c r="T130" s="2473">
        <f t="shared" si="26"/>
        <v>-300413.13726502936</v>
      </c>
      <c r="U130" s="2473">
        <f t="shared" si="35"/>
        <v>-413068.06373941759</v>
      </c>
      <c r="Y130" s="477">
        <v>123</v>
      </c>
      <c r="Z130" s="477">
        <v>202811</v>
      </c>
      <c r="AA130" s="2472">
        <f t="shared" si="41"/>
        <v>141673.76797421335</v>
      </c>
      <c r="AB130" s="2472">
        <f t="shared" si="41"/>
        <v>9212.1931736232491</v>
      </c>
      <c r="AC130" s="2472">
        <f t="shared" si="41"/>
        <v>180859.29027261797</v>
      </c>
      <c r="AD130" s="2472">
        <f t="shared" si="41"/>
        <v>-16151.082640952791</v>
      </c>
      <c r="AE130" s="2472">
        <f t="shared" si="39"/>
        <v>315594.16877950181</v>
      </c>
      <c r="AF130" s="2472"/>
      <c r="AG130" s="2472">
        <f t="shared" si="42"/>
        <v>28472.18673513988</v>
      </c>
      <c r="AH130" s="2472">
        <f t="shared" si="42"/>
        <v>3233.4334850305936</v>
      </c>
      <c r="AI130" s="2472">
        <f t="shared" si="42"/>
        <v>59670.591944930027</v>
      </c>
      <c r="AJ130" s="2472">
        <f t="shared" si="42"/>
        <v>-1967.5403600305935</v>
      </c>
      <c r="AK130" s="2472">
        <f t="shared" si="42"/>
        <v>89408.671805069913</v>
      </c>
    </row>
    <row r="131" spans="9:37">
      <c r="I131" s="2479">
        <v>48365</v>
      </c>
      <c r="J131" s="2473">
        <f>-'G-3.04,5.01 PF AMI'!AE172</f>
        <v>-315594.16877950181</v>
      </c>
      <c r="K131" s="2473">
        <f t="shared" si="27"/>
        <v>4733912.5316924583</v>
      </c>
      <c r="L131" s="2473">
        <f t="shared" si="32"/>
        <v>6627477.5443694694</v>
      </c>
      <c r="M131" s="2473">
        <f t="shared" ref="M131:M146" si="43">K131*-0.21</f>
        <v>-994121.63165541622</v>
      </c>
      <c r="N131" s="2473">
        <f t="shared" si="33"/>
        <v>-1391770.2843175882</v>
      </c>
      <c r="P131" s="2479">
        <v>48365</v>
      </c>
      <c r="Q131" s="2473">
        <f>-'G-3.04,5.01 PF AMI'!AK172</f>
        <v>-89408.671805069913</v>
      </c>
      <c r="R131" s="2473">
        <f t="shared" si="28"/>
        <v>1341130.0770760223</v>
      </c>
      <c r="S131" s="2473">
        <f t="shared" si="34"/>
        <v>1877582.1079064421</v>
      </c>
      <c r="T131" s="2473">
        <f t="shared" ref="T131:T146" si="44">R131*-0.21</f>
        <v>-281637.31618596468</v>
      </c>
      <c r="U131" s="2473">
        <f t="shared" si="35"/>
        <v>-394292.2426603529</v>
      </c>
      <c r="Y131" s="477">
        <v>124</v>
      </c>
      <c r="Z131" s="477">
        <v>202812</v>
      </c>
      <c r="AA131" s="2472">
        <f t="shared" si="41"/>
        <v>141673.76797421335</v>
      </c>
      <c r="AB131" s="2472">
        <f t="shared" si="41"/>
        <v>9212.1931736232491</v>
      </c>
      <c r="AC131" s="2472">
        <f t="shared" si="41"/>
        <v>180859.29027261797</v>
      </c>
      <c r="AD131" s="2472">
        <f t="shared" si="41"/>
        <v>-16151.082640952791</v>
      </c>
      <c r="AE131" s="2472">
        <f t="shared" si="39"/>
        <v>315594.16877950181</v>
      </c>
      <c r="AF131" s="2472"/>
      <c r="AG131" s="2472">
        <f t="shared" si="42"/>
        <v>28472.18673513988</v>
      </c>
      <c r="AH131" s="2472">
        <f t="shared" si="42"/>
        <v>3233.4334850305936</v>
      </c>
      <c r="AI131" s="2472">
        <f t="shared" si="42"/>
        <v>59670.591944930027</v>
      </c>
      <c r="AJ131" s="2472">
        <f t="shared" si="42"/>
        <v>-1967.5403600305935</v>
      </c>
      <c r="AK131" s="2472">
        <f t="shared" si="42"/>
        <v>89408.671805069913</v>
      </c>
    </row>
    <row r="132" spans="9:37">
      <c r="I132" s="2479">
        <v>48395</v>
      </c>
      <c r="J132" s="2473">
        <f>-'G-3.04,5.01 PF AMI'!AE173</f>
        <v>-315594.16877950181</v>
      </c>
      <c r="K132" s="2473">
        <f t="shared" ref="K132:K146" si="45">J132+K131</f>
        <v>4418318.3629129566</v>
      </c>
      <c r="L132" s="2473">
        <f t="shared" si="32"/>
        <v>6311883.3755899677</v>
      </c>
      <c r="M132" s="2473">
        <f t="shared" si="43"/>
        <v>-927846.85621172085</v>
      </c>
      <c r="N132" s="2473">
        <f t="shared" si="33"/>
        <v>-1325495.5088738927</v>
      </c>
      <c r="P132" s="2479">
        <v>48395</v>
      </c>
      <c r="Q132" s="2473">
        <f>-'G-3.04,5.01 PF AMI'!AK173</f>
        <v>-89408.671805069913</v>
      </c>
      <c r="R132" s="2473">
        <f t="shared" ref="R132:R146" si="46">Q132+R131</f>
        <v>1251721.4052709523</v>
      </c>
      <c r="S132" s="2473">
        <f t="shared" si="34"/>
        <v>1788173.4361013724</v>
      </c>
      <c r="T132" s="2473">
        <f t="shared" si="44"/>
        <v>-262861.49510689999</v>
      </c>
      <c r="U132" s="2473">
        <f t="shared" si="35"/>
        <v>-375516.42158128816</v>
      </c>
      <c r="Y132" s="477">
        <v>125</v>
      </c>
      <c r="Z132" s="477">
        <v>202901</v>
      </c>
      <c r="AA132" s="2472">
        <f t="shared" si="41"/>
        <v>141673.76797421335</v>
      </c>
      <c r="AB132" s="2472">
        <f t="shared" si="41"/>
        <v>9212.1931736232491</v>
      </c>
      <c r="AC132" s="2472">
        <f t="shared" si="41"/>
        <v>180859.29027261797</v>
      </c>
      <c r="AD132" s="2472">
        <f t="shared" si="41"/>
        <v>-16151.082640952791</v>
      </c>
      <c r="AE132" s="2472">
        <f t="shared" si="39"/>
        <v>315594.16877950181</v>
      </c>
      <c r="AF132" s="2472"/>
      <c r="AG132" s="2472">
        <f t="shared" si="42"/>
        <v>28472.18673513988</v>
      </c>
      <c r="AH132" s="2472">
        <f t="shared" si="42"/>
        <v>3233.4334850305936</v>
      </c>
      <c r="AI132" s="2472">
        <f t="shared" si="42"/>
        <v>59670.591944930027</v>
      </c>
      <c r="AJ132" s="2472">
        <f t="shared" si="42"/>
        <v>-1967.5403600305935</v>
      </c>
      <c r="AK132" s="2472">
        <f t="shared" si="42"/>
        <v>89408.671805069913</v>
      </c>
    </row>
    <row r="133" spans="9:37">
      <c r="I133" s="2479">
        <v>48426</v>
      </c>
      <c r="J133" s="2473">
        <f>-'G-3.04,5.01 PF AMI'!AE174</f>
        <v>-315594.16877950181</v>
      </c>
      <c r="K133" s="2473">
        <f t="shared" si="45"/>
        <v>4102724.1941334549</v>
      </c>
      <c r="L133" s="2473">
        <f t="shared" si="32"/>
        <v>5996289.2068104642</v>
      </c>
      <c r="M133" s="2473">
        <f t="shared" si="43"/>
        <v>-861572.08076802548</v>
      </c>
      <c r="N133" s="2473">
        <f t="shared" si="33"/>
        <v>-1259220.7334301975</v>
      </c>
      <c r="P133" s="2479">
        <v>48426</v>
      </c>
      <c r="Q133" s="2473">
        <f>-'G-3.04,5.01 PF AMI'!AK174</f>
        <v>-89408.671805069913</v>
      </c>
      <c r="R133" s="2473">
        <f t="shared" si="46"/>
        <v>1162312.7334658823</v>
      </c>
      <c r="S133" s="2473">
        <f t="shared" si="34"/>
        <v>1698764.7642963023</v>
      </c>
      <c r="T133" s="2473">
        <f t="shared" si="44"/>
        <v>-244085.67402783525</v>
      </c>
      <c r="U133" s="2473">
        <f t="shared" si="35"/>
        <v>-356740.60050222347</v>
      </c>
      <c r="Y133" s="477">
        <v>126</v>
      </c>
      <c r="Z133" s="477">
        <v>202902</v>
      </c>
      <c r="AA133" s="2472">
        <f t="shared" si="41"/>
        <v>141673.76797421335</v>
      </c>
      <c r="AB133" s="2472">
        <f t="shared" si="41"/>
        <v>9212.1931736232491</v>
      </c>
      <c r="AC133" s="2472">
        <f t="shared" si="41"/>
        <v>180859.29027261797</v>
      </c>
      <c r="AD133" s="2472">
        <f t="shared" si="41"/>
        <v>-16151.082640952791</v>
      </c>
      <c r="AE133" s="2472">
        <f t="shared" si="39"/>
        <v>315594.16877950181</v>
      </c>
      <c r="AF133" s="2472"/>
      <c r="AG133" s="2472">
        <f t="shared" si="42"/>
        <v>28472.18673513988</v>
      </c>
      <c r="AH133" s="2472">
        <f t="shared" si="42"/>
        <v>3233.4334850305936</v>
      </c>
      <c r="AI133" s="2472">
        <f t="shared" si="42"/>
        <v>59670.591944930027</v>
      </c>
      <c r="AJ133" s="2472">
        <f t="shared" si="42"/>
        <v>-1967.5403600305935</v>
      </c>
      <c r="AK133" s="2472">
        <f t="shared" si="42"/>
        <v>89408.671805069913</v>
      </c>
    </row>
    <row r="134" spans="9:37">
      <c r="I134" s="2479">
        <v>48457</v>
      </c>
      <c r="J134" s="2473">
        <f>-'G-3.04,5.01 PF AMI'!AE175</f>
        <v>-315594.16877950181</v>
      </c>
      <c r="K134" s="2473">
        <f t="shared" si="45"/>
        <v>3787130.0253539532</v>
      </c>
      <c r="L134" s="2473">
        <f t="shared" si="32"/>
        <v>5680695.0380309643</v>
      </c>
      <c r="M134" s="2473">
        <f t="shared" si="43"/>
        <v>-795297.30532433011</v>
      </c>
      <c r="N134" s="2473">
        <f t="shared" si="33"/>
        <v>-1192945.957986502</v>
      </c>
      <c r="P134" s="2479">
        <v>48457</v>
      </c>
      <c r="Q134" s="2473">
        <f>-'G-3.04,5.01 PF AMI'!AK175</f>
        <v>-89408.671805069913</v>
      </c>
      <c r="R134" s="2473">
        <f t="shared" si="46"/>
        <v>1072904.0616608122</v>
      </c>
      <c r="S134" s="2473">
        <f t="shared" si="34"/>
        <v>1609356.0924912326</v>
      </c>
      <c r="T134" s="2473">
        <f t="shared" si="44"/>
        <v>-225309.85294877057</v>
      </c>
      <c r="U134" s="2473">
        <f t="shared" si="35"/>
        <v>-337964.77942315879</v>
      </c>
      <c r="Y134" s="477">
        <v>127</v>
      </c>
      <c r="Z134" s="477">
        <v>202903</v>
      </c>
      <c r="AA134" s="2472">
        <f t="shared" si="41"/>
        <v>141673.76797421335</v>
      </c>
      <c r="AB134" s="2472">
        <f t="shared" si="41"/>
        <v>9212.1931736232491</v>
      </c>
      <c r="AC134" s="2472">
        <f t="shared" si="41"/>
        <v>180859.29027261797</v>
      </c>
      <c r="AD134" s="2472">
        <f t="shared" si="41"/>
        <v>-16151.082640952791</v>
      </c>
      <c r="AE134" s="2472">
        <f t="shared" si="39"/>
        <v>315594.16877950181</v>
      </c>
      <c r="AF134" s="2472"/>
      <c r="AG134" s="2472">
        <f t="shared" si="42"/>
        <v>28472.18673513988</v>
      </c>
      <c r="AH134" s="2472">
        <f t="shared" si="42"/>
        <v>3233.4334850305936</v>
      </c>
      <c r="AI134" s="2472">
        <f t="shared" si="42"/>
        <v>59670.591944930027</v>
      </c>
      <c r="AJ134" s="2472">
        <f t="shared" si="42"/>
        <v>-1967.5403600305935</v>
      </c>
      <c r="AK134" s="2472">
        <f t="shared" si="42"/>
        <v>89408.671805069913</v>
      </c>
    </row>
    <row r="135" spans="9:37">
      <c r="I135" s="2479">
        <v>48487</v>
      </c>
      <c r="J135" s="2473">
        <f>-'G-3.04,5.01 PF AMI'!AE176</f>
        <v>-315594.16877950181</v>
      </c>
      <c r="K135" s="2473">
        <f t="shared" si="45"/>
        <v>3471535.8565744516</v>
      </c>
      <c r="L135" s="2473">
        <f t="shared" si="32"/>
        <v>5365100.8692514617</v>
      </c>
      <c r="M135" s="2473">
        <f t="shared" si="43"/>
        <v>-729022.52988063474</v>
      </c>
      <c r="N135" s="2473">
        <f t="shared" si="33"/>
        <v>-1126671.1825428067</v>
      </c>
      <c r="P135" s="2479">
        <v>48487</v>
      </c>
      <c r="Q135" s="2473">
        <f>-'G-3.04,5.01 PF AMI'!AK176</f>
        <v>-89408.671805069913</v>
      </c>
      <c r="R135" s="2473">
        <f t="shared" si="46"/>
        <v>983495.38985574234</v>
      </c>
      <c r="S135" s="2473">
        <f t="shared" si="34"/>
        <v>1519947.4206861623</v>
      </c>
      <c r="T135" s="2473">
        <f t="shared" si="44"/>
        <v>-206534.03186970588</v>
      </c>
      <c r="U135" s="2473">
        <f t="shared" si="35"/>
        <v>-319188.95834409405</v>
      </c>
      <c r="Y135" s="477">
        <v>128</v>
      </c>
      <c r="Z135" s="477">
        <v>202904</v>
      </c>
      <c r="AA135" s="2472">
        <f t="shared" si="41"/>
        <v>141673.76797421335</v>
      </c>
      <c r="AB135" s="2472">
        <f t="shared" si="41"/>
        <v>9212.1931736232491</v>
      </c>
      <c r="AC135" s="2472">
        <f t="shared" si="41"/>
        <v>180859.29027261797</v>
      </c>
      <c r="AD135" s="2472">
        <f t="shared" si="41"/>
        <v>-16151.082640952791</v>
      </c>
      <c r="AE135" s="2472">
        <f t="shared" si="39"/>
        <v>315594.16877950181</v>
      </c>
      <c r="AF135" s="2472"/>
      <c r="AG135" s="2472">
        <f t="shared" si="42"/>
        <v>28472.18673513988</v>
      </c>
      <c r="AH135" s="2472">
        <f t="shared" si="42"/>
        <v>3233.4334850305936</v>
      </c>
      <c r="AI135" s="2472">
        <f t="shared" si="42"/>
        <v>59670.591944930027</v>
      </c>
      <c r="AJ135" s="2472">
        <f t="shared" si="42"/>
        <v>-1967.5403600305935</v>
      </c>
      <c r="AK135" s="2472">
        <f t="shared" si="42"/>
        <v>89408.671805069913</v>
      </c>
    </row>
    <row r="136" spans="9:37">
      <c r="I136" s="2479">
        <v>48518</v>
      </c>
      <c r="J136" s="2473">
        <f>-'G-3.04,5.01 PF AMI'!AE177</f>
        <v>-315594.16877950181</v>
      </c>
      <c r="K136" s="2473">
        <f t="shared" si="45"/>
        <v>3155941.6877949499</v>
      </c>
      <c r="L136" s="2473">
        <f t="shared" si="32"/>
        <v>5049506.70047196</v>
      </c>
      <c r="M136" s="2473">
        <f t="shared" si="43"/>
        <v>-662747.75443693949</v>
      </c>
      <c r="N136" s="2473">
        <f t="shared" si="33"/>
        <v>-1060396.4070991117</v>
      </c>
      <c r="P136" s="2479">
        <v>48518</v>
      </c>
      <c r="Q136" s="2473">
        <f>-'G-3.04,5.01 PF AMI'!AK177</f>
        <v>-89408.671805069913</v>
      </c>
      <c r="R136" s="2473">
        <f t="shared" si="46"/>
        <v>894086.71805067244</v>
      </c>
      <c r="S136" s="2473">
        <f t="shared" si="34"/>
        <v>1430538.7488810923</v>
      </c>
      <c r="T136" s="2473">
        <f t="shared" si="44"/>
        <v>-187758.2107906412</v>
      </c>
      <c r="U136" s="2473">
        <f t="shared" si="35"/>
        <v>-300413.13726502942</v>
      </c>
      <c r="Y136" s="477">
        <v>129</v>
      </c>
      <c r="Z136" s="477">
        <v>202905</v>
      </c>
      <c r="AA136" s="2472">
        <f t="shared" si="41"/>
        <v>141673.76797421335</v>
      </c>
      <c r="AB136" s="2472">
        <f t="shared" si="41"/>
        <v>9212.1931736232491</v>
      </c>
      <c r="AC136" s="2472">
        <f t="shared" si="41"/>
        <v>180859.29027261797</v>
      </c>
      <c r="AD136" s="2472">
        <f t="shared" si="41"/>
        <v>-16151.082640952791</v>
      </c>
      <c r="AE136" s="2472">
        <f t="shared" si="39"/>
        <v>315594.16877950181</v>
      </c>
      <c r="AF136" s="2472"/>
      <c r="AG136" s="2472">
        <f t="shared" si="42"/>
        <v>28472.18673513988</v>
      </c>
      <c r="AH136" s="2472">
        <f t="shared" si="42"/>
        <v>3233.4334850305936</v>
      </c>
      <c r="AI136" s="2472">
        <f t="shared" si="42"/>
        <v>59670.591944930027</v>
      </c>
      <c r="AJ136" s="2472">
        <f t="shared" si="42"/>
        <v>-1967.5403600305935</v>
      </c>
      <c r="AK136" s="2472">
        <f t="shared" si="42"/>
        <v>89408.671805069913</v>
      </c>
    </row>
    <row r="137" spans="9:37">
      <c r="I137" s="2479">
        <v>48548</v>
      </c>
      <c r="J137" s="2473">
        <f>-'G-3.04,5.01 PF AMI'!AE178</f>
        <v>-315594.16877950181</v>
      </c>
      <c r="K137" s="2473">
        <f t="shared" si="45"/>
        <v>2840347.5190154482</v>
      </c>
      <c r="L137" s="2473">
        <f t="shared" si="32"/>
        <v>4733912.5316924592</v>
      </c>
      <c r="M137" s="2473">
        <f t="shared" si="43"/>
        <v>-596472.97899324412</v>
      </c>
      <c r="N137" s="2473">
        <f t="shared" si="33"/>
        <v>-994121.63165541645</v>
      </c>
      <c r="P137" s="2479">
        <v>48548</v>
      </c>
      <c r="Q137" s="2473">
        <f>-'G-3.04,5.01 PF AMI'!AK178</f>
        <v>-89408.671805069913</v>
      </c>
      <c r="R137" s="2473">
        <f t="shared" si="46"/>
        <v>804678.04624560254</v>
      </c>
      <c r="S137" s="2473">
        <f t="shared" si="34"/>
        <v>1341130.0770760223</v>
      </c>
      <c r="T137" s="2473">
        <f t="shared" si="44"/>
        <v>-168982.38971157651</v>
      </c>
      <c r="U137" s="2473">
        <f t="shared" si="35"/>
        <v>-281637.31618596468</v>
      </c>
      <c r="Y137" s="477">
        <v>130</v>
      </c>
      <c r="Z137" s="477">
        <v>202906</v>
      </c>
      <c r="AA137" s="2472">
        <f t="shared" si="41"/>
        <v>141673.76797421335</v>
      </c>
      <c r="AB137" s="2472">
        <f t="shared" si="41"/>
        <v>9212.1931736232491</v>
      </c>
      <c r="AC137" s="2472">
        <f t="shared" si="41"/>
        <v>180859.29027261797</v>
      </c>
      <c r="AD137" s="2472">
        <f t="shared" si="41"/>
        <v>-16151.082640952791</v>
      </c>
      <c r="AE137" s="2472">
        <f t="shared" si="39"/>
        <v>315594.16877950181</v>
      </c>
      <c r="AF137" s="2472"/>
      <c r="AG137" s="2472">
        <f t="shared" si="42"/>
        <v>28472.18673513988</v>
      </c>
      <c r="AH137" s="2472">
        <f t="shared" si="42"/>
        <v>3233.4334850305936</v>
      </c>
      <c r="AI137" s="2472">
        <f t="shared" si="42"/>
        <v>59670.591944930027</v>
      </c>
      <c r="AJ137" s="2472">
        <f t="shared" si="42"/>
        <v>-1967.5403600305935</v>
      </c>
      <c r="AK137" s="2472">
        <f t="shared" si="42"/>
        <v>89408.671805069913</v>
      </c>
    </row>
    <row r="138" spans="9:37">
      <c r="I138" s="2479">
        <v>48579</v>
      </c>
      <c r="J138" s="2473">
        <f>-'G-3.04,5.01 PF AMI'!AE179</f>
        <v>-315594.16877950181</v>
      </c>
      <c r="K138" s="2473">
        <f t="shared" si="45"/>
        <v>2524753.3502359465</v>
      </c>
      <c r="L138" s="2473">
        <f t="shared" si="32"/>
        <v>4418318.3629129566</v>
      </c>
      <c r="M138" s="2473">
        <f t="shared" si="43"/>
        <v>-530198.20354954875</v>
      </c>
      <c r="N138" s="2473">
        <f t="shared" si="33"/>
        <v>-927846.85621172097</v>
      </c>
      <c r="P138" s="2479">
        <v>48579</v>
      </c>
      <c r="Q138" s="2473">
        <f>-'G-3.04,5.01 PF AMI'!AK179</f>
        <v>-89408.671805069913</v>
      </c>
      <c r="R138" s="2473">
        <f t="shared" si="46"/>
        <v>715269.37444053264</v>
      </c>
      <c r="S138" s="2473">
        <f t="shared" si="34"/>
        <v>1251721.4052709525</v>
      </c>
      <c r="T138" s="2473">
        <f t="shared" si="44"/>
        <v>-150206.56863251186</v>
      </c>
      <c r="U138" s="2473">
        <f t="shared" si="35"/>
        <v>-262861.49510689994</v>
      </c>
      <c r="Y138" s="477">
        <v>131</v>
      </c>
      <c r="Z138" s="477">
        <v>202907</v>
      </c>
      <c r="AA138" s="2472">
        <f t="shared" si="41"/>
        <v>141673.76797421335</v>
      </c>
      <c r="AB138" s="2472">
        <f t="shared" si="41"/>
        <v>9212.1931736232491</v>
      </c>
      <c r="AC138" s="2472">
        <f t="shared" si="41"/>
        <v>180859.29027261797</v>
      </c>
      <c r="AD138" s="2472">
        <f t="shared" si="41"/>
        <v>-16151.082640952791</v>
      </c>
      <c r="AE138" s="2472">
        <f t="shared" si="39"/>
        <v>315594.16877950181</v>
      </c>
      <c r="AF138" s="2472"/>
      <c r="AG138" s="2472">
        <f t="shared" si="42"/>
        <v>28472.18673513988</v>
      </c>
      <c r="AH138" s="2472">
        <f t="shared" si="42"/>
        <v>3233.4334850305936</v>
      </c>
      <c r="AI138" s="2472">
        <f t="shared" si="42"/>
        <v>59670.591944930027</v>
      </c>
      <c r="AJ138" s="2472">
        <f t="shared" si="42"/>
        <v>-1967.5403600305935</v>
      </c>
      <c r="AK138" s="2472">
        <f t="shared" si="42"/>
        <v>89408.671805069913</v>
      </c>
    </row>
    <row r="139" spans="9:37">
      <c r="I139" s="2479">
        <v>48610</v>
      </c>
      <c r="J139" s="2473">
        <f>-'G-3.04,5.01 PF AMI'!AE180</f>
        <v>-315594.16877950181</v>
      </c>
      <c r="K139" s="2473">
        <f t="shared" si="45"/>
        <v>2209159.1814564448</v>
      </c>
      <c r="L139" s="2473">
        <f t="shared" si="32"/>
        <v>4102724.1941334549</v>
      </c>
      <c r="M139" s="2473">
        <f t="shared" si="43"/>
        <v>-463923.42810585338</v>
      </c>
      <c r="N139" s="2473">
        <f t="shared" si="33"/>
        <v>-861572.0807680256</v>
      </c>
      <c r="P139" s="2479">
        <v>48610</v>
      </c>
      <c r="Q139" s="2473">
        <f>-'G-3.04,5.01 PF AMI'!AK180</f>
        <v>-89408.671805069913</v>
      </c>
      <c r="R139" s="2473">
        <f t="shared" si="46"/>
        <v>625860.70263546275</v>
      </c>
      <c r="S139" s="2473">
        <f t="shared" si="34"/>
        <v>1162312.7334658823</v>
      </c>
      <c r="T139" s="2473">
        <f t="shared" si="44"/>
        <v>-131430.74755344717</v>
      </c>
      <c r="U139" s="2473">
        <f t="shared" si="35"/>
        <v>-244085.67402783528</v>
      </c>
      <c r="Y139" s="477">
        <v>132</v>
      </c>
      <c r="Z139" s="477">
        <v>202908</v>
      </c>
      <c r="AA139" s="2472">
        <f t="shared" si="41"/>
        <v>141673.76797421335</v>
      </c>
      <c r="AB139" s="2472">
        <f t="shared" si="41"/>
        <v>9212.1931736232491</v>
      </c>
      <c r="AC139" s="2472">
        <f t="shared" si="41"/>
        <v>180859.29027261797</v>
      </c>
      <c r="AD139" s="2472">
        <f t="shared" si="41"/>
        <v>-16151.082640952791</v>
      </c>
      <c r="AE139" s="2472">
        <f t="shared" si="39"/>
        <v>315594.16877950181</v>
      </c>
      <c r="AF139" s="2472"/>
      <c r="AG139" s="2472">
        <f t="shared" si="42"/>
        <v>28472.18673513988</v>
      </c>
      <c r="AH139" s="2472">
        <f t="shared" si="42"/>
        <v>3233.4334850305936</v>
      </c>
      <c r="AI139" s="2472">
        <f t="shared" si="42"/>
        <v>59670.591944930027</v>
      </c>
      <c r="AJ139" s="2472">
        <f t="shared" si="42"/>
        <v>-1967.5403600305935</v>
      </c>
      <c r="AK139" s="2472">
        <f t="shared" si="42"/>
        <v>89408.671805069913</v>
      </c>
    </row>
    <row r="140" spans="9:37">
      <c r="I140" s="2479">
        <v>48638</v>
      </c>
      <c r="J140" s="2473">
        <f>-'G-3.04,5.01 PF AMI'!AE181</f>
        <v>-315594.16877950181</v>
      </c>
      <c r="K140" s="2473">
        <f t="shared" si="45"/>
        <v>1893565.0126769431</v>
      </c>
      <c r="L140" s="2473">
        <f t="shared" si="32"/>
        <v>3787130.0253539537</v>
      </c>
      <c r="M140" s="2473">
        <f t="shared" si="43"/>
        <v>-397648.65266215801</v>
      </c>
      <c r="N140" s="2473">
        <f t="shared" si="33"/>
        <v>-795297.30532433011</v>
      </c>
      <c r="P140" s="2479">
        <v>48638</v>
      </c>
      <c r="Q140" s="2473">
        <f>-'G-3.04,5.01 PF AMI'!AK181</f>
        <v>-89408.671805069913</v>
      </c>
      <c r="R140" s="2473">
        <f t="shared" si="46"/>
        <v>536452.03083039285</v>
      </c>
      <c r="S140" s="2473">
        <f t="shared" si="34"/>
        <v>1072904.0616608125</v>
      </c>
      <c r="T140" s="2473">
        <f t="shared" si="44"/>
        <v>-112654.92647438249</v>
      </c>
      <c r="U140" s="2473">
        <f t="shared" si="35"/>
        <v>-225309.8529487706</v>
      </c>
      <c r="Y140" s="477">
        <v>133</v>
      </c>
      <c r="Z140" s="477">
        <v>202909</v>
      </c>
      <c r="AA140" s="2472">
        <f t="shared" si="41"/>
        <v>141673.76797421335</v>
      </c>
      <c r="AB140" s="2472">
        <f t="shared" si="41"/>
        <v>9212.1931736232491</v>
      </c>
      <c r="AC140" s="2472">
        <f t="shared" si="41"/>
        <v>180859.29027261797</v>
      </c>
      <c r="AD140" s="2472">
        <f t="shared" si="41"/>
        <v>-16151.082640952791</v>
      </c>
      <c r="AE140" s="2472">
        <f t="shared" si="39"/>
        <v>315594.16877950181</v>
      </c>
      <c r="AF140" s="2472"/>
      <c r="AG140" s="2472">
        <f t="shared" si="42"/>
        <v>28472.18673513988</v>
      </c>
      <c r="AH140" s="2472">
        <f t="shared" si="42"/>
        <v>3233.4334850305936</v>
      </c>
      <c r="AI140" s="2472">
        <f t="shared" si="42"/>
        <v>59670.591944930027</v>
      </c>
      <c r="AJ140" s="2472">
        <f t="shared" si="42"/>
        <v>-1967.5403600305935</v>
      </c>
      <c r="AK140" s="2472">
        <f t="shared" si="42"/>
        <v>89408.671805069913</v>
      </c>
    </row>
    <row r="141" spans="9:37">
      <c r="I141" s="2479">
        <v>48669</v>
      </c>
      <c r="J141" s="2473">
        <f>-'G-3.04,5.01 PF AMI'!AE182</f>
        <v>-315594.16877950181</v>
      </c>
      <c r="K141" s="2473">
        <f t="shared" si="45"/>
        <v>1577970.8438974414</v>
      </c>
      <c r="L141" s="2473">
        <f t="shared" si="32"/>
        <v>3471535.856574452</v>
      </c>
      <c r="M141" s="2473">
        <f t="shared" si="43"/>
        <v>-331373.8772184627</v>
      </c>
      <c r="N141" s="2473">
        <f t="shared" si="33"/>
        <v>-729022.52988063486</v>
      </c>
      <c r="P141" s="2479">
        <v>48669</v>
      </c>
      <c r="Q141" s="2473">
        <f>-'G-3.04,5.01 PF AMI'!AK182</f>
        <v>-89408.671805069913</v>
      </c>
      <c r="R141" s="2473">
        <f t="shared" si="46"/>
        <v>447043.35902532295</v>
      </c>
      <c r="S141" s="2473">
        <f t="shared" si="34"/>
        <v>983495.38985574245</v>
      </c>
      <c r="T141" s="2473">
        <f t="shared" si="44"/>
        <v>-93879.10539531782</v>
      </c>
      <c r="U141" s="2473">
        <f t="shared" si="35"/>
        <v>-206534.03186970591</v>
      </c>
      <c r="Y141" s="477">
        <v>134</v>
      </c>
      <c r="Z141" s="477">
        <v>202910</v>
      </c>
      <c r="AA141" s="2472">
        <f t="shared" ref="AA141:AD156" si="47">AA140</f>
        <v>141673.76797421335</v>
      </c>
      <c r="AB141" s="2472">
        <f t="shared" si="47"/>
        <v>9212.1931736232491</v>
      </c>
      <c r="AC141" s="2472">
        <f t="shared" si="47"/>
        <v>180859.29027261797</v>
      </c>
      <c r="AD141" s="2472">
        <f t="shared" si="47"/>
        <v>-16151.082640952791</v>
      </c>
      <c r="AE141" s="2472">
        <f t="shared" si="39"/>
        <v>315594.16877950181</v>
      </c>
      <c r="AF141" s="2472"/>
      <c r="AG141" s="2472">
        <f t="shared" ref="AG141:AK156" si="48">AG140</f>
        <v>28472.18673513988</v>
      </c>
      <c r="AH141" s="2472">
        <f t="shared" si="48"/>
        <v>3233.4334850305936</v>
      </c>
      <c r="AI141" s="2472">
        <f t="shared" si="48"/>
        <v>59670.591944930027</v>
      </c>
      <c r="AJ141" s="2472">
        <f t="shared" si="48"/>
        <v>-1967.5403600305935</v>
      </c>
      <c r="AK141" s="2472">
        <f t="shared" si="48"/>
        <v>89408.671805069913</v>
      </c>
    </row>
    <row r="142" spans="9:37">
      <c r="I142" s="2479">
        <v>48699</v>
      </c>
      <c r="J142" s="2473">
        <f>-'G-3.04,5.01 PF AMI'!AE183</f>
        <v>-315594.16877950181</v>
      </c>
      <c r="K142" s="2473">
        <f t="shared" si="45"/>
        <v>1262376.6751179397</v>
      </c>
      <c r="L142" s="2473">
        <f t="shared" si="32"/>
        <v>3155941.6877949503</v>
      </c>
      <c r="M142" s="2473">
        <f t="shared" si="43"/>
        <v>-265099.10177476733</v>
      </c>
      <c r="N142" s="2473">
        <f t="shared" si="33"/>
        <v>-662747.75443693949</v>
      </c>
      <c r="P142" s="2479">
        <v>48699</v>
      </c>
      <c r="Q142" s="2473">
        <f>-'G-3.04,5.01 PF AMI'!AK183</f>
        <v>-89408.671805069913</v>
      </c>
      <c r="R142" s="2473">
        <f t="shared" si="46"/>
        <v>357634.68722025305</v>
      </c>
      <c r="S142" s="2473">
        <f t="shared" si="34"/>
        <v>894086.71805067267</v>
      </c>
      <c r="T142" s="2473">
        <f t="shared" si="44"/>
        <v>-75103.284316253135</v>
      </c>
      <c r="U142" s="2473">
        <f t="shared" si="35"/>
        <v>-187758.21079064126</v>
      </c>
      <c r="Y142" s="477">
        <v>135</v>
      </c>
      <c r="Z142" s="477">
        <v>202911</v>
      </c>
      <c r="AA142" s="2472">
        <f t="shared" si="47"/>
        <v>141673.76797421335</v>
      </c>
      <c r="AB142" s="2472">
        <f t="shared" si="47"/>
        <v>9212.1931736232491</v>
      </c>
      <c r="AC142" s="2472">
        <f t="shared" si="47"/>
        <v>180859.29027261797</v>
      </c>
      <c r="AD142" s="2472">
        <f t="shared" si="47"/>
        <v>-16151.082640952791</v>
      </c>
      <c r="AE142" s="2472">
        <f t="shared" si="39"/>
        <v>315594.16877950181</v>
      </c>
      <c r="AF142" s="2472"/>
      <c r="AG142" s="2472">
        <f t="shared" si="48"/>
        <v>28472.18673513988</v>
      </c>
      <c r="AH142" s="2472">
        <f t="shared" si="48"/>
        <v>3233.4334850305936</v>
      </c>
      <c r="AI142" s="2472">
        <f t="shared" si="48"/>
        <v>59670.591944930027</v>
      </c>
      <c r="AJ142" s="2472">
        <f t="shared" si="48"/>
        <v>-1967.5403600305935</v>
      </c>
      <c r="AK142" s="2472">
        <f t="shared" si="48"/>
        <v>89408.671805069913</v>
      </c>
    </row>
    <row r="143" spans="9:37">
      <c r="I143" s="2479">
        <v>48730</v>
      </c>
      <c r="J143" s="2473">
        <f>-'G-3.04,5.01 PF AMI'!AE184</f>
        <v>-315594.16877950181</v>
      </c>
      <c r="K143" s="2473">
        <f t="shared" si="45"/>
        <v>946782.5063384379</v>
      </c>
      <c r="L143" s="2473">
        <f t="shared" si="32"/>
        <v>2840347.5190154486</v>
      </c>
      <c r="M143" s="2473">
        <f t="shared" si="43"/>
        <v>-198824.32633107196</v>
      </c>
      <c r="N143" s="2473">
        <f t="shared" si="33"/>
        <v>-596472.97899324412</v>
      </c>
      <c r="P143" s="2479">
        <v>48730</v>
      </c>
      <c r="Q143" s="2473">
        <f>-'G-3.04,5.01 PF AMI'!AK184</f>
        <v>-89408.671805069913</v>
      </c>
      <c r="R143" s="2473">
        <f t="shared" si="46"/>
        <v>268226.01541518315</v>
      </c>
      <c r="S143" s="2473">
        <f t="shared" si="34"/>
        <v>804678.04624560277</v>
      </c>
      <c r="T143" s="2473">
        <f t="shared" si="44"/>
        <v>-56327.463237188458</v>
      </c>
      <c r="U143" s="2473">
        <f t="shared" si="35"/>
        <v>-168982.38971157654</v>
      </c>
      <c r="Y143" s="477">
        <v>136</v>
      </c>
      <c r="Z143" s="477">
        <v>202912</v>
      </c>
      <c r="AA143" s="2472">
        <f t="shared" si="47"/>
        <v>141673.76797421335</v>
      </c>
      <c r="AB143" s="2472">
        <f t="shared" si="47"/>
        <v>9212.1931736232491</v>
      </c>
      <c r="AC143" s="2472">
        <f t="shared" si="47"/>
        <v>180859.29027261797</v>
      </c>
      <c r="AD143" s="2472">
        <f t="shared" si="47"/>
        <v>-16151.082640952791</v>
      </c>
      <c r="AE143" s="2472">
        <f t="shared" si="39"/>
        <v>315594.16877950181</v>
      </c>
      <c r="AF143" s="2472"/>
      <c r="AG143" s="2472">
        <f t="shared" si="48"/>
        <v>28472.18673513988</v>
      </c>
      <c r="AH143" s="2472">
        <f t="shared" si="48"/>
        <v>3233.4334850305936</v>
      </c>
      <c r="AI143" s="2472">
        <f t="shared" si="48"/>
        <v>59670.591944930027</v>
      </c>
      <c r="AJ143" s="2472">
        <f t="shared" si="48"/>
        <v>-1967.5403600305935</v>
      </c>
      <c r="AK143" s="2472">
        <f t="shared" si="48"/>
        <v>89408.671805069913</v>
      </c>
    </row>
    <row r="144" spans="9:37">
      <c r="I144" s="2479">
        <v>48760</v>
      </c>
      <c r="J144" s="2473">
        <f>-'G-3.04,5.01 PF AMI'!AE185</f>
        <v>-315594.16877950181</v>
      </c>
      <c r="K144" s="2473">
        <f t="shared" si="45"/>
        <v>631188.33755893609</v>
      </c>
      <c r="L144" s="2473">
        <f t="shared" si="32"/>
        <v>2524753.3502359469</v>
      </c>
      <c r="M144" s="2473">
        <f t="shared" si="43"/>
        <v>-132549.55088737656</v>
      </c>
      <c r="N144" s="2473">
        <f t="shared" si="33"/>
        <v>-530198.20354954863</v>
      </c>
      <c r="P144" s="2479">
        <v>48760</v>
      </c>
      <c r="Q144" s="2473">
        <f>-'G-3.04,5.01 PF AMI'!AK185</f>
        <v>-89408.671805069913</v>
      </c>
      <c r="R144" s="2473">
        <f t="shared" si="46"/>
        <v>178817.34361011325</v>
      </c>
      <c r="S144" s="2473">
        <f t="shared" si="34"/>
        <v>715269.37444053264</v>
      </c>
      <c r="T144" s="2473">
        <f t="shared" si="44"/>
        <v>-37551.642158123781</v>
      </c>
      <c r="U144" s="2473">
        <f t="shared" si="35"/>
        <v>-150206.56863251186</v>
      </c>
      <c r="Y144" s="477">
        <v>137</v>
      </c>
      <c r="Z144" s="477">
        <v>203001</v>
      </c>
      <c r="AA144" s="2472">
        <f t="shared" si="47"/>
        <v>141673.76797421335</v>
      </c>
      <c r="AB144" s="2472">
        <f t="shared" si="47"/>
        <v>9212.1931736232491</v>
      </c>
      <c r="AC144" s="2472">
        <f t="shared" si="47"/>
        <v>180859.29027261797</v>
      </c>
      <c r="AD144" s="2472">
        <f t="shared" si="47"/>
        <v>-16151.082640952791</v>
      </c>
      <c r="AE144" s="2472">
        <f t="shared" si="39"/>
        <v>315594.16877950181</v>
      </c>
      <c r="AF144" s="2472"/>
      <c r="AG144" s="2472">
        <f t="shared" si="48"/>
        <v>28472.18673513988</v>
      </c>
      <c r="AH144" s="2472">
        <f t="shared" si="48"/>
        <v>3233.4334850305936</v>
      </c>
      <c r="AI144" s="2472">
        <f t="shared" si="48"/>
        <v>59670.591944930027</v>
      </c>
      <c r="AJ144" s="2472">
        <f t="shared" si="48"/>
        <v>-1967.5403600305935</v>
      </c>
      <c r="AK144" s="2472">
        <f t="shared" si="48"/>
        <v>89408.671805069913</v>
      </c>
    </row>
    <row r="145" spans="9:37">
      <c r="I145" s="2479">
        <v>48791</v>
      </c>
      <c r="J145" s="2473">
        <f>-'G-3.04,5.01 PF AMI'!AE186</f>
        <v>-315594.16877950181</v>
      </c>
      <c r="K145" s="2473">
        <f t="shared" si="45"/>
        <v>315594.16877943429</v>
      </c>
      <c r="L145" s="2473">
        <f t="shared" si="32"/>
        <v>2209159.1814564448</v>
      </c>
      <c r="M145" s="2473">
        <f t="shared" si="43"/>
        <v>-66274.775443681196</v>
      </c>
      <c r="N145" s="2473">
        <f t="shared" si="33"/>
        <v>-463923.42810585332</v>
      </c>
      <c r="P145" s="2479">
        <v>48791</v>
      </c>
      <c r="Q145" s="2473">
        <f>-'G-3.04,5.01 PF AMI'!AK186</f>
        <v>-89408.671805069913</v>
      </c>
      <c r="R145" s="2473">
        <f t="shared" si="46"/>
        <v>89408.671805043341</v>
      </c>
      <c r="S145" s="2473">
        <f t="shared" si="34"/>
        <v>625860.70263546275</v>
      </c>
      <c r="T145" s="2473">
        <f t="shared" si="44"/>
        <v>-18775.8210790591</v>
      </c>
      <c r="U145" s="2473">
        <f t="shared" si="35"/>
        <v>-131430.74755344717</v>
      </c>
      <c r="Y145" s="477">
        <v>138</v>
      </c>
      <c r="Z145" s="477">
        <v>203002</v>
      </c>
      <c r="AA145" s="2472">
        <f t="shared" si="47"/>
        <v>141673.76797421335</v>
      </c>
      <c r="AB145" s="2472">
        <f t="shared" si="47"/>
        <v>9212.1931736232491</v>
      </c>
      <c r="AC145" s="2472">
        <f t="shared" si="47"/>
        <v>180859.29027261797</v>
      </c>
      <c r="AD145" s="2472">
        <f t="shared" si="47"/>
        <v>-16151.082640952791</v>
      </c>
      <c r="AE145" s="2472">
        <f t="shared" si="39"/>
        <v>315594.16877950181</v>
      </c>
      <c r="AF145" s="2472"/>
      <c r="AG145" s="2472">
        <f t="shared" si="48"/>
        <v>28472.18673513988</v>
      </c>
      <c r="AH145" s="2472">
        <f t="shared" si="48"/>
        <v>3233.4334850305936</v>
      </c>
      <c r="AI145" s="2472">
        <f t="shared" si="48"/>
        <v>59670.591944930027</v>
      </c>
      <c r="AJ145" s="2472">
        <f t="shared" si="48"/>
        <v>-1967.5403600305935</v>
      </c>
      <c r="AK145" s="2472">
        <f t="shared" si="48"/>
        <v>89408.671805069913</v>
      </c>
    </row>
    <row r="146" spans="9:37">
      <c r="I146" s="2479">
        <v>48822</v>
      </c>
      <c r="J146" s="2473">
        <f>-'G-3.04,5.01 PF AMI'!AE187</f>
        <v>-315594.16877950181</v>
      </c>
      <c r="K146" s="2473">
        <f t="shared" si="45"/>
        <v>-6.7520886659622192E-8</v>
      </c>
      <c r="L146" s="2473">
        <f t="shared" si="32"/>
        <v>1893565.0126769424</v>
      </c>
      <c r="M146" s="2473">
        <f t="shared" si="43"/>
        <v>1.417938619852066E-8</v>
      </c>
      <c r="N146" s="2473">
        <f t="shared" si="33"/>
        <v>-397648.65266215801</v>
      </c>
      <c r="P146" s="2479">
        <v>48822</v>
      </c>
      <c r="Q146" s="2473">
        <f>-'G-3.04,5.01 PF AMI'!AK187</f>
        <v>-89408.671805069913</v>
      </c>
      <c r="R146" s="2473">
        <f t="shared" si="46"/>
        <v>-2.6571797206997871E-8</v>
      </c>
      <c r="S146" s="2473">
        <f t="shared" si="34"/>
        <v>536452.03083039285</v>
      </c>
      <c r="T146" s="2473">
        <f t="shared" si="44"/>
        <v>5.5800774134695527E-9</v>
      </c>
      <c r="U146" s="2473">
        <f t="shared" si="35"/>
        <v>-112654.92647438248</v>
      </c>
      <c r="Y146" s="477">
        <v>139</v>
      </c>
      <c r="Z146" s="477">
        <v>203003</v>
      </c>
      <c r="AA146" s="2472">
        <f t="shared" si="47"/>
        <v>141673.76797421335</v>
      </c>
      <c r="AB146" s="2472">
        <f t="shared" si="47"/>
        <v>9212.1931736232491</v>
      </c>
      <c r="AC146" s="2472">
        <f t="shared" si="47"/>
        <v>180859.29027261797</v>
      </c>
      <c r="AD146" s="2472">
        <f t="shared" si="47"/>
        <v>-16151.082640952791</v>
      </c>
      <c r="AE146" s="2472">
        <f t="shared" si="39"/>
        <v>315594.16877950181</v>
      </c>
      <c r="AF146" s="2472"/>
      <c r="AG146" s="2472">
        <f t="shared" si="48"/>
        <v>28472.18673513988</v>
      </c>
      <c r="AH146" s="2472">
        <f t="shared" si="48"/>
        <v>3233.4334850305936</v>
      </c>
      <c r="AI146" s="2472">
        <f t="shared" si="48"/>
        <v>59670.591944930027</v>
      </c>
      <c r="AJ146" s="2472">
        <f t="shared" si="48"/>
        <v>-1967.5403600305935</v>
      </c>
      <c r="AK146" s="2472">
        <f t="shared" si="48"/>
        <v>89408.671805069913</v>
      </c>
    </row>
    <row r="147" spans="9:37">
      <c r="Y147" s="477">
        <v>140</v>
      </c>
      <c r="Z147" s="477">
        <v>203004</v>
      </c>
      <c r="AA147" s="2472">
        <f t="shared" si="47"/>
        <v>141673.76797421335</v>
      </c>
      <c r="AB147" s="2472">
        <f t="shared" si="47"/>
        <v>9212.1931736232491</v>
      </c>
      <c r="AC147" s="2472">
        <f t="shared" si="47"/>
        <v>180859.29027261797</v>
      </c>
      <c r="AD147" s="2472">
        <f t="shared" si="47"/>
        <v>-16151.082640952791</v>
      </c>
      <c r="AE147" s="2472">
        <f t="shared" si="39"/>
        <v>315594.16877950181</v>
      </c>
      <c r="AF147" s="2472"/>
      <c r="AG147" s="2472">
        <f t="shared" si="48"/>
        <v>28472.18673513988</v>
      </c>
      <c r="AH147" s="2472">
        <f t="shared" si="48"/>
        <v>3233.4334850305936</v>
      </c>
      <c r="AI147" s="2472">
        <f t="shared" si="48"/>
        <v>59670.591944930027</v>
      </c>
      <c r="AJ147" s="2472">
        <f t="shared" si="48"/>
        <v>-1967.5403600305935</v>
      </c>
      <c r="AK147" s="2472">
        <f t="shared" si="48"/>
        <v>89408.671805069913</v>
      </c>
    </row>
    <row r="148" spans="9:37">
      <c r="K148" s="941" t="s">
        <v>132</v>
      </c>
      <c r="L148" s="941" t="s">
        <v>2153</v>
      </c>
      <c r="M148" s="941" t="s">
        <v>2238</v>
      </c>
      <c r="N148" s="941" t="s">
        <v>411</v>
      </c>
      <c r="R148" s="941" t="s">
        <v>132</v>
      </c>
      <c r="S148" s="941" t="s">
        <v>2153</v>
      </c>
      <c r="T148" s="941" t="s">
        <v>2238</v>
      </c>
      <c r="U148" s="941" t="s">
        <v>411</v>
      </c>
      <c r="Y148" s="477">
        <v>141</v>
      </c>
      <c r="Z148" s="477">
        <v>203005</v>
      </c>
      <c r="AA148" s="2472">
        <f t="shared" si="47"/>
        <v>141673.76797421335</v>
      </c>
      <c r="AB148" s="2472">
        <f t="shared" si="47"/>
        <v>9212.1931736232491</v>
      </c>
      <c r="AC148" s="2472">
        <f t="shared" si="47"/>
        <v>180859.29027261797</v>
      </c>
      <c r="AD148" s="2472">
        <f t="shared" si="47"/>
        <v>-16151.082640952791</v>
      </c>
      <c r="AE148" s="2472">
        <f t="shared" si="39"/>
        <v>315594.16877950181</v>
      </c>
      <c r="AF148" s="2472"/>
      <c r="AG148" s="2472">
        <f t="shared" si="48"/>
        <v>28472.18673513988</v>
      </c>
      <c r="AH148" s="2472">
        <f t="shared" si="48"/>
        <v>3233.4334850305936</v>
      </c>
      <c r="AI148" s="2472">
        <f t="shared" si="48"/>
        <v>59670.591944930027</v>
      </c>
      <c r="AJ148" s="2472">
        <f t="shared" si="48"/>
        <v>-1967.5403600305935</v>
      </c>
      <c r="AK148" s="2472">
        <f t="shared" si="48"/>
        <v>89408.671805069913</v>
      </c>
    </row>
    <row r="149" spans="9:37" ht="15" thickBot="1">
      <c r="I149" s="2524" t="s">
        <v>2239</v>
      </c>
      <c r="K149" s="875">
        <f>L24</f>
        <v>40458494.093229346</v>
      </c>
      <c r="L149" s="875">
        <f>N24</f>
        <v>-8496283.7595781591</v>
      </c>
      <c r="M149" s="2525">
        <f>SUM(K149:L149)</f>
        <v>31962210.333651185</v>
      </c>
      <c r="N149" s="2525">
        <f>SUM(J13:J24)</f>
        <v>-4036891.9831665209</v>
      </c>
      <c r="P149" s="2524" t="s">
        <v>2240</v>
      </c>
      <c r="R149" s="875">
        <f>S24</f>
        <v>11472218.493236439</v>
      </c>
      <c r="S149" s="875">
        <f>U24</f>
        <v>-2409165.8835796528</v>
      </c>
      <c r="T149" s="2525">
        <f>SUM(R149:S149)</f>
        <v>9063052.6096567865</v>
      </c>
      <c r="U149" s="2525">
        <f>SUM(Q13:Q24)</f>
        <v>-1184538.070410839</v>
      </c>
      <c r="V149" s="916"/>
      <c r="Y149" s="477">
        <v>142</v>
      </c>
      <c r="Z149" s="477">
        <v>203006</v>
      </c>
      <c r="AA149" s="2472">
        <f t="shared" si="47"/>
        <v>141673.76797421335</v>
      </c>
      <c r="AB149" s="2472">
        <f t="shared" si="47"/>
        <v>9212.1931736232491</v>
      </c>
      <c r="AC149" s="2472">
        <f t="shared" si="47"/>
        <v>180859.29027261797</v>
      </c>
      <c r="AD149" s="2472">
        <f t="shared" si="47"/>
        <v>-16151.082640952791</v>
      </c>
      <c r="AE149" s="2472">
        <f t="shared" si="39"/>
        <v>315594.16877950181</v>
      </c>
      <c r="AF149" s="2472"/>
      <c r="AG149" s="2472">
        <f t="shared" si="48"/>
        <v>28472.18673513988</v>
      </c>
      <c r="AH149" s="2472">
        <f t="shared" si="48"/>
        <v>3233.4334850305936</v>
      </c>
      <c r="AI149" s="2472">
        <f t="shared" si="48"/>
        <v>59670.591944930027</v>
      </c>
      <c r="AJ149" s="2472">
        <f t="shared" si="48"/>
        <v>-1967.5403600305935</v>
      </c>
      <c r="AK149" s="2472">
        <f t="shared" si="48"/>
        <v>89408.671805069913</v>
      </c>
    </row>
    <row r="150" spans="9:37" ht="15.5" thickTop="1" thickBot="1">
      <c r="K150" s="875"/>
      <c r="L150" s="2526" t="s">
        <v>2241</v>
      </c>
      <c r="M150" s="2527">
        <f>M152-M149</f>
        <v>-7528909.7867421545</v>
      </c>
      <c r="N150" s="2527">
        <f>N152-N149</f>
        <v>249761.95781250019</v>
      </c>
      <c r="S150" s="2526" t="s">
        <v>2241</v>
      </c>
      <c r="T150" s="2527">
        <f>T152-T149</f>
        <v>-2141033.238508299</v>
      </c>
      <c r="U150" s="2527">
        <f>U152-U149</f>
        <v>111634.00875000004</v>
      </c>
      <c r="Y150" s="477">
        <v>143</v>
      </c>
      <c r="Z150" s="477">
        <v>203007</v>
      </c>
      <c r="AA150" s="2472">
        <f t="shared" si="47"/>
        <v>141673.76797421335</v>
      </c>
      <c r="AB150" s="2472">
        <f t="shared" si="47"/>
        <v>9212.1931736232491</v>
      </c>
      <c r="AC150" s="2472">
        <f t="shared" si="47"/>
        <v>180859.29027261797</v>
      </c>
      <c r="AD150" s="2472">
        <f t="shared" si="47"/>
        <v>-16151.082640952791</v>
      </c>
      <c r="AE150" s="2472">
        <f t="shared" si="39"/>
        <v>315594.16877950181</v>
      </c>
      <c r="AF150" s="2472"/>
      <c r="AG150" s="2472">
        <f t="shared" si="48"/>
        <v>28472.18673513988</v>
      </c>
      <c r="AH150" s="2472">
        <f t="shared" si="48"/>
        <v>3233.4334850305936</v>
      </c>
      <c r="AI150" s="2472">
        <f t="shared" si="48"/>
        <v>59670.591944930027</v>
      </c>
      <c r="AJ150" s="2472">
        <f t="shared" si="48"/>
        <v>-1967.5403600305935</v>
      </c>
      <c r="AK150" s="2472">
        <f t="shared" si="48"/>
        <v>89408.671805069913</v>
      </c>
    </row>
    <row r="151" spans="9:37" ht="13.5" thickTop="1" thickBot="1">
      <c r="K151" s="941" t="s">
        <v>132</v>
      </c>
      <c r="L151" s="941" t="s">
        <v>2153</v>
      </c>
      <c r="M151" s="941" t="s">
        <v>2238</v>
      </c>
      <c r="N151" s="941" t="s">
        <v>411</v>
      </c>
      <c r="R151" s="941" t="s">
        <v>132</v>
      </c>
      <c r="S151" s="941" t="s">
        <v>2153</v>
      </c>
      <c r="T151" s="941" t="s">
        <v>2238</v>
      </c>
      <c r="U151" s="941" t="s">
        <v>411</v>
      </c>
      <c r="Y151" s="477">
        <v>144</v>
      </c>
      <c r="Z151" s="477">
        <v>203008</v>
      </c>
      <c r="AA151" s="2472">
        <f t="shared" si="47"/>
        <v>141673.76797421335</v>
      </c>
      <c r="AB151" s="2472">
        <f t="shared" si="47"/>
        <v>9212.1931736232491</v>
      </c>
      <c r="AC151" s="2472">
        <f t="shared" si="47"/>
        <v>180859.29027261797</v>
      </c>
      <c r="AD151" s="2472">
        <f t="shared" si="47"/>
        <v>-16151.082640952791</v>
      </c>
      <c r="AE151" s="2472">
        <f t="shared" si="39"/>
        <v>315594.16877950181</v>
      </c>
      <c r="AF151" s="2472"/>
      <c r="AG151" s="2472">
        <f t="shared" si="48"/>
        <v>28472.18673513988</v>
      </c>
      <c r="AH151" s="2472">
        <f t="shared" si="48"/>
        <v>3233.4334850305936</v>
      </c>
      <c r="AI151" s="2472">
        <f t="shared" si="48"/>
        <v>59670.591944930027</v>
      </c>
      <c r="AJ151" s="2472">
        <f t="shared" si="48"/>
        <v>-1967.5403600305935</v>
      </c>
      <c r="AK151" s="2472">
        <f t="shared" si="48"/>
        <v>89408.671805069913</v>
      </c>
    </row>
    <row r="152" spans="9:37" ht="15" thickBot="1">
      <c r="I152" s="2528" t="s">
        <v>2242</v>
      </c>
      <c r="K152" s="875">
        <f>L54</f>
        <v>30928228.540391181</v>
      </c>
      <c r="L152" s="875">
        <f>N54</f>
        <v>-6494927.9934821492</v>
      </c>
      <c r="M152" s="2529">
        <f>SUM(K152:L152)</f>
        <v>24433300.546909031</v>
      </c>
      <c r="N152" s="2530">
        <f>SUM(J43:J54)</f>
        <v>-3787130.0253540208</v>
      </c>
      <c r="P152" s="2531" t="s">
        <v>2242</v>
      </c>
      <c r="R152" s="875">
        <f>S54</f>
        <v>8762049.83689682</v>
      </c>
      <c r="S152" s="875">
        <f>U54</f>
        <v>-1840030.4657483322</v>
      </c>
      <c r="T152" s="2529">
        <f>SUM(R152:S152)</f>
        <v>6922019.3711484876</v>
      </c>
      <c r="U152" s="2530">
        <f>SUM(Q43:Q54)</f>
        <v>-1072904.061660839</v>
      </c>
      <c r="Y152" s="477">
        <v>145</v>
      </c>
      <c r="Z152" s="477">
        <v>203009</v>
      </c>
      <c r="AA152" s="2472">
        <f t="shared" si="47"/>
        <v>141673.76797421335</v>
      </c>
      <c r="AB152" s="2472">
        <f t="shared" si="47"/>
        <v>9212.1931736232491</v>
      </c>
      <c r="AC152" s="2472">
        <f t="shared" si="47"/>
        <v>180859.29027261797</v>
      </c>
      <c r="AD152" s="2472">
        <f t="shared" si="47"/>
        <v>-16151.082640952791</v>
      </c>
      <c r="AE152" s="2472">
        <f t="shared" si="39"/>
        <v>315594.16877950181</v>
      </c>
      <c r="AF152" s="2472"/>
      <c r="AG152" s="2472">
        <f t="shared" si="48"/>
        <v>28472.18673513988</v>
      </c>
      <c r="AH152" s="2472">
        <f t="shared" si="48"/>
        <v>3233.4334850305936</v>
      </c>
      <c r="AI152" s="2472">
        <f t="shared" si="48"/>
        <v>59670.591944930027</v>
      </c>
      <c r="AJ152" s="2472">
        <f t="shared" si="48"/>
        <v>-1967.5403600305935</v>
      </c>
      <c r="AK152" s="2472">
        <f t="shared" si="48"/>
        <v>89408.671805069913</v>
      </c>
    </row>
    <row r="153" spans="9:37" ht="13" thickBot="1">
      <c r="Y153" s="477">
        <v>146</v>
      </c>
      <c r="Z153" s="477">
        <v>203010</v>
      </c>
      <c r="AA153" s="2472">
        <f t="shared" si="47"/>
        <v>141673.76797421335</v>
      </c>
      <c r="AB153" s="2472">
        <f t="shared" si="47"/>
        <v>9212.1931736232491</v>
      </c>
      <c r="AC153" s="2472">
        <f t="shared" si="47"/>
        <v>180859.29027261797</v>
      </c>
      <c r="AD153" s="2472">
        <f t="shared" si="47"/>
        <v>-16151.082640952791</v>
      </c>
      <c r="AE153" s="2472">
        <f t="shared" si="39"/>
        <v>315594.16877950181</v>
      </c>
      <c r="AF153" s="2472"/>
      <c r="AG153" s="2472">
        <f t="shared" si="48"/>
        <v>28472.18673513988</v>
      </c>
      <c r="AH153" s="2472">
        <f t="shared" si="48"/>
        <v>3233.4334850305936</v>
      </c>
      <c r="AI153" s="2472">
        <f t="shared" si="48"/>
        <v>59670.591944930027</v>
      </c>
      <c r="AJ153" s="2472">
        <f t="shared" si="48"/>
        <v>-1967.5403600305935</v>
      </c>
      <c r="AK153" s="2472">
        <f t="shared" si="48"/>
        <v>89408.671805069913</v>
      </c>
    </row>
    <row r="154" spans="9:37" ht="15.5" thickTop="1" thickBot="1">
      <c r="L154" s="2526" t="s">
        <v>2241</v>
      </c>
      <c r="M154" s="2527">
        <f>M156-M152</f>
        <v>-2991832.7200296894</v>
      </c>
      <c r="N154" s="2527">
        <f>N156-N152</f>
        <v>0</v>
      </c>
      <c r="S154" s="2526" t="s">
        <v>2241</v>
      </c>
      <c r="T154" s="2527">
        <f>T156-T152</f>
        <v>-847594.2087120628</v>
      </c>
      <c r="U154" s="2527">
        <f>U156-U152</f>
        <v>0</v>
      </c>
      <c r="Y154" s="477">
        <v>147</v>
      </c>
      <c r="Z154" s="477">
        <v>203011</v>
      </c>
      <c r="AA154" s="2472">
        <f t="shared" si="47"/>
        <v>141673.76797421335</v>
      </c>
      <c r="AB154" s="2472">
        <f t="shared" si="47"/>
        <v>9212.1931736232491</v>
      </c>
      <c r="AC154" s="2472">
        <f t="shared" si="47"/>
        <v>180859.29027261797</v>
      </c>
      <c r="AD154" s="2472">
        <f t="shared" si="47"/>
        <v>-16151.082640952791</v>
      </c>
      <c r="AE154" s="2472">
        <f t="shared" si="39"/>
        <v>315594.16877950181</v>
      </c>
      <c r="AF154" s="2472"/>
      <c r="AG154" s="2472">
        <f t="shared" si="48"/>
        <v>28472.18673513988</v>
      </c>
      <c r="AH154" s="2472">
        <f t="shared" si="48"/>
        <v>3233.4334850305936</v>
      </c>
      <c r="AI154" s="2472">
        <f t="shared" si="48"/>
        <v>59670.591944930027</v>
      </c>
      <c r="AJ154" s="2472">
        <f t="shared" si="48"/>
        <v>-1967.5403600305935</v>
      </c>
      <c r="AK154" s="2472">
        <f t="shared" si="48"/>
        <v>89408.671805069913</v>
      </c>
    </row>
    <row r="155" spans="9:37" ht="13.5" thickTop="1" thickBot="1">
      <c r="Y155" s="477">
        <v>148</v>
      </c>
      <c r="Z155" s="477">
        <v>203012</v>
      </c>
      <c r="AA155" s="2472">
        <f t="shared" si="47"/>
        <v>141673.76797421335</v>
      </c>
      <c r="AB155" s="2472">
        <f t="shared" si="47"/>
        <v>9212.1931736232491</v>
      </c>
      <c r="AC155" s="2472">
        <f t="shared" si="47"/>
        <v>180859.29027261797</v>
      </c>
      <c r="AD155" s="2472">
        <f t="shared" si="47"/>
        <v>-16151.082640952791</v>
      </c>
      <c r="AE155" s="2472">
        <f t="shared" si="39"/>
        <v>315594.16877950181</v>
      </c>
      <c r="AF155" s="2472"/>
      <c r="AG155" s="2472">
        <f t="shared" si="48"/>
        <v>28472.18673513988</v>
      </c>
      <c r="AH155" s="2472">
        <f t="shared" si="48"/>
        <v>3233.4334850305936</v>
      </c>
      <c r="AI155" s="2472">
        <f t="shared" si="48"/>
        <v>59670.591944930027</v>
      </c>
      <c r="AJ155" s="2472">
        <f t="shared" si="48"/>
        <v>-1967.5403600305935</v>
      </c>
      <c r="AK155" s="2472">
        <f t="shared" si="48"/>
        <v>89408.671805069913</v>
      </c>
    </row>
    <row r="156" spans="9:37" ht="15" thickBot="1">
      <c r="I156" s="2528" t="s">
        <v>2243</v>
      </c>
      <c r="K156" s="875">
        <f>L66</f>
        <v>27141098.515037138</v>
      </c>
      <c r="L156" s="875">
        <f>N66</f>
        <v>-5699630.6881577978</v>
      </c>
      <c r="M156" s="2530">
        <f>SUM(K156:L156)</f>
        <v>21441467.826879341</v>
      </c>
      <c r="N156" s="2530">
        <f>SUM(J55:J66)</f>
        <v>-3787130.0253540208</v>
      </c>
      <c r="P156" s="2531" t="s">
        <v>2243</v>
      </c>
      <c r="R156" s="875">
        <f>S66</f>
        <v>7689145.7752359807</v>
      </c>
      <c r="S156" s="875">
        <f>U66</f>
        <v>-1614720.6127995558</v>
      </c>
      <c r="T156" s="2529">
        <f>SUM(R156:S156)</f>
        <v>6074425.1624364248</v>
      </c>
      <c r="U156" s="2530">
        <f>SUM(Q55:Q66)</f>
        <v>-1072904.061660839</v>
      </c>
      <c r="Y156" s="477">
        <v>149</v>
      </c>
      <c r="Z156" s="477">
        <v>203101</v>
      </c>
      <c r="AA156" s="2472">
        <f t="shared" si="47"/>
        <v>141673.76797421335</v>
      </c>
      <c r="AB156" s="2472">
        <f t="shared" si="47"/>
        <v>9212.1931736232491</v>
      </c>
      <c r="AC156" s="2472">
        <f t="shared" si="47"/>
        <v>180859.29027261797</v>
      </c>
      <c r="AD156" s="2472">
        <f t="shared" si="47"/>
        <v>-16151.082640952791</v>
      </c>
      <c r="AE156" s="2472">
        <f t="shared" si="39"/>
        <v>315594.16877950181</v>
      </c>
      <c r="AF156" s="2472"/>
      <c r="AG156" s="2472">
        <f t="shared" si="48"/>
        <v>28472.18673513988</v>
      </c>
      <c r="AH156" s="2472">
        <f t="shared" si="48"/>
        <v>3233.4334850305936</v>
      </c>
      <c r="AI156" s="2472">
        <f t="shared" si="48"/>
        <v>59670.591944930027</v>
      </c>
      <c r="AJ156" s="2472">
        <f t="shared" si="48"/>
        <v>-1967.5403600305935</v>
      </c>
      <c r="AK156" s="2472">
        <f t="shared" si="48"/>
        <v>89408.671805069913</v>
      </c>
    </row>
    <row r="157" spans="9:37">
      <c r="Y157" s="477">
        <v>150</v>
      </c>
      <c r="Z157" s="477">
        <v>203102</v>
      </c>
      <c r="AA157" s="2472">
        <f t="shared" ref="AA157:AD172" si="49">AA156</f>
        <v>141673.76797421335</v>
      </c>
      <c r="AB157" s="2472">
        <f t="shared" si="49"/>
        <v>9212.1931736232491</v>
      </c>
      <c r="AC157" s="2472">
        <f t="shared" si="49"/>
        <v>180859.29027261797</v>
      </c>
      <c r="AD157" s="2472">
        <f t="shared" si="49"/>
        <v>-16151.082640952791</v>
      </c>
      <c r="AE157" s="2472">
        <f t="shared" si="39"/>
        <v>315594.16877950181</v>
      </c>
      <c r="AF157" s="2472"/>
      <c r="AG157" s="2472">
        <f t="shared" ref="AG157:AK172" si="50">AG156</f>
        <v>28472.18673513988</v>
      </c>
      <c r="AH157" s="2472">
        <f t="shared" si="50"/>
        <v>3233.4334850305936</v>
      </c>
      <c r="AI157" s="2472">
        <f t="shared" si="50"/>
        <v>59670.591944930027</v>
      </c>
      <c r="AJ157" s="2472">
        <f t="shared" si="50"/>
        <v>-1967.5403600305935</v>
      </c>
      <c r="AK157" s="2472">
        <f t="shared" si="50"/>
        <v>89408.671805069913</v>
      </c>
    </row>
    <row r="158" spans="9:37">
      <c r="Y158" s="477">
        <v>151</v>
      </c>
      <c r="Z158" s="477">
        <v>203103</v>
      </c>
      <c r="AA158" s="2472">
        <f t="shared" si="49"/>
        <v>141673.76797421335</v>
      </c>
      <c r="AB158" s="2472">
        <f t="shared" si="49"/>
        <v>9212.1931736232491</v>
      </c>
      <c r="AC158" s="2472">
        <f t="shared" si="49"/>
        <v>180859.29027261797</v>
      </c>
      <c r="AD158" s="2472">
        <f t="shared" si="49"/>
        <v>-16151.082640952791</v>
      </c>
      <c r="AE158" s="2472">
        <f t="shared" si="39"/>
        <v>315594.16877950181</v>
      </c>
      <c r="AF158" s="2472"/>
      <c r="AG158" s="2472">
        <f t="shared" si="50"/>
        <v>28472.18673513988</v>
      </c>
      <c r="AH158" s="2472">
        <f t="shared" si="50"/>
        <v>3233.4334850305936</v>
      </c>
      <c r="AI158" s="2472">
        <f t="shared" si="50"/>
        <v>59670.591944930027</v>
      </c>
      <c r="AJ158" s="2472">
        <f t="shared" si="50"/>
        <v>-1967.5403600305935</v>
      </c>
      <c r="AK158" s="2472">
        <f t="shared" si="50"/>
        <v>89408.671805069913</v>
      </c>
    </row>
    <row r="159" spans="9:37">
      <c r="Y159" s="477">
        <v>152</v>
      </c>
      <c r="Z159" s="477">
        <v>203104</v>
      </c>
      <c r="AA159" s="2472">
        <f t="shared" si="49"/>
        <v>141673.76797421335</v>
      </c>
      <c r="AB159" s="2472">
        <f t="shared" si="49"/>
        <v>9212.1931736232491</v>
      </c>
      <c r="AC159" s="2472">
        <f t="shared" si="49"/>
        <v>180859.29027261797</v>
      </c>
      <c r="AD159" s="2472">
        <f t="shared" si="49"/>
        <v>-16151.082640952791</v>
      </c>
      <c r="AE159" s="2472">
        <f t="shared" si="39"/>
        <v>315594.16877950181</v>
      </c>
      <c r="AF159" s="2472"/>
      <c r="AG159" s="2472">
        <f t="shared" si="50"/>
        <v>28472.18673513988</v>
      </c>
      <c r="AH159" s="2472">
        <f t="shared" si="50"/>
        <v>3233.4334850305936</v>
      </c>
      <c r="AI159" s="2472">
        <f t="shared" si="50"/>
        <v>59670.591944930027</v>
      </c>
      <c r="AJ159" s="2472">
        <f t="shared" si="50"/>
        <v>-1967.5403600305935</v>
      </c>
      <c r="AK159" s="2472">
        <f t="shared" si="50"/>
        <v>89408.671805069913</v>
      </c>
    </row>
    <row r="160" spans="9:37">
      <c r="Y160" s="477">
        <v>153</v>
      </c>
      <c r="Z160" s="477">
        <v>203105</v>
      </c>
      <c r="AA160" s="2472">
        <f t="shared" si="49"/>
        <v>141673.76797421335</v>
      </c>
      <c r="AB160" s="2472">
        <f t="shared" si="49"/>
        <v>9212.1931736232491</v>
      </c>
      <c r="AC160" s="2472">
        <f t="shared" si="49"/>
        <v>180859.29027261797</v>
      </c>
      <c r="AD160" s="2472">
        <f t="shared" si="49"/>
        <v>-16151.082640952791</v>
      </c>
      <c r="AE160" s="2472">
        <f t="shared" si="39"/>
        <v>315594.16877950181</v>
      </c>
      <c r="AF160" s="2472"/>
      <c r="AG160" s="2472">
        <f t="shared" si="50"/>
        <v>28472.18673513988</v>
      </c>
      <c r="AH160" s="2472">
        <f t="shared" si="50"/>
        <v>3233.4334850305936</v>
      </c>
      <c r="AI160" s="2472">
        <f t="shared" si="50"/>
        <v>59670.591944930027</v>
      </c>
      <c r="AJ160" s="2472">
        <f t="shared" si="50"/>
        <v>-1967.5403600305935</v>
      </c>
      <c r="AK160" s="2472">
        <f t="shared" si="50"/>
        <v>89408.671805069913</v>
      </c>
    </row>
    <row r="161" spans="25:37">
      <c r="Y161" s="477">
        <v>154</v>
      </c>
      <c r="Z161" s="477">
        <v>203106</v>
      </c>
      <c r="AA161" s="2472">
        <f t="shared" si="49"/>
        <v>141673.76797421335</v>
      </c>
      <c r="AB161" s="2472">
        <f t="shared" si="49"/>
        <v>9212.1931736232491</v>
      </c>
      <c r="AC161" s="2472">
        <f t="shared" si="49"/>
        <v>180859.29027261797</v>
      </c>
      <c r="AD161" s="2472">
        <f t="shared" si="49"/>
        <v>-16151.082640952791</v>
      </c>
      <c r="AE161" s="2472">
        <f t="shared" si="39"/>
        <v>315594.16877950181</v>
      </c>
      <c r="AF161" s="2472"/>
      <c r="AG161" s="2472">
        <f t="shared" si="50"/>
        <v>28472.18673513988</v>
      </c>
      <c r="AH161" s="2472">
        <f t="shared" si="50"/>
        <v>3233.4334850305936</v>
      </c>
      <c r="AI161" s="2472">
        <f t="shared" si="50"/>
        <v>59670.591944930027</v>
      </c>
      <c r="AJ161" s="2472">
        <f t="shared" si="50"/>
        <v>-1967.5403600305935</v>
      </c>
      <c r="AK161" s="2472">
        <f t="shared" si="50"/>
        <v>89408.671805069913</v>
      </c>
    </row>
    <row r="162" spans="25:37">
      <c r="Y162" s="477">
        <v>155</v>
      </c>
      <c r="Z162" s="477">
        <v>203107</v>
      </c>
      <c r="AA162" s="2472">
        <f t="shared" si="49"/>
        <v>141673.76797421335</v>
      </c>
      <c r="AB162" s="2472">
        <f t="shared" si="49"/>
        <v>9212.1931736232491</v>
      </c>
      <c r="AC162" s="2472">
        <f t="shared" si="49"/>
        <v>180859.29027261797</v>
      </c>
      <c r="AD162" s="2472">
        <f t="shared" si="49"/>
        <v>-16151.082640952791</v>
      </c>
      <c r="AE162" s="2472">
        <f t="shared" si="39"/>
        <v>315594.16877950181</v>
      </c>
      <c r="AF162" s="2472"/>
      <c r="AG162" s="2472">
        <f t="shared" si="50"/>
        <v>28472.18673513988</v>
      </c>
      <c r="AH162" s="2472">
        <f t="shared" si="50"/>
        <v>3233.4334850305936</v>
      </c>
      <c r="AI162" s="2472">
        <f t="shared" si="50"/>
        <v>59670.591944930027</v>
      </c>
      <c r="AJ162" s="2472">
        <f t="shared" si="50"/>
        <v>-1967.5403600305935</v>
      </c>
      <c r="AK162" s="2472">
        <f t="shared" si="50"/>
        <v>89408.671805069913</v>
      </c>
    </row>
    <row r="163" spans="25:37">
      <c r="Y163" s="477">
        <v>156</v>
      </c>
      <c r="Z163" s="477">
        <v>203108</v>
      </c>
      <c r="AA163" s="2472">
        <f t="shared" si="49"/>
        <v>141673.76797421335</v>
      </c>
      <c r="AB163" s="2472">
        <f t="shared" si="49"/>
        <v>9212.1931736232491</v>
      </c>
      <c r="AC163" s="2472">
        <f t="shared" si="49"/>
        <v>180859.29027261797</v>
      </c>
      <c r="AD163" s="2472">
        <f t="shared" si="49"/>
        <v>-16151.082640952791</v>
      </c>
      <c r="AE163" s="2472">
        <f t="shared" si="39"/>
        <v>315594.16877950181</v>
      </c>
      <c r="AF163" s="2472"/>
      <c r="AG163" s="2472">
        <f t="shared" si="50"/>
        <v>28472.18673513988</v>
      </c>
      <c r="AH163" s="2472">
        <f t="shared" si="50"/>
        <v>3233.4334850305936</v>
      </c>
      <c r="AI163" s="2472">
        <f t="shared" si="50"/>
        <v>59670.591944930027</v>
      </c>
      <c r="AJ163" s="2472">
        <f t="shared" si="50"/>
        <v>-1967.5403600305935</v>
      </c>
      <c r="AK163" s="2472">
        <f t="shared" si="50"/>
        <v>89408.671805069913</v>
      </c>
    </row>
    <row r="164" spans="25:37">
      <c r="Y164" s="477">
        <v>157</v>
      </c>
      <c r="Z164" s="477">
        <v>203109</v>
      </c>
      <c r="AA164" s="2472">
        <f t="shared" si="49"/>
        <v>141673.76797421335</v>
      </c>
      <c r="AB164" s="2472">
        <f t="shared" si="49"/>
        <v>9212.1931736232491</v>
      </c>
      <c r="AC164" s="2472">
        <f t="shared" si="49"/>
        <v>180859.29027261797</v>
      </c>
      <c r="AD164" s="2472">
        <f t="shared" si="49"/>
        <v>-16151.082640952791</v>
      </c>
      <c r="AE164" s="2472">
        <f t="shared" si="39"/>
        <v>315594.16877950181</v>
      </c>
      <c r="AF164" s="2472"/>
      <c r="AG164" s="2472">
        <f t="shared" si="50"/>
        <v>28472.18673513988</v>
      </c>
      <c r="AH164" s="2472">
        <f t="shared" si="50"/>
        <v>3233.4334850305936</v>
      </c>
      <c r="AI164" s="2472">
        <f t="shared" si="50"/>
        <v>59670.591944930027</v>
      </c>
      <c r="AJ164" s="2472">
        <f t="shared" si="50"/>
        <v>-1967.5403600305935</v>
      </c>
      <c r="AK164" s="2472">
        <f t="shared" si="50"/>
        <v>89408.671805069913</v>
      </c>
    </row>
    <row r="165" spans="25:37">
      <c r="Y165" s="477">
        <v>158</v>
      </c>
      <c r="Z165" s="477">
        <v>203110</v>
      </c>
      <c r="AA165" s="2472">
        <f t="shared" si="49"/>
        <v>141673.76797421335</v>
      </c>
      <c r="AB165" s="2472">
        <f t="shared" si="49"/>
        <v>9212.1931736232491</v>
      </c>
      <c r="AC165" s="2472">
        <f t="shared" si="49"/>
        <v>180859.29027261797</v>
      </c>
      <c r="AD165" s="2472">
        <f t="shared" si="49"/>
        <v>-16151.082640952791</v>
      </c>
      <c r="AE165" s="2472">
        <f t="shared" si="39"/>
        <v>315594.16877950181</v>
      </c>
      <c r="AF165" s="2472"/>
      <c r="AG165" s="2472">
        <f t="shared" si="50"/>
        <v>28472.18673513988</v>
      </c>
      <c r="AH165" s="2472">
        <f t="shared" si="50"/>
        <v>3233.4334850305936</v>
      </c>
      <c r="AI165" s="2472">
        <f t="shared" si="50"/>
        <v>59670.591944930027</v>
      </c>
      <c r="AJ165" s="2472">
        <f t="shared" si="50"/>
        <v>-1967.5403600305935</v>
      </c>
      <c r="AK165" s="2472">
        <f t="shared" si="50"/>
        <v>89408.671805069913</v>
      </c>
    </row>
    <row r="166" spans="25:37">
      <c r="Y166" s="477">
        <v>159</v>
      </c>
      <c r="Z166" s="477">
        <v>203111</v>
      </c>
      <c r="AA166" s="2472">
        <f t="shared" si="49"/>
        <v>141673.76797421335</v>
      </c>
      <c r="AB166" s="2472">
        <f t="shared" si="49"/>
        <v>9212.1931736232491</v>
      </c>
      <c r="AC166" s="2472">
        <f t="shared" si="49"/>
        <v>180859.29027261797</v>
      </c>
      <c r="AD166" s="2472">
        <f t="shared" si="49"/>
        <v>-16151.082640952791</v>
      </c>
      <c r="AE166" s="2472">
        <f t="shared" si="39"/>
        <v>315594.16877950181</v>
      </c>
      <c r="AF166" s="2472"/>
      <c r="AG166" s="2472">
        <f t="shared" si="50"/>
        <v>28472.18673513988</v>
      </c>
      <c r="AH166" s="2472">
        <f t="shared" si="50"/>
        <v>3233.4334850305936</v>
      </c>
      <c r="AI166" s="2472">
        <f t="shared" si="50"/>
        <v>59670.591944930027</v>
      </c>
      <c r="AJ166" s="2472">
        <f t="shared" si="50"/>
        <v>-1967.5403600305935</v>
      </c>
      <c r="AK166" s="2472">
        <f t="shared" si="50"/>
        <v>89408.671805069913</v>
      </c>
    </row>
    <row r="167" spans="25:37">
      <c r="Y167" s="477">
        <v>160</v>
      </c>
      <c r="Z167" s="477">
        <v>203112</v>
      </c>
      <c r="AA167" s="2472">
        <f t="shared" si="49"/>
        <v>141673.76797421335</v>
      </c>
      <c r="AB167" s="2472">
        <f t="shared" si="49"/>
        <v>9212.1931736232491</v>
      </c>
      <c r="AC167" s="2472">
        <f t="shared" si="49"/>
        <v>180859.29027261797</v>
      </c>
      <c r="AD167" s="2472">
        <f t="shared" si="49"/>
        <v>-16151.082640952791</v>
      </c>
      <c r="AE167" s="2472">
        <f t="shared" si="39"/>
        <v>315594.16877950181</v>
      </c>
      <c r="AF167" s="2472"/>
      <c r="AG167" s="2472">
        <f t="shared" si="50"/>
        <v>28472.18673513988</v>
      </c>
      <c r="AH167" s="2472">
        <f t="shared" si="50"/>
        <v>3233.4334850305936</v>
      </c>
      <c r="AI167" s="2472">
        <f t="shared" si="50"/>
        <v>59670.591944930027</v>
      </c>
      <c r="AJ167" s="2472">
        <f t="shared" si="50"/>
        <v>-1967.5403600305935</v>
      </c>
      <c r="AK167" s="2472">
        <f t="shared" si="50"/>
        <v>89408.671805069913</v>
      </c>
    </row>
    <row r="168" spans="25:37">
      <c r="Y168" s="477">
        <v>161</v>
      </c>
      <c r="Z168" s="477">
        <v>203201</v>
      </c>
      <c r="AA168" s="2472">
        <f t="shared" si="49"/>
        <v>141673.76797421335</v>
      </c>
      <c r="AB168" s="2472">
        <f t="shared" si="49"/>
        <v>9212.1931736232491</v>
      </c>
      <c r="AC168" s="2472">
        <f t="shared" si="49"/>
        <v>180859.29027261797</v>
      </c>
      <c r="AD168" s="2472">
        <f t="shared" si="49"/>
        <v>-16151.082640952791</v>
      </c>
      <c r="AE168" s="2472">
        <f t="shared" si="39"/>
        <v>315594.16877950181</v>
      </c>
      <c r="AF168" s="2472"/>
      <c r="AG168" s="2472">
        <f t="shared" si="50"/>
        <v>28472.18673513988</v>
      </c>
      <c r="AH168" s="2472">
        <f t="shared" si="50"/>
        <v>3233.4334850305936</v>
      </c>
      <c r="AI168" s="2472">
        <f t="shared" si="50"/>
        <v>59670.591944930027</v>
      </c>
      <c r="AJ168" s="2472">
        <f t="shared" si="50"/>
        <v>-1967.5403600305935</v>
      </c>
      <c r="AK168" s="2472">
        <f t="shared" si="50"/>
        <v>89408.671805069913</v>
      </c>
    </row>
    <row r="169" spans="25:37">
      <c r="Y169" s="477">
        <v>162</v>
      </c>
      <c r="Z169" s="477">
        <v>203202</v>
      </c>
      <c r="AA169" s="2472">
        <f t="shared" si="49"/>
        <v>141673.76797421335</v>
      </c>
      <c r="AB169" s="2472">
        <f t="shared" si="49"/>
        <v>9212.1931736232491</v>
      </c>
      <c r="AC169" s="2472">
        <f t="shared" si="49"/>
        <v>180859.29027261797</v>
      </c>
      <c r="AD169" s="2472">
        <f t="shared" si="49"/>
        <v>-16151.082640952791</v>
      </c>
      <c r="AE169" s="2472">
        <f t="shared" si="39"/>
        <v>315594.16877950181</v>
      </c>
      <c r="AF169" s="2472"/>
      <c r="AG169" s="2472">
        <f t="shared" si="50"/>
        <v>28472.18673513988</v>
      </c>
      <c r="AH169" s="2472">
        <f t="shared" si="50"/>
        <v>3233.4334850305936</v>
      </c>
      <c r="AI169" s="2472">
        <f t="shared" si="50"/>
        <v>59670.591944930027</v>
      </c>
      <c r="AJ169" s="2472">
        <f t="shared" si="50"/>
        <v>-1967.5403600305935</v>
      </c>
      <c r="AK169" s="2472">
        <f t="shared" si="50"/>
        <v>89408.671805069913</v>
      </c>
    </row>
    <row r="170" spans="25:37">
      <c r="Y170" s="477">
        <v>163</v>
      </c>
      <c r="Z170" s="477">
        <v>203203</v>
      </c>
      <c r="AA170" s="2472">
        <f t="shared" si="49"/>
        <v>141673.76797421335</v>
      </c>
      <c r="AB170" s="2472">
        <f t="shared" si="49"/>
        <v>9212.1931736232491</v>
      </c>
      <c r="AC170" s="2472">
        <f t="shared" si="49"/>
        <v>180859.29027261797</v>
      </c>
      <c r="AD170" s="2472">
        <f t="shared" si="49"/>
        <v>-16151.082640952791</v>
      </c>
      <c r="AE170" s="2472">
        <f t="shared" si="39"/>
        <v>315594.16877950181</v>
      </c>
      <c r="AF170" s="2472"/>
      <c r="AG170" s="2472">
        <f t="shared" si="50"/>
        <v>28472.18673513988</v>
      </c>
      <c r="AH170" s="2472">
        <f t="shared" si="50"/>
        <v>3233.4334850305936</v>
      </c>
      <c r="AI170" s="2472">
        <f t="shared" si="50"/>
        <v>59670.591944930027</v>
      </c>
      <c r="AJ170" s="2472">
        <f t="shared" si="50"/>
        <v>-1967.5403600305935</v>
      </c>
      <c r="AK170" s="2472">
        <f t="shared" si="50"/>
        <v>89408.671805069913</v>
      </c>
    </row>
    <row r="171" spans="25:37">
      <c r="Y171" s="477">
        <v>164</v>
      </c>
      <c r="Z171" s="477">
        <v>203204</v>
      </c>
      <c r="AA171" s="2472">
        <f t="shared" si="49"/>
        <v>141673.76797421335</v>
      </c>
      <c r="AB171" s="2472">
        <f t="shared" si="49"/>
        <v>9212.1931736232491</v>
      </c>
      <c r="AC171" s="2472">
        <f t="shared" si="49"/>
        <v>180859.29027261797</v>
      </c>
      <c r="AD171" s="2472">
        <f t="shared" si="49"/>
        <v>-16151.082640952791</v>
      </c>
      <c r="AE171" s="2472">
        <f t="shared" si="39"/>
        <v>315594.16877950181</v>
      </c>
      <c r="AF171" s="2472"/>
      <c r="AG171" s="2472">
        <f t="shared" si="50"/>
        <v>28472.18673513988</v>
      </c>
      <c r="AH171" s="2472">
        <f t="shared" si="50"/>
        <v>3233.4334850305936</v>
      </c>
      <c r="AI171" s="2472">
        <f t="shared" si="50"/>
        <v>59670.591944930027</v>
      </c>
      <c r="AJ171" s="2472">
        <f t="shared" si="50"/>
        <v>-1967.5403600305935</v>
      </c>
      <c r="AK171" s="2472">
        <f t="shared" si="50"/>
        <v>89408.671805069913</v>
      </c>
    </row>
    <row r="172" spans="25:37">
      <c r="Y172" s="477">
        <v>165</v>
      </c>
      <c r="Z172" s="477">
        <v>203205</v>
      </c>
      <c r="AA172" s="2472">
        <f t="shared" si="49"/>
        <v>141673.76797421335</v>
      </c>
      <c r="AB172" s="2472">
        <f t="shared" si="49"/>
        <v>9212.1931736232491</v>
      </c>
      <c r="AC172" s="2472">
        <f t="shared" si="49"/>
        <v>180859.29027261797</v>
      </c>
      <c r="AD172" s="2472">
        <f t="shared" si="49"/>
        <v>-16151.082640952791</v>
      </c>
      <c r="AE172" s="2472">
        <f t="shared" si="39"/>
        <v>315594.16877950181</v>
      </c>
      <c r="AF172" s="2472"/>
      <c r="AG172" s="2472">
        <f t="shared" si="50"/>
        <v>28472.18673513988</v>
      </c>
      <c r="AH172" s="2472">
        <f t="shared" si="50"/>
        <v>3233.4334850305936</v>
      </c>
      <c r="AI172" s="2472">
        <f t="shared" si="50"/>
        <v>59670.591944930027</v>
      </c>
      <c r="AJ172" s="2472">
        <f t="shared" si="50"/>
        <v>-1967.5403600305935</v>
      </c>
      <c r="AK172" s="2472">
        <f t="shared" si="50"/>
        <v>89408.671805069913</v>
      </c>
    </row>
    <row r="173" spans="25:37">
      <c r="Y173" s="477">
        <v>166</v>
      </c>
      <c r="Z173" s="477">
        <v>203206</v>
      </c>
      <c r="AA173" s="2472">
        <f t="shared" ref="AA173:AD187" si="51">AA172</f>
        <v>141673.76797421335</v>
      </c>
      <c r="AB173" s="2472">
        <f t="shared" si="51"/>
        <v>9212.1931736232491</v>
      </c>
      <c r="AC173" s="2472">
        <f t="shared" si="51"/>
        <v>180859.29027261797</v>
      </c>
      <c r="AD173" s="2472">
        <f t="shared" si="51"/>
        <v>-16151.082640952791</v>
      </c>
      <c r="AE173" s="2472">
        <f t="shared" ref="AE173:AE187" si="52">SUM(AA173:AD173)</f>
        <v>315594.16877950181</v>
      </c>
      <c r="AF173" s="2472"/>
      <c r="AG173" s="2472">
        <f t="shared" ref="AG173:AK187" si="53">AG172</f>
        <v>28472.18673513988</v>
      </c>
      <c r="AH173" s="2472">
        <f t="shared" si="53"/>
        <v>3233.4334850305936</v>
      </c>
      <c r="AI173" s="2472">
        <f t="shared" si="53"/>
        <v>59670.591944930027</v>
      </c>
      <c r="AJ173" s="2472">
        <f t="shared" si="53"/>
        <v>-1967.5403600305935</v>
      </c>
      <c r="AK173" s="2472">
        <f t="shared" si="53"/>
        <v>89408.671805069913</v>
      </c>
    </row>
    <row r="174" spans="25:37">
      <c r="Y174" s="477">
        <v>167</v>
      </c>
      <c r="Z174" s="477">
        <v>203207</v>
      </c>
      <c r="AA174" s="2472">
        <f t="shared" si="51"/>
        <v>141673.76797421335</v>
      </c>
      <c r="AB174" s="2472">
        <f t="shared" si="51"/>
        <v>9212.1931736232491</v>
      </c>
      <c r="AC174" s="2472">
        <f t="shared" si="51"/>
        <v>180859.29027261797</v>
      </c>
      <c r="AD174" s="2472">
        <f t="shared" si="51"/>
        <v>-16151.082640952791</v>
      </c>
      <c r="AE174" s="2472">
        <f t="shared" si="52"/>
        <v>315594.16877950181</v>
      </c>
      <c r="AF174" s="2472"/>
      <c r="AG174" s="2472">
        <f t="shared" si="53"/>
        <v>28472.18673513988</v>
      </c>
      <c r="AH174" s="2472">
        <f t="shared" si="53"/>
        <v>3233.4334850305936</v>
      </c>
      <c r="AI174" s="2472">
        <f t="shared" si="53"/>
        <v>59670.591944930027</v>
      </c>
      <c r="AJ174" s="2472">
        <f t="shared" si="53"/>
        <v>-1967.5403600305935</v>
      </c>
      <c r="AK174" s="2472">
        <f t="shared" si="53"/>
        <v>89408.671805069913</v>
      </c>
    </row>
    <row r="175" spans="25:37">
      <c r="Y175" s="477">
        <v>168</v>
      </c>
      <c r="Z175" s="477">
        <v>203208</v>
      </c>
      <c r="AA175" s="2472">
        <f t="shared" si="51"/>
        <v>141673.76797421335</v>
      </c>
      <c r="AB175" s="2472">
        <f t="shared" si="51"/>
        <v>9212.1931736232491</v>
      </c>
      <c r="AC175" s="2472">
        <f t="shared" si="51"/>
        <v>180859.29027261797</v>
      </c>
      <c r="AD175" s="2472">
        <f t="shared" si="51"/>
        <v>-16151.082640952791</v>
      </c>
      <c r="AE175" s="2472">
        <f t="shared" si="52"/>
        <v>315594.16877950181</v>
      </c>
      <c r="AF175" s="2472"/>
      <c r="AG175" s="2472">
        <f t="shared" si="53"/>
        <v>28472.18673513988</v>
      </c>
      <c r="AH175" s="2472">
        <f t="shared" si="53"/>
        <v>3233.4334850305936</v>
      </c>
      <c r="AI175" s="2472">
        <f t="shared" si="53"/>
        <v>59670.591944930027</v>
      </c>
      <c r="AJ175" s="2472">
        <f t="shared" si="53"/>
        <v>-1967.5403600305935</v>
      </c>
      <c r="AK175" s="2472">
        <f t="shared" si="53"/>
        <v>89408.671805069913</v>
      </c>
    </row>
    <row r="176" spans="25:37">
      <c r="Y176" s="477">
        <v>169</v>
      </c>
      <c r="Z176" s="477">
        <v>203209</v>
      </c>
      <c r="AA176" s="2472">
        <f t="shared" si="51"/>
        <v>141673.76797421335</v>
      </c>
      <c r="AB176" s="2472">
        <f t="shared" si="51"/>
        <v>9212.1931736232491</v>
      </c>
      <c r="AC176" s="2472">
        <f t="shared" si="51"/>
        <v>180859.29027261797</v>
      </c>
      <c r="AD176" s="2472">
        <f t="shared" si="51"/>
        <v>-16151.082640952791</v>
      </c>
      <c r="AE176" s="2472">
        <f t="shared" si="52"/>
        <v>315594.16877950181</v>
      </c>
      <c r="AF176" s="2472"/>
      <c r="AG176" s="2472">
        <f t="shared" si="53"/>
        <v>28472.18673513988</v>
      </c>
      <c r="AH176" s="2472">
        <f t="shared" si="53"/>
        <v>3233.4334850305936</v>
      </c>
      <c r="AI176" s="2472">
        <f t="shared" si="53"/>
        <v>59670.591944930027</v>
      </c>
      <c r="AJ176" s="2472">
        <f t="shared" si="53"/>
        <v>-1967.5403600305935</v>
      </c>
      <c r="AK176" s="2472">
        <f t="shared" si="53"/>
        <v>89408.671805069913</v>
      </c>
    </row>
    <row r="177" spans="25:37">
      <c r="Y177" s="477">
        <v>170</v>
      </c>
      <c r="Z177" s="477">
        <v>203210</v>
      </c>
      <c r="AA177" s="2472">
        <f t="shared" si="51"/>
        <v>141673.76797421335</v>
      </c>
      <c r="AB177" s="2472">
        <f t="shared" si="51"/>
        <v>9212.1931736232491</v>
      </c>
      <c r="AC177" s="2472">
        <f t="shared" si="51"/>
        <v>180859.29027261797</v>
      </c>
      <c r="AD177" s="2472">
        <f t="shared" si="51"/>
        <v>-16151.082640952791</v>
      </c>
      <c r="AE177" s="2472">
        <f t="shared" si="52"/>
        <v>315594.16877950181</v>
      </c>
      <c r="AF177" s="2472"/>
      <c r="AG177" s="2472">
        <f t="shared" si="53"/>
        <v>28472.18673513988</v>
      </c>
      <c r="AH177" s="2472">
        <f t="shared" si="53"/>
        <v>3233.4334850305936</v>
      </c>
      <c r="AI177" s="2472">
        <f t="shared" si="53"/>
        <v>59670.591944930027</v>
      </c>
      <c r="AJ177" s="2472">
        <f t="shared" si="53"/>
        <v>-1967.5403600305935</v>
      </c>
      <c r="AK177" s="2472">
        <f t="shared" si="53"/>
        <v>89408.671805069913</v>
      </c>
    </row>
    <row r="178" spans="25:37">
      <c r="Y178" s="477">
        <v>171</v>
      </c>
      <c r="Z178" s="477">
        <v>203211</v>
      </c>
      <c r="AA178" s="2472">
        <f t="shared" si="51"/>
        <v>141673.76797421335</v>
      </c>
      <c r="AB178" s="2472">
        <f t="shared" si="51"/>
        <v>9212.1931736232491</v>
      </c>
      <c r="AC178" s="2472">
        <f t="shared" si="51"/>
        <v>180859.29027261797</v>
      </c>
      <c r="AD178" s="2472">
        <f t="shared" si="51"/>
        <v>-16151.082640952791</v>
      </c>
      <c r="AE178" s="2472">
        <f t="shared" si="52"/>
        <v>315594.16877950181</v>
      </c>
      <c r="AF178" s="2472"/>
      <c r="AG178" s="2472">
        <f t="shared" si="53"/>
        <v>28472.18673513988</v>
      </c>
      <c r="AH178" s="2472">
        <f t="shared" si="53"/>
        <v>3233.4334850305936</v>
      </c>
      <c r="AI178" s="2472">
        <f t="shared" si="53"/>
        <v>59670.591944930027</v>
      </c>
      <c r="AJ178" s="2472">
        <f t="shared" si="53"/>
        <v>-1967.5403600305935</v>
      </c>
      <c r="AK178" s="2472">
        <f t="shared" si="53"/>
        <v>89408.671805069913</v>
      </c>
    </row>
    <row r="179" spans="25:37">
      <c r="Y179" s="477">
        <v>172</v>
      </c>
      <c r="Z179" s="477">
        <v>203212</v>
      </c>
      <c r="AA179" s="2472">
        <f t="shared" si="51"/>
        <v>141673.76797421335</v>
      </c>
      <c r="AB179" s="2472">
        <f t="shared" si="51"/>
        <v>9212.1931736232491</v>
      </c>
      <c r="AC179" s="2472">
        <f t="shared" si="51"/>
        <v>180859.29027261797</v>
      </c>
      <c r="AD179" s="2472">
        <f t="shared" si="51"/>
        <v>-16151.082640952791</v>
      </c>
      <c r="AE179" s="2472">
        <f t="shared" si="52"/>
        <v>315594.16877950181</v>
      </c>
      <c r="AF179" s="2472"/>
      <c r="AG179" s="2472">
        <f t="shared" si="53"/>
        <v>28472.18673513988</v>
      </c>
      <c r="AH179" s="2472">
        <f t="shared" si="53"/>
        <v>3233.4334850305936</v>
      </c>
      <c r="AI179" s="2472">
        <f t="shared" si="53"/>
        <v>59670.591944930027</v>
      </c>
      <c r="AJ179" s="2472">
        <f t="shared" si="53"/>
        <v>-1967.5403600305935</v>
      </c>
      <c r="AK179" s="2472">
        <f t="shared" si="53"/>
        <v>89408.671805069913</v>
      </c>
    </row>
    <row r="180" spans="25:37">
      <c r="Y180" s="477">
        <v>173</v>
      </c>
      <c r="Z180" s="477">
        <v>203301</v>
      </c>
      <c r="AA180" s="2472">
        <f t="shared" si="51"/>
        <v>141673.76797421335</v>
      </c>
      <c r="AB180" s="2472">
        <f t="shared" si="51"/>
        <v>9212.1931736232491</v>
      </c>
      <c r="AC180" s="2472">
        <f t="shared" si="51"/>
        <v>180859.29027261797</v>
      </c>
      <c r="AD180" s="2472">
        <f t="shared" si="51"/>
        <v>-16151.082640952791</v>
      </c>
      <c r="AE180" s="2472">
        <f t="shared" si="52"/>
        <v>315594.16877950181</v>
      </c>
      <c r="AF180" s="2472"/>
      <c r="AG180" s="2472">
        <f t="shared" si="53"/>
        <v>28472.18673513988</v>
      </c>
      <c r="AH180" s="2472">
        <f t="shared" si="53"/>
        <v>3233.4334850305936</v>
      </c>
      <c r="AI180" s="2472">
        <f t="shared" si="53"/>
        <v>59670.591944930027</v>
      </c>
      <c r="AJ180" s="2472">
        <f t="shared" si="53"/>
        <v>-1967.5403600305935</v>
      </c>
      <c r="AK180" s="2472">
        <f t="shared" si="53"/>
        <v>89408.671805069913</v>
      </c>
    </row>
    <row r="181" spans="25:37">
      <c r="Y181" s="477">
        <v>174</v>
      </c>
      <c r="Z181" s="477">
        <v>203302</v>
      </c>
      <c r="AA181" s="2472">
        <f t="shared" si="51"/>
        <v>141673.76797421335</v>
      </c>
      <c r="AB181" s="2472">
        <f t="shared" si="51"/>
        <v>9212.1931736232491</v>
      </c>
      <c r="AC181" s="2472">
        <f t="shared" si="51"/>
        <v>180859.29027261797</v>
      </c>
      <c r="AD181" s="2472">
        <f t="shared" si="51"/>
        <v>-16151.082640952791</v>
      </c>
      <c r="AE181" s="2472">
        <f t="shared" si="52"/>
        <v>315594.16877950181</v>
      </c>
      <c r="AF181" s="2472"/>
      <c r="AG181" s="2472">
        <f t="shared" si="53"/>
        <v>28472.18673513988</v>
      </c>
      <c r="AH181" s="2472">
        <f t="shared" si="53"/>
        <v>3233.4334850305936</v>
      </c>
      <c r="AI181" s="2472">
        <f t="shared" si="53"/>
        <v>59670.591944930027</v>
      </c>
      <c r="AJ181" s="2472">
        <f t="shared" si="53"/>
        <v>-1967.5403600305935</v>
      </c>
      <c r="AK181" s="2472">
        <f t="shared" si="53"/>
        <v>89408.671805069913</v>
      </c>
    </row>
    <row r="182" spans="25:37">
      <c r="Y182" s="477">
        <v>175</v>
      </c>
      <c r="Z182" s="477">
        <v>203303</v>
      </c>
      <c r="AA182" s="2472">
        <f t="shared" si="51"/>
        <v>141673.76797421335</v>
      </c>
      <c r="AB182" s="2472">
        <f t="shared" si="51"/>
        <v>9212.1931736232491</v>
      </c>
      <c r="AC182" s="2472">
        <f t="shared" si="51"/>
        <v>180859.29027261797</v>
      </c>
      <c r="AD182" s="2472">
        <f t="shared" si="51"/>
        <v>-16151.082640952791</v>
      </c>
      <c r="AE182" s="2472">
        <f t="shared" si="52"/>
        <v>315594.16877950181</v>
      </c>
      <c r="AF182" s="2472"/>
      <c r="AG182" s="2472">
        <f t="shared" si="53"/>
        <v>28472.18673513988</v>
      </c>
      <c r="AH182" s="2472">
        <f t="shared" si="53"/>
        <v>3233.4334850305936</v>
      </c>
      <c r="AI182" s="2472">
        <f t="shared" si="53"/>
        <v>59670.591944930027</v>
      </c>
      <c r="AJ182" s="2472">
        <f t="shared" si="53"/>
        <v>-1967.5403600305935</v>
      </c>
      <c r="AK182" s="2472">
        <f t="shared" si="53"/>
        <v>89408.671805069913</v>
      </c>
    </row>
    <row r="183" spans="25:37">
      <c r="Y183" s="477">
        <v>176</v>
      </c>
      <c r="Z183" s="477">
        <v>203304</v>
      </c>
      <c r="AA183" s="2472">
        <f t="shared" si="51"/>
        <v>141673.76797421335</v>
      </c>
      <c r="AB183" s="2472">
        <f t="shared" si="51"/>
        <v>9212.1931736232491</v>
      </c>
      <c r="AC183" s="2472">
        <f t="shared" si="51"/>
        <v>180859.29027261797</v>
      </c>
      <c r="AD183" s="2472">
        <f t="shared" si="51"/>
        <v>-16151.082640952791</v>
      </c>
      <c r="AE183" s="2472">
        <f t="shared" si="52"/>
        <v>315594.16877950181</v>
      </c>
      <c r="AF183" s="2472"/>
      <c r="AG183" s="2472">
        <f t="shared" si="53"/>
        <v>28472.18673513988</v>
      </c>
      <c r="AH183" s="2472">
        <f t="shared" si="53"/>
        <v>3233.4334850305936</v>
      </c>
      <c r="AI183" s="2472">
        <f t="shared" si="53"/>
        <v>59670.591944930027</v>
      </c>
      <c r="AJ183" s="2472">
        <f t="shared" si="53"/>
        <v>-1967.5403600305935</v>
      </c>
      <c r="AK183" s="2472">
        <f t="shared" si="53"/>
        <v>89408.671805069913</v>
      </c>
    </row>
    <row r="184" spans="25:37">
      <c r="Y184" s="477">
        <v>177</v>
      </c>
      <c r="Z184" s="477">
        <v>203305</v>
      </c>
      <c r="AA184" s="2472">
        <f t="shared" si="51"/>
        <v>141673.76797421335</v>
      </c>
      <c r="AB184" s="2472">
        <f t="shared" si="51"/>
        <v>9212.1931736232491</v>
      </c>
      <c r="AC184" s="2472">
        <f t="shared" si="51"/>
        <v>180859.29027261797</v>
      </c>
      <c r="AD184" s="2472">
        <f t="shared" si="51"/>
        <v>-16151.082640952791</v>
      </c>
      <c r="AE184" s="2472">
        <f t="shared" si="52"/>
        <v>315594.16877950181</v>
      </c>
      <c r="AF184" s="2472"/>
      <c r="AG184" s="2472">
        <f t="shared" si="53"/>
        <v>28472.18673513988</v>
      </c>
      <c r="AH184" s="2472">
        <f t="shared" si="53"/>
        <v>3233.4334850305936</v>
      </c>
      <c r="AI184" s="2472">
        <f t="shared" si="53"/>
        <v>59670.591944930027</v>
      </c>
      <c r="AJ184" s="2472">
        <f t="shared" si="53"/>
        <v>-1967.5403600305935</v>
      </c>
      <c r="AK184" s="2472">
        <f t="shared" si="53"/>
        <v>89408.671805069913</v>
      </c>
    </row>
    <row r="185" spans="25:37">
      <c r="Y185" s="477">
        <v>178</v>
      </c>
      <c r="Z185" s="477">
        <v>203306</v>
      </c>
      <c r="AA185" s="2472">
        <f t="shared" si="51"/>
        <v>141673.76797421335</v>
      </c>
      <c r="AB185" s="2472">
        <f t="shared" si="51"/>
        <v>9212.1931736232491</v>
      </c>
      <c r="AC185" s="2472">
        <f t="shared" si="51"/>
        <v>180859.29027261797</v>
      </c>
      <c r="AD185" s="2472">
        <f t="shared" si="51"/>
        <v>-16151.082640952791</v>
      </c>
      <c r="AE185" s="2472">
        <f t="shared" si="52"/>
        <v>315594.16877950181</v>
      </c>
      <c r="AF185" s="2472"/>
      <c r="AG185" s="2472">
        <f t="shared" si="53"/>
        <v>28472.18673513988</v>
      </c>
      <c r="AH185" s="2472">
        <f t="shared" si="53"/>
        <v>3233.4334850305936</v>
      </c>
      <c r="AI185" s="2472">
        <f t="shared" si="53"/>
        <v>59670.591944930027</v>
      </c>
      <c r="AJ185" s="2472">
        <f t="shared" si="53"/>
        <v>-1967.5403600305935</v>
      </c>
      <c r="AK185" s="2472">
        <f t="shared" si="53"/>
        <v>89408.671805069913</v>
      </c>
    </row>
    <row r="186" spans="25:37">
      <c r="Y186" s="477">
        <v>179</v>
      </c>
      <c r="Z186" s="477">
        <v>203307</v>
      </c>
      <c r="AA186" s="2472">
        <f t="shared" si="51"/>
        <v>141673.76797421335</v>
      </c>
      <c r="AB186" s="2472">
        <f t="shared" si="51"/>
        <v>9212.1931736232491</v>
      </c>
      <c r="AC186" s="2472">
        <f t="shared" si="51"/>
        <v>180859.29027261797</v>
      </c>
      <c r="AD186" s="2472">
        <f t="shared" si="51"/>
        <v>-16151.082640952791</v>
      </c>
      <c r="AE186" s="2472">
        <f t="shared" si="52"/>
        <v>315594.16877950181</v>
      </c>
      <c r="AF186" s="2472"/>
      <c r="AG186" s="2472">
        <f t="shared" si="53"/>
        <v>28472.18673513988</v>
      </c>
      <c r="AH186" s="2472">
        <f t="shared" si="53"/>
        <v>3233.4334850305936</v>
      </c>
      <c r="AI186" s="2472">
        <f t="shared" si="53"/>
        <v>59670.591944930027</v>
      </c>
      <c r="AJ186" s="2472">
        <f t="shared" si="53"/>
        <v>-1967.5403600305935</v>
      </c>
      <c r="AK186" s="2472">
        <f t="shared" si="53"/>
        <v>89408.671805069913</v>
      </c>
    </row>
    <row r="187" spans="25:37">
      <c r="Y187" s="477">
        <v>180</v>
      </c>
      <c r="Z187" s="477">
        <v>203308</v>
      </c>
      <c r="AA187" s="2472">
        <f t="shared" si="51"/>
        <v>141673.76797421335</v>
      </c>
      <c r="AB187" s="2472">
        <f t="shared" si="51"/>
        <v>9212.1931736232491</v>
      </c>
      <c r="AC187" s="2472">
        <f t="shared" si="51"/>
        <v>180859.29027261797</v>
      </c>
      <c r="AD187" s="2472">
        <f t="shared" si="51"/>
        <v>-16151.082640952791</v>
      </c>
      <c r="AE187" s="2472">
        <f t="shared" si="52"/>
        <v>315594.16877950181</v>
      </c>
      <c r="AF187" s="2532"/>
      <c r="AG187" s="2472">
        <f t="shared" si="53"/>
        <v>28472.18673513988</v>
      </c>
      <c r="AH187" s="2472">
        <f t="shared" si="53"/>
        <v>3233.4334850305936</v>
      </c>
      <c r="AI187" s="2472">
        <f t="shared" si="53"/>
        <v>59670.591944930027</v>
      </c>
      <c r="AJ187" s="2472">
        <f t="shared" si="53"/>
        <v>-1967.5403600305935</v>
      </c>
      <c r="AK187" s="2472">
        <f t="shared" si="53"/>
        <v>89408.671805069913</v>
      </c>
    </row>
    <row r="188" spans="25:37" ht="13" thickBot="1">
      <c r="AA188" s="2533">
        <f>SUM(AA32:AA187)</f>
        <v>20369297.999999966</v>
      </c>
      <c r="AB188" s="2533">
        <f>SUM(AB32:AB187)</f>
        <v>1416996.949999999</v>
      </c>
      <c r="AC188" s="2533">
        <f>SUM(AC32:AC187)</f>
        <v>26272192.700000063</v>
      </c>
      <c r="AD188" s="2533">
        <f>SUM(AD32:AD187)</f>
        <v>-2304116.6200000066</v>
      </c>
      <c r="AE188" s="2533">
        <f>SUM(AE32:AE187)</f>
        <v>45754371.030000024</v>
      </c>
      <c r="AF188" s="2532"/>
      <c r="AG188" s="2533">
        <f>SUM(AG32:AG187)</f>
        <v>4107086.9999999921</v>
      </c>
      <c r="AH188" s="2533">
        <f>SUM(AH32:AH187)</f>
        <v>500540.57000000105</v>
      </c>
      <c r="AI188" s="2533">
        <f>SUM(AI32:AI187)</f>
        <v>8724633.7700000033</v>
      </c>
      <c r="AJ188" s="2533">
        <f>SUM(AJ32:AJ187)</f>
        <v>-267736.25000000023</v>
      </c>
      <c r="AK188" s="2533">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sheetPr>
    <tabColor rgb="FFFFC000"/>
  </sheetPr>
  <dimension ref="A1:CY363"/>
  <sheetViews>
    <sheetView workbookViewId="0">
      <selection activeCell="A4" sqref="A4"/>
    </sheetView>
  </sheetViews>
  <sheetFormatPr defaultRowHeight="13"/>
  <cols>
    <col min="1" max="1" width="26" style="477" bestFit="1" customWidth="1"/>
    <col min="2" max="2" width="16.453125" style="2534" customWidth="1"/>
    <col min="3" max="3" width="9.54296875" style="477" customWidth="1"/>
    <col min="4" max="4" width="16" style="477" customWidth="1"/>
    <col min="5" max="5" width="9.54296875" style="477" bestFit="1" customWidth="1"/>
    <col min="6" max="6" width="12.453125" style="477" bestFit="1" customWidth="1"/>
    <col min="7" max="9" width="11.26953125" style="477" bestFit="1" customWidth="1"/>
    <col min="10" max="10" width="3.54296875" style="477" bestFit="1" customWidth="1"/>
    <col min="11" max="11" width="11.26953125" style="477" bestFit="1" customWidth="1"/>
    <col min="12" max="13" width="12.453125" style="477" bestFit="1" customWidth="1"/>
    <col min="14" max="14" width="3.26953125" style="477" bestFit="1" customWidth="1"/>
    <col min="15" max="15" width="9.1796875" style="477" bestFit="1" customWidth="1"/>
    <col min="16" max="16" width="12.453125" style="477" bestFit="1" customWidth="1"/>
    <col min="17" max="17" width="11.26953125" style="477" bestFit="1" customWidth="1"/>
    <col min="18" max="18" width="12.453125" style="477" bestFit="1" customWidth="1"/>
    <col min="19" max="19" width="11.81640625" style="477" customWidth="1"/>
    <col min="20" max="20" width="12.453125" style="477" bestFit="1" customWidth="1"/>
    <col min="21" max="21" width="4" style="477" customWidth="1"/>
    <col min="22" max="22" width="6.81640625" style="477" customWidth="1"/>
    <col min="23" max="23" width="10" style="477" customWidth="1"/>
    <col min="24" max="24" width="3" style="477" customWidth="1"/>
    <col min="25" max="29" width="13" style="477" customWidth="1"/>
    <col min="30" max="30" width="3.81640625" style="477" customWidth="1"/>
    <col min="31" max="31" width="12.54296875" style="477" customWidth="1"/>
    <col min="32" max="32" width="12.26953125" style="477" customWidth="1"/>
    <col min="33" max="33" width="13.453125" style="477" customWidth="1"/>
    <col min="34" max="34" width="13.26953125" style="477" bestFit="1" customWidth="1"/>
    <col min="35" max="35" width="11.54296875" style="477" bestFit="1" customWidth="1"/>
    <col min="36" max="36" width="6.26953125" style="477" bestFit="1" customWidth="1"/>
    <col min="37" max="38" width="14" style="477" bestFit="1" customWidth="1"/>
    <col min="39" max="39" width="14" style="477" customWidth="1"/>
    <col min="40" max="40" width="14" style="477" bestFit="1" customWidth="1"/>
    <col min="41" max="41" width="8.81640625" style="477"/>
    <col min="42" max="42" width="1.7265625" style="995" customWidth="1"/>
    <col min="44" max="44" width="12.453125" style="2566" customWidth="1"/>
    <col min="45" max="46" width="16.26953125" style="2566" customWidth="1"/>
    <col min="47" max="47" width="17.54296875" style="2566" customWidth="1"/>
    <col min="48" max="48" width="33.81640625" style="2566" customWidth="1"/>
    <col min="50" max="50" width="1.54296875" style="995" customWidth="1"/>
    <col min="52" max="52" width="22.81640625" style="477" bestFit="1" customWidth="1"/>
    <col min="53" max="53" width="16.453125" style="2534" bestFit="1" customWidth="1"/>
    <col min="54" max="56" width="13.1796875" style="477" bestFit="1" customWidth="1"/>
    <col min="57" max="58" width="13.453125" style="477" customWidth="1"/>
    <col min="59" max="59" width="9" style="477"/>
    <col min="60" max="60" width="25.1796875" style="477" bestFit="1" customWidth="1"/>
    <col min="61" max="61" width="16.453125" style="477" bestFit="1" customWidth="1"/>
    <col min="62" max="62" width="12" style="477" bestFit="1" customWidth="1"/>
    <col min="63" max="63" width="11.81640625" style="477" bestFit="1" customWidth="1"/>
    <col min="64" max="64" width="13.1796875" style="477" bestFit="1" customWidth="1"/>
    <col min="65" max="67" width="8.81640625" style="477"/>
    <col min="68" max="68" width="1.54296875" style="995" customWidth="1"/>
    <col min="70" max="70" width="22.81640625" style="477" bestFit="1" customWidth="1"/>
    <col min="71" max="71" width="23.7265625" style="2590" bestFit="1" customWidth="1"/>
    <col min="72" max="73" width="8.453125" style="477" bestFit="1" customWidth="1"/>
    <col min="74" max="74" width="11.26953125" style="477" bestFit="1" customWidth="1"/>
    <col min="75" max="76" width="9.54296875" style="477" bestFit="1" customWidth="1"/>
    <col min="77" max="77" width="11.54296875" style="477" bestFit="1" customWidth="1"/>
    <col min="78" max="78" width="9.54296875" style="941" bestFit="1" customWidth="1"/>
    <col min="79" max="79" width="11.54296875" style="477" bestFit="1" customWidth="1"/>
    <col min="80" max="80" width="11.453125" style="477" bestFit="1" customWidth="1"/>
    <col min="81" max="81" width="10.1796875" style="477" bestFit="1" customWidth="1"/>
    <col min="82" max="82" width="12.1796875" style="477" bestFit="1" customWidth="1"/>
    <col min="83" max="83" width="8.81640625" style="477"/>
    <col min="84" max="84" width="17.54296875" style="477" bestFit="1" customWidth="1"/>
    <col min="85" max="85" width="8.81640625" style="477"/>
    <col min="86" max="86" width="1.54296875" style="995" customWidth="1"/>
    <col min="88" max="88" width="23" style="477" bestFit="1" customWidth="1"/>
    <col min="89" max="89" width="23.7265625" style="477" bestFit="1" customWidth="1"/>
    <col min="90" max="90" width="26.453125" style="477" bestFit="1" customWidth="1"/>
    <col min="91" max="91" width="11.1796875" style="477" customWidth="1"/>
    <col min="92" max="92" width="8.81640625" style="477"/>
    <col min="93" max="93" width="10.54296875" style="477" bestFit="1" customWidth="1"/>
    <col min="94" max="94" width="9.54296875" style="477" bestFit="1" customWidth="1"/>
    <col min="95" max="98" width="8.81640625" style="477"/>
    <col min="99" max="99" width="13.81640625" style="477" bestFit="1" customWidth="1"/>
    <col min="100" max="103" width="8.81640625" style="477"/>
  </cols>
  <sheetData>
    <row r="1" spans="1:102">
      <c r="A1" s="1556" t="s">
        <v>679</v>
      </c>
      <c r="B1" s="1556" t="s">
        <v>1701</v>
      </c>
      <c r="D1" s="1401" t="s">
        <v>2290</v>
      </c>
      <c r="O1" s="2824" t="s">
        <v>3555</v>
      </c>
      <c r="AR1" s="2568" t="s">
        <v>111</v>
      </c>
      <c r="AZ1" s="1401" t="s">
        <v>2320</v>
      </c>
      <c r="BR1" s="1401" t="s">
        <v>2334</v>
      </c>
    </row>
    <row r="2" spans="1:102">
      <c r="A2" s="1556" t="s">
        <v>1758</v>
      </c>
      <c r="B2" s="1556" t="s">
        <v>1745</v>
      </c>
      <c r="D2" s="1401" t="s">
        <v>2289</v>
      </c>
      <c r="AR2" s="2566" t="s">
        <v>2319</v>
      </c>
      <c r="AZ2" s="1401" t="s">
        <v>2321</v>
      </c>
      <c r="BR2" s="1401" t="s">
        <v>2333</v>
      </c>
      <c r="CJ2" s="1556" t="s">
        <v>1758</v>
      </c>
      <c r="CK2" s="1556" t="s">
        <v>1745</v>
      </c>
      <c r="CT2" s="477" t="s">
        <v>696</v>
      </c>
      <c r="CW2" s="477" t="s">
        <v>699</v>
      </c>
    </row>
    <row r="3" spans="1:102">
      <c r="A3" s="1557" t="s">
        <v>1065</v>
      </c>
      <c r="B3" s="1557" t="s">
        <v>2276</v>
      </c>
      <c r="AR3" s="2584"/>
      <c r="CJ3" s="1557" t="s">
        <v>2340</v>
      </c>
      <c r="CK3" s="1557" t="s">
        <v>2339</v>
      </c>
      <c r="CT3" s="477">
        <v>0.64400000000000002</v>
      </c>
      <c r="CU3" s="477" t="s">
        <v>2338</v>
      </c>
      <c r="CW3" s="477">
        <v>0.65400999999999998</v>
      </c>
      <c r="CX3" s="477" t="s">
        <v>2256</v>
      </c>
    </row>
    <row r="4" spans="1:102">
      <c r="B4" s="477"/>
      <c r="AR4" s="2584" t="s">
        <v>2318</v>
      </c>
      <c r="BS4" s="477"/>
      <c r="CT4" s="477">
        <v>0.65115999999999996</v>
      </c>
      <c r="CU4" s="477" t="s">
        <v>2337</v>
      </c>
      <c r="CW4" s="477">
        <v>0.71040000000000003</v>
      </c>
      <c r="CX4" s="477" t="s">
        <v>2251</v>
      </c>
    </row>
    <row r="5" spans="1:102">
      <c r="A5" s="1405" t="s">
        <v>2274</v>
      </c>
      <c r="B5" s="1405" t="s">
        <v>1252</v>
      </c>
      <c r="C5" s="1405"/>
      <c r="D5" s="1405"/>
      <c r="E5" s="1405"/>
      <c r="F5" s="1405"/>
      <c r="G5" s="1405"/>
      <c r="H5" s="1405"/>
      <c r="I5" s="1405"/>
      <c r="J5" s="1405"/>
      <c r="K5" s="1405"/>
      <c r="L5" s="1405"/>
      <c r="M5" s="1405"/>
      <c r="Q5" s="2534"/>
      <c r="AR5" s="2584" t="s">
        <v>2317</v>
      </c>
      <c r="AZ5" s="1556" t="s">
        <v>679</v>
      </c>
      <c r="BA5" s="1556" t="s">
        <v>1701</v>
      </c>
      <c r="BH5" s="1556" t="s">
        <v>679</v>
      </c>
      <c r="BI5" s="1556" t="s">
        <v>1701</v>
      </c>
      <c r="BR5" s="1556" t="s">
        <v>679</v>
      </c>
      <c r="BS5" s="1556" t="s">
        <v>1701</v>
      </c>
      <c r="CJ5" s="1408" t="s">
        <v>1170</v>
      </c>
      <c r="CK5" s="1408" t="s">
        <v>2322</v>
      </c>
      <c r="CL5" s="1408" t="s">
        <v>2274</v>
      </c>
      <c r="CM5" s="477" t="s">
        <v>696</v>
      </c>
      <c r="CN5" s="477" t="s">
        <v>699</v>
      </c>
      <c r="CO5" s="477" t="s">
        <v>696</v>
      </c>
      <c r="CP5" s="477" t="s">
        <v>699</v>
      </c>
      <c r="CT5" s="477">
        <v>0.64117999999999997</v>
      </c>
      <c r="CU5" s="477" t="s">
        <v>2336</v>
      </c>
      <c r="CW5" s="477">
        <v>0.71745999999999999</v>
      </c>
      <c r="CX5" s="477" t="s">
        <v>2244</v>
      </c>
    </row>
    <row r="6" spans="1:102">
      <c r="A6" s="1405"/>
      <c r="B6" s="1405" t="s">
        <v>682</v>
      </c>
      <c r="C6" s="1405"/>
      <c r="D6" s="1405"/>
      <c r="E6" s="1405"/>
      <c r="F6" s="2598" t="s">
        <v>2268</v>
      </c>
      <c r="G6" s="1405" t="s">
        <v>680</v>
      </c>
      <c r="H6" s="1405"/>
      <c r="I6" s="1405"/>
      <c r="J6" s="1405"/>
      <c r="K6" s="1405"/>
      <c r="L6" s="2598" t="s">
        <v>2267</v>
      </c>
      <c r="M6" s="1405" t="s">
        <v>978</v>
      </c>
      <c r="AR6" s="2584" t="s">
        <v>2316</v>
      </c>
      <c r="AZ6" s="1556" t="s">
        <v>1758</v>
      </c>
      <c r="BA6" s="1556" t="s">
        <v>1745</v>
      </c>
      <c r="BH6" s="1556" t="s">
        <v>1758</v>
      </c>
      <c r="BI6" s="1556" t="s">
        <v>1745</v>
      </c>
      <c r="BR6" s="1556" t="s">
        <v>1758</v>
      </c>
      <c r="BS6" s="1556" t="s">
        <v>1745</v>
      </c>
      <c r="CJ6" s="182">
        <v>500000</v>
      </c>
      <c r="CK6" s="875">
        <v>4000</v>
      </c>
      <c r="CL6" s="875"/>
      <c r="CM6" s="477">
        <f t="shared" ref="CM6:CM16" si="0">$CT$3</f>
        <v>0.64400000000000002</v>
      </c>
      <c r="CO6" s="2597">
        <f t="shared" ref="CO6:CO30" si="1">+CK6*CM6</f>
        <v>2576</v>
      </c>
      <c r="CP6" s="2597">
        <f t="shared" ref="CP6:CP30" si="2">+CL6*CN6</f>
        <v>0</v>
      </c>
      <c r="CT6" s="477">
        <v>0.66942999999999997</v>
      </c>
      <c r="CU6" s="477" t="s">
        <v>2335</v>
      </c>
      <c r="CW6" s="477">
        <v>0.67015999999999998</v>
      </c>
      <c r="CX6" s="477" t="s">
        <v>2252</v>
      </c>
    </row>
    <row r="7" spans="1:102">
      <c r="A7" s="1408" t="s">
        <v>1170</v>
      </c>
      <c r="B7" s="1408" t="s">
        <v>678</v>
      </c>
      <c r="C7" s="1408" t="s">
        <v>677</v>
      </c>
      <c r="D7" s="1408" t="s">
        <v>683</v>
      </c>
      <c r="E7" s="1408" t="s">
        <v>763</v>
      </c>
      <c r="F7" s="2599"/>
      <c r="G7" s="1408" t="s">
        <v>678</v>
      </c>
      <c r="H7" s="1408" t="s">
        <v>677</v>
      </c>
      <c r="I7" s="1408" t="s">
        <v>683</v>
      </c>
      <c r="J7" s="1408" t="s">
        <v>676</v>
      </c>
      <c r="K7" s="1408" t="s">
        <v>763</v>
      </c>
      <c r="L7" s="2599"/>
      <c r="M7" s="1408"/>
      <c r="AZ7" s="1556" t="s">
        <v>2277</v>
      </c>
      <c r="BA7" s="1556" t="s">
        <v>2276</v>
      </c>
      <c r="BH7" s="1556" t="s">
        <v>2277</v>
      </c>
      <c r="BI7" s="1556" t="s">
        <v>2276</v>
      </c>
      <c r="BR7" s="1556" t="s">
        <v>2277</v>
      </c>
      <c r="BS7" s="1556" t="s">
        <v>2282</v>
      </c>
      <c r="CJ7" s="182">
        <v>506000</v>
      </c>
      <c r="CK7" s="875">
        <v>1000</v>
      </c>
      <c r="CL7" s="875"/>
      <c r="CM7" s="477">
        <f t="shared" si="0"/>
        <v>0.64400000000000002</v>
      </c>
      <c r="CO7" s="2597">
        <f t="shared" si="1"/>
        <v>644</v>
      </c>
      <c r="CP7" s="2597">
        <f t="shared" si="2"/>
        <v>0</v>
      </c>
      <c r="CW7" s="477">
        <v>0.6845</v>
      </c>
      <c r="CX7" s="477" t="s">
        <v>2250</v>
      </c>
    </row>
    <row r="8" spans="1:102">
      <c r="A8" s="182" t="s">
        <v>2288</v>
      </c>
      <c r="B8" s="1197">
        <v>11564.9</v>
      </c>
      <c r="C8" s="1197">
        <v>0</v>
      </c>
      <c r="D8" s="1197"/>
      <c r="E8" s="1197"/>
      <c r="F8" s="2600">
        <v>11564.9</v>
      </c>
      <c r="G8" s="1197"/>
      <c r="H8" s="1197">
        <v>2558.16</v>
      </c>
      <c r="I8" s="1197">
        <v>433.55</v>
      </c>
      <c r="J8" s="1197"/>
      <c r="K8" s="1197">
        <v>4975.13</v>
      </c>
      <c r="L8" s="2600">
        <v>7966.84</v>
      </c>
      <c r="M8" s="1197">
        <v>19531.739999999998</v>
      </c>
      <c r="AZ8" s="1556" t="s">
        <v>1058</v>
      </c>
      <c r="BA8" s="1556" t="s">
        <v>2276</v>
      </c>
      <c r="BH8" s="1556" t="s">
        <v>1058</v>
      </c>
      <c r="BI8" s="1556" t="s">
        <v>2276</v>
      </c>
      <c r="BR8" s="1557" t="s">
        <v>2330</v>
      </c>
      <c r="BS8" s="1557" t="s">
        <v>1759</v>
      </c>
      <c r="CJ8" s="182">
        <v>535000</v>
      </c>
      <c r="CK8" s="875">
        <v>8700</v>
      </c>
      <c r="CL8" s="875"/>
      <c r="CM8" s="477">
        <f t="shared" si="0"/>
        <v>0.64400000000000002</v>
      </c>
      <c r="CO8" s="2597">
        <f t="shared" si="1"/>
        <v>5602.8</v>
      </c>
      <c r="CP8" s="2597">
        <f t="shared" si="2"/>
        <v>0</v>
      </c>
    </row>
    <row r="9" spans="1:102">
      <c r="A9" s="182" t="s">
        <v>2287</v>
      </c>
      <c r="B9" s="1197">
        <v>4741.97</v>
      </c>
      <c r="C9" s="1197"/>
      <c r="D9" s="1197"/>
      <c r="E9" s="1197"/>
      <c r="F9" s="2600">
        <v>4741.97</v>
      </c>
      <c r="G9" s="1197">
        <v>286.53999999999996</v>
      </c>
      <c r="H9" s="1197"/>
      <c r="I9" s="1197"/>
      <c r="J9" s="1197"/>
      <c r="K9" s="1197"/>
      <c r="L9" s="2600">
        <v>286.53999999999996</v>
      </c>
      <c r="M9" s="1197">
        <v>5028.51</v>
      </c>
      <c r="AR9" s="2584"/>
      <c r="AZ9" s="1557" t="s">
        <v>1057</v>
      </c>
      <c r="BA9" s="1557" t="s">
        <v>2276</v>
      </c>
      <c r="BH9" s="1557" t="s">
        <v>1057</v>
      </c>
      <c r="BI9" s="1557" t="s">
        <v>2276</v>
      </c>
      <c r="BS9" s="477"/>
      <c r="CJ9" s="182">
        <v>537000</v>
      </c>
      <c r="CK9" s="875">
        <v>500</v>
      </c>
      <c r="CL9" s="875"/>
      <c r="CM9" s="477">
        <f t="shared" si="0"/>
        <v>0.64400000000000002</v>
      </c>
      <c r="CO9" s="2597">
        <f t="shared" si="1"/>
        <v>322</v>
      </c>
      <c r="CP9" s="2597">
        <f t="shared" si="2"/>
        <v>0</v>
      </c>
    </row>
    <row r="10" spans="1:102">
      <c r="A10" s="182" t="s">
        <v>2286</v>
      </c>
      <c r="B10" s="1197">
        <v>84664.810000000114</v>
      </c>
      <c r="C10" s="1197">
        <v>163.07999999999998</v>
      </c>
      <c r="D10" s="1197"/>
      <c r="E10" s="1197">
        <v>726.8599999999999</v>
      </c>
      <c r="F10" s="2600">
        <v>85554.750000000116</v>
      </c>
      <c r="G10" s="1197">
        <v>7898.2899999999981</v>
      </c>
      <c r="H10" s="1197"/>
      <c r="I10" s="1197">
        <v>16407.8</v>
      </c>
      <c r="J10" s="1197"/>
      <c r="K10" s="1197">
        <v>9559.5000000000036</v>
      </c>
      <c r="L10" s="2600">
        <v>33865.589999999997</v>
      </c>
      <c r="M10" s="1197">
        <v>119420.34000000011</v>
      </c>
      <c r="AS10" s="2576"/>
      <c r="AT10" s="2576"/>
      <c r="AU10" s="2576"/>
      <c r="AV10" s="2576"/>
      <c r="BA10" s="477"/>
      <c r="BR10" s="1405" t="s">
        <v>2322</v>
      </c>
      <c r="BS10" s="1405" t="s">
        <v>1252</v>
      </c>
      <c r="BT10" s="1405"/>
      <c r="BU10" s="1405"/>
      <c r="BV10" s="1405"/>
      <c r="BW10" s="1405"/>
      <c r="BX10" s="1405"/>
      <c r="BY10" s="1405"/>
      <c r="BZ10" s="1405"/>
      <c r="CA10" s="1405"/>
      <c r="CJ10" s="182">
        <v>538000</v>
      </c>
      <c r="CK10" s="875">
        <v>1000</v>
      </c>
      <c r="CL10" s="875"/>
      <c r="CM10" s="477">
        <f t="shared" si="0"/>
        <v>0.64400000000000002</v>
      </c>
      <c r="CO10" s="2597">
        <f t="shared" si="1"/>
        <v>644</v>
      </c>
      <c r="CP10" s="2597">
        <f t="shared" si="2"/>
        <v>0</v>
      </c>
    </row>
    <row r="11" spans="1:102">
      <c r="A11" s="182" t="s">
        <v>2285</v>
      </c>
      <c r="B11" s="1197">
        <v>71745.839999999982</v>
      </c>
      <c r="C11" s="1197">
        <v>11126.350000000002</v>
      </c>
      <c r="D11" s="1197">
        <v>57609.840000000026</v>
      </c>
      <c r="E11" s="1197">
        <v>13587.680000000002</v>
      </c>
      <c r="F11" s="2600">
        <v>154069.71000000002</v>
      </c>
      <c r="G11" s="1197">
        <v>106359.04999999996</v>
      </c>
      <c r="H11" s="1197">
        <v>105566.14</v>
      </c>
      <c r="I11" s="1197">
        <v>514462.3800000007</v>
      </c>
      <c r="J11" s="1197"/>
      <c r="K11" s="1197">
        <v>1257872.7700000068</v>
      </c>
      <c r="L11" s="2600">
        <v>1984260.3400000073</v>
      </c>
      <c r="M11" s="1197">
        <v>2138330.0500000073</v>
      </c>
      <c r="AR11" s="2578" t="s">
        <v>2315</v>
      </c>
      <c r="AS11" s="2576"/>
      <c r="AT11" s="2576"/>
      <c r="AU11" s="2583"/>
      <c r="AZ11" s="1405" t="s">
        <v>2322</v>
      </c>
      <c r="BA11" s="1405" t="s">
        <v>1252</v>
      </c>
      <c r="BB11" s="1405"/>
      <c r="BC11" s="1405"/>
      <c r="BD11" s="1405"/>
      <c r="BH11" s="1405" t="s">
        <v>2274</v>
      </c>
      <c r="BI11" s="1405" t="s">
        <v>1252</v>
      </c>
      <c r="BJ11" s="1405"/>
      <c r="BK11" s="1405"/>
      <c r="BL11" s="1405"/>
      <c r="BR11" s="1405"/>
      <c r="BS11" s="1405" t="s">
        <v>682</v>
      </c>
      <c r="BT11" s="1405"/>
      <c r="BU11" s="1405"/>
      <c r="BV11" s="2598" t="s">
        <v>2268</v>
      </c>
      <c r="BW11" s="1405" t="s">
        <v>681</v>
      </c>
      <c r="BX11" s="1405"/>
      <c r="BY11" s="1405"/>
      <c r="BZ11" s="2598" t="s">
        <v>2332</v>
      </c>
      <c r="CA11" s="1405" t="s">
        <v>978</v>
      </c>
      <c r="CB11" s="477" t="s">
        <v>2331</v>
      </c>
      <c r="CD11" s="477" t="s">
        <v>2329</v>
      </c>
      <c r="CE11" s="477" t="s">
        <v>2266</v>
      </c>
      <c r="CF11" s="477" t="s">
        <v>537</v>
      </c>
      <c r="CJ11" s="182">
        <v>539000</v>
      </c>
      <c r="CK11" s="875">
        <v>4000</v>
      </c>
      <c r="CL11" s="875"/>
      <c r="CM11" s="477">
        <f t="shared" si="0"/>
        <v>0.64400000000000002</v>
      </c>
      <c r="CO11" s="2597">
        <f t="shared" si="1"/>
        <v>2576</v>
      </c>
      <c r="CP11" s="2597">
        <f t="shared" si="2"/>
        <v>0</v>
      </c>
    </row>
    <row r="12" spans="1:102">
      <c r="A12" s="182" t="s">
        <v>2284</v>
      </c>
      <c r="B12" s="1197">
        <v>3013.2699999999995</v>
      </c>
      <c r="C12" s="1197"/>
      <c r="D12" s="1197"/>
      <c r="E12" s="1197"/>
      <c r="F12" s="2600">
        <v>3013.2699999999995</v>
      </c>
      <c r="G12" s="1197"/>
      <c r="H12" s="1197"/>
      <c r="I12" s="1197"/>
      <c r="J12" s="1197"/>
      <c r="K12" s="1197"/>
      <c r="L12" s="2600"/>
      <c r="M12" s="1197">
        <v>3013.2699999999995</v>
      </c>
      <c r="AR12" s="2578"/>
      <c r="AS12" s="2576"/>
      <c r="AT12" s="2576"/>
      <c r="AU12" s="2583"/>
      <c r="AZ12" s="1408" t="s">
        <v>1170</v>
      </c>
      <c r="BA12" s="1408" t="s">
        <v>2323</v>
      </c>
      <c r="BB12" s="1408" t="s">
        <v>2324</v>
      </c>
      <c r="BC12" s="1408" t="s">
        <v>2262</v>
      </c>
      <c r="BD12" s="1408" t="s">
        <v>978</v>
      </c>
      <c r="BE12" s="477" t="s">
        <v>2262</v>
      </c>
      <c r="BF12" s="477" t="s">
        <v>2261</v>
      </c>
      <c r="BH12" s="1408" t="s">
        <v>1170</v>
      </c>
      <c r="BI12" s="1408" t="s">
        <v>2323</v>
      </c>
      <c r="BJ12" s="1408" t="s">
        <v>2324</v>
      </c>
      <c r="BK12" s="1408" t="s">
        <v>2262</v>
      </c>
      <c r="BL12" s="1408" t="s">
        <v>978</v>
      </c>
      <c r="BM12" s="477" t="s">
        <v>2262</v>
      </c>
      <c r="BN12" s="477" t="s">
        <v>2261</v>
      </c>
      <c r="BR12" s="1408" t="s">
        <v>1170</v>
      </c>
      <c r="BS12" s="1408" t="s">
        <v>678</v>
      </c>
      <c r="BT12" s="1408" t="s">
        <v>683</v>
      </c>
      <c r="BU12" s="1408" t="s">
        <v>763</v>
      </c>
      <c r="BV12" s="2599"/>
      <c r="BW12" s="1408" t="s">
        <v>677</v>
      </c>
      <c r="BX12" s="1408" t="s">
        <v>683</v>
      </c>
      <c r="BY12" s="1408" t="s">
        <v>763</v>
      </c>
      <c r="BZ12" s="2599"/>
      <c r="CA12" s="1408"/>
      <c r="CJ12" s="182">
        <v>546000</v>
      </c>
      <c r="CK12" s="875">
        <v>750</v>
      </c>
      <c r="CL12" s="875"/>
      <c r="CM12" s="477">
        <f t="shared" si="0"/>
        <v>0.64400000000000002</v>
      </c>
      <c r="CO12" s="2597">
        <f t="shared" si="1"/>
        <v>483</v>
      </c>
      <c r="CP12" s="2597">
        <f t="shared" si="2"/>
        <v>0</v>
      </c>
    </row>
    <row r="13" spans="1:102">
      <c r="A13" s="182" t="s">
        <v>2283</v>
      </c>
      <c r="B13" s="1197">
        <v>21109.56</v>
      </c>
      <c r="C13" s="1197"/>
      <c r="D13" s="1197"/>
      <c r="E13" s="1197"/>
      <c r="F13" s="2600">
        <v>21109.56</v>
      </c>
      <c r="G13" s="1197"/>
      <c r="H13" s="1197"/>
      <c r="I13" s="1197"/>
      <c r="J13" s="1197"/>
      <c r="K13" s="1197"/>
      <c r="L13" s="2600"/>
      <c r="M13" s="1197">
        <v>21109.56</v>
      </c>
      <c r="AR13" s="2578" t="s">
        <v>2314</v>
      </c>
      <c r="AS13" s="2576"/>
      <c r="AT13" s="2576"/>
      <c r="AU13" s="2576"/>
      <c r="AV13" s="2576"/>
      <c r="AZ13" s="182">
        <v>903000</v>
      </c>
      <c r="BA13" s="875">
        <v>531852.82000000018</v>
      </c>
      <c r="BB13" s="875">
        <v>2967768.66</v>
      </c>
      <c r="BC13" s="875">
        <v>476786.54000000015</v>
      </c>
      <c r="BD13" s="875">
        <v>3976408.0200000005</v>
      </c>
      <c r="BE13" s="2585">
        <f t="shared" ref="BE13:BE44" si="3">BC13/BD13</f>
        <v>0.11990382717314811</v>
      </c>
      <c r="BF13" s="1131">
        <f t="shared" ref="BF13:BF44" si="4">1-BE13</f>
        <v>0.88009617282685193</v>
      </c>
      <c r="BH13" s="182">
        <v>903000</v>
      </c>
      <c r="BI13" s="875">
        <v>349534.29999999993</v>
      </c>
      <c r="BJ13" s="875">
        <v>1950488.3399999936</v>
      </c>
      <c r="BK13" s="875">
        <v>274899.06000000041</v>
      </c>
      <c r="BL13" s="875">
        <v>2574921.6999999941</v>
      </c>
      <c r="BM13" s="2585">
        <f t="shared" ref="BM13:BM46" si="5">BK13/BL13</f>
        <v>0.10676016284301035</v>
      </c>
      <c r="BN13" s="1131">
        <f t="shared" ref="BN13:BN46" si="6">1-BM13</f>
        <v>0.89323983715698962</v>
      </c>
      <c r="BR13" s="182">
        <v>535000</v>
      </c>
      <c r="BS13" s="1197"/>
      <c r="BT13" s="1197"/>
      <c r="BU13" s="1197"/>
      <c r="BV13" s="2600"/>
      <c r="BW13" s="1197">
        <v>2658.65</v>
      </c>
      <c r="BX13" s="1197"/>
      <c r="BY13" s="1197"/>
      <c r="BZ13" s="2600">
        <v>2658.65</v>
      </c>
      <c r="CA13" s="1197">
        <v>2658.65</v>
      </c>
      <c r="CB13" s="2560">
        <v>1</v>
      </c>
      <c r="CC13" s="2594">
        <v>0.64400000000000002</v>
      </c>
      <c r="CD13" s="1197">
        <f t="shared" ref="CD13:CD21" si="7">(CC13*BS13)+(CC13*BW13)</f>
        <v>1712.1706000000001</v>
      </c>
      <c r="CE13" s="1197">
        <f t="shared" ref="CE13:CE21" si="8">BU13+BY13</f>
        <v>0</v>
      </c>
      <c r="CF13" s="1197">
        <f t="shared" ref="CF13:CF21" si="9">SUM(CD13:CE13)</f>
        <v>1712.1706000000001</v>
      </c>
      <c r="CJ13" s="182">
        <v>549000</v>
      </c>
      <c r="CK13" s="875">
        <v>750</v>
      </c>
      <c r="CL13" s="875"/>
      <c r="CM13" s="477">
        <f t="shared" si="0"/>
        <v>0.64400000000000002</v>
      </c>
      <c r="CO13" s="2597">
        <f t="shared" si="1"/>
        <v>483</v>
      </c>
      <c r="CP13" s="2597">
        <f t="shared" si="2"/>
        <v>0</v>
      </c>
    </row>
    <row r="14" spans="1:102">
      <c r="A14" s="182" t="s">
        <v>2282</v>
      </c>
      <c r="B14" s="1197">
        <v>8831485.8700000774</v>
      </c>
      <c r="C14" s="1197">
        <v>231721.54000000012</v>
      </c>
      <c r="D14" s="1197">
        <v>180913.12999999995</v>
      </c>
      <c r="E14" s="1197">
        <v>236778.05999999985</v>
      </c>
      <c r="F14" s="2600">
        <v>9480898.6000000797</v>
      </c>
      <c r="G14" s="1197">
        <v>2217956.260000003</v>
      </c>
      <c r="H14" s="1197">
        <v>198202.85</v>
      </c>
      <c r="I14" s="1197">
        <v>221284.99999999988</v>
      </c>
      <c r="J14" s="1197"/>
      <c r="K14" s="1197">
        <v>857939.02000000153</v>
      </c>
      <c r="L14" s="2600">
        <v>3495383.1300000045</v>
      </c>
      <c r="M14" s="1197">
        <v>12976281.730000084</v>
      </c>
      <c r="AR14" s="2566" t="s">
        <v>2313</v>
      </c>
      <c r="AS14" s="2576"/>
      <c r="AT14" s="2576"/>
      <c r="AU14" s="2575">
        <v>3.5000000000000003E-2</v>
      </c>
      <c r="AV14" s="2576"/>
      <c r="AZ14" s="182">
        <v>587000</v>
      </c>
      <c r="BA14" s="875">
        <v>66848.670000000013</v>
      </c>
      <c r="BB14" s="875">
        <v>79409.84</v>
      </c>
      <c r="BC14" s="875">
        <v>470194.3300000013</v>
      </c>
      <c r="BD14" s="875">
        <v>616452.84000000125</v>
      </c>
      <c r="BE14" s="2585">
        <f t="shared" si="3"/>
        <v>0.7627417695082731</v>
      </c>
      <c r="BF14" s="1131">
        <f t="shared" si="4"/>
        <v>0.2372582304917269</v>
      </c>
      <c r="BH14" s="182">
        <v>880000</v>
      </c>
      <c r="BI14" s="875">
        <v>187518.41000000009</v>
      </c>
      <c r="BJ14" s="875">
        <v>226750.12999999995</v>
      </c>
      <c r="BK14" s="875">
        <v>1155585.8700000043</v>
      </c>
      <c r="BL14" s="875">
        <v>1569854.4100000043</v>
      </c>
      <c r="BM14" s="2585">
        <f t="shared" si="5"/>
        <v>0.73611021674296606</v>
      </c>
      <c r="BN14" s="1131">
        <f t="shared" si="6"/>
        <v>0.26388978325703394</v>
      </c>
      <c r="BR14" s="182">
        <v>557000</v>
      </c>
      <c r="BS14" s="1197"/>
      <c r="BT14" s="1197"/>
      <c r="BU14" s="1197"/>
      <c r="BV14" s="2600"/>
      <c r="BW14" s="1197">
        <v>275587.59000000003</v>
      </c>
      <c r="BX14" s="1197"/>
      <c r="BY14" s="1197"/>
      <c r="BZ14" s="2600">
        <v>275587.59000000003</v>
      </c>
      <c r="CA14" s="1197">
        <v>275587.59000000003</v>
      </c>
      <c r="CB14" s="2560">
        <v>1</v>
      </c>
      <c r="CC14" s="2594">
        <v>0.64400000000000002</v>
      </c>
      <c r="CD14" s="1197">
        <f t="shared" si="7"/>
        <v>177478.40796000001</v>
      </c>
      <c r="CE14" s="1197">
        <f t="shared" si="8"/>
        <v>0</v>
      </c>
      <c r="CF14" s="1197">
        <f t="shared" si="9"/>
        <v>177478.40796000001</v>
      </c>
      <c r="CJ14" s="182">
        <v>551000</v>
      </c>
      <c r="CK14" s="875">
        <v>1500</v>
      </c>
      <c r="CL14" s="875"/>
      <c r="CM14" s="477">
        <f t="shared" si="0"/>
        <v>0.64400000000000002</v>
      </c>
      <c r="CO14" s="2597">
        <f t="shared" si="1"/>
        <v>966</v>
      </c>
      <c r="CP14" s="2597">
        <f t="shared" si="2"/>
        <v>0</v>
      </c>
    </row>
    <row r="15" spans="1:102">
      <c r="A15" s="182" t="s">
        <v>2281</v>
      </c>
      <c r="B15" s="1197">
        <v>468163.04999999778</v>
      </c>
      <c r="C15" s="1197">
        <v>9714.0600000000013</v>
      </c>
      <c r="D15" s="1197">
        <v>126132.03999999985</v>
      </c>
      <c r="E15" s="1197">
        <v>206603.76000000013</v>
      </c>
      <c r="F15" s="2600">
        <v>810612.9099999977</v>
      </c>
      <c r="G15" s="1197">
        <v>800750.8400000009</v>
      </c>
      <c r="H15" s="1197">
        <v>676175.01999999979</v>
      </c>
      <c r="I15" s="1197">
        <v>963011.57000000181</v>
      </c>
      <c r="J15" s="1197"/>
      <c r="K15" s="1197">
        <v>2762022.4699999923</v>
      </c>
      <c r="L15" s="2600">
        <v>5201959.8999999948</v>
      </c>
      <c r="M15" s="1197">
        <v>6012572.8099999931</v>
      </c>
      <c r="AR15" s="2566" t="s">
        <v>2312</v>
      </c>
      <c r="AS15" s="2576"/>
      <c r="AT15" s="2576"/>
      <c r="AU15" s="2574"/>
      <c r="AZ15" s="182">
        <v>584000</v>
      </c>
      <c r="BA15" s="875">
        <v>2047.25</v>
      </c>
      <c r="BB15" s="875"/>
      <c r="BC15" s="875">
        <v>461947.87999999977</v>
      </c>
      <c r="BD15" s="875">
        <v>463995.12999999977</v>
      </c>
      <c r="BE15" s="2585">
        <f t="shared" si="3"/>
        <v>0.99558777696653844</v>
      </c>
      <c r="BF15" s="1131">
        <f t="shared" si="4"/>
        <v>4.4122230334615598E-3</v>
      </c>
      <c r="BH15" s="182">
        <v>920000</v>
      </c>
      <c r="BI15" s="875">
        <v>4314238.6099999985</v>
      </c>
      <c r="BJ15" s="875">
        <v>1339071.3799999969</v>
      </c>
      <c r="BK15" s="875">
        <v>608723.81000000041</v>
      </c>
      <c r="BL15" s="875">
        <v>6262033.7999999961</v>
      </c>
      <c r="BM15" s="2585">
        <f t="shared" si="5"/>
        <v>9.7208643300520162E-2</v>
      </c>
      <c r="BN15" s="1131">
        <f t="shared" si="6"/>
        <v>0.90279135669947985</v>
      </c>
      <c r="BR15" s="182">
        <v>560000</v>
      </c>
      <c r="BS15" s="1197"/>
      <c r="BT15" s="1197"/>
      <c r="BU15" s="1197"/>
      <c r="BV15" s="2600"/>
      <c r="BW15" s="1197">
        <v>1687.69</v>
      </c>
      <c r="BX15" s="1197"/>
      <c r="BY15" s="1197"/>
      <c r="BZ15" s="2600">
        <v>1687.69</v>
      </c>
      <c r="CA15" s="1197">
        <v>1687.69</v>
      </c>
      <c r="CB15" s="2560">
        <v>1</v>
      </c>
      <c r="CC15" s="2594">
        <v>0.64400000000000002</v>
      </c>
      <c r="CD15" s="1197">
        <f t="shared" si="7"/>
        <v>1086.8723600000001</v>
      </c>
      <c r="CE15" s="1197">
        <f t="shared" si="8"/>
        <v>0</v>
      </c>
      <c r="CF15" s="1197">
        <f t="shared" si="9"/>
        <v>1086.8723600000001</v>
      </c>
      <c r="CJ15" s="182">
        <v>557000</v>
      </c>
      <c r="CK15" s="875">
        <v>16000</v>
      </c>
      <c r="CL15" s="875"/>
      <c r="CM15" s="477">
        <f t="shared" si="0"/>
        <v>0.64400000000000002</v>
      </c>
      <c r="CO15" s="2597">
        <f t="shared" si="1"/>
        <v>10304</v>
      </c>
      <c r="CP15" s="2597">
        <f t="shared" si="2"/>
        <v>0</v>
      </c>
    </row>
    <row r="16" spans="1:102">
      <c r="A16" s="182" t="s">
        <v>2280</v>
      </c>
      <c r="B16" s="1197">
        <v>1797230.100000001</v>
      </c>
      <c r="C16" s="1197">
        <v>46632.59</v>
      </c>
      <c r="D16" s="1197">
        <v>59252.160000000033</v>
      </c>
      <c r="E16" s="1197">
        <v>85855.679999999993</v>
      </c>
      <c r="F16" s="2600">
        <v>1988970.530000001</v>
      </c>
      <c r="G16" s="1197">
        <v>583292.00000000012</v>
      </c>
      <c r="H16" s="1197">
        <v>169449.77999999991</v>
      </c>
      <c r="I16" s="1197">
        <v>227768.2999999999</v>
      </c>
      <c r="J16" s="1197"/>
      <c r="K16" s="1197">
        <v>697171.57000000018</v>
      </c>
      <c r="L16" s="2600">
        <v>1677681.6500000001</v>
      </c>
      <c r="M16" s="1197">
        <v>3666652.1800000011</v>
      </c>
      <c r="AS16" s="2576"/>
      <c r="AT16" s="2582" t="str">
        <f xml:space="preserve"> "268/365 ="</f>
        <v>268/365 =</v>
      </c>
      <c r="AU16" s="2581">
        <f>ROUND(268/365,3)</f>
        <v>0.73399999999999999</v>
      </c>
      <c r="AV16" s="2576"/>
      <c r="AZ16" s="182">
        <v>593000</v>
      </c>
      <c r="BA16" s="875">
        <v>4121</v>
      </c>
      <c r="BB16" s="875">
        <v>533.80999999999995</v>
      </c>
      <c r="BC16" s="875">
        <v>2245295.2099999962</v>
      </c>
      <c r="BD16" s="875">
        <v>2249950.0199999963</v>
      </c>
      <c r="BE16" s="2585">
        <f t="shared" si="3"/>
        <v>0.99793114959949192</v>
      </c>
      <c r="BF16" s="1131">
        <f t="shared" si="4"/>
        <v>2.0688504005080821E-3</v>
      </c>
      <c r="BH16" s="182">
        <v>874000</v>
      </c>
      <c r="BI16" s="875">
        <v>271985.87999999995</v>
      </c>
      <c r="BJ16" s="875">
        <v>359027.87</v>
      </c>
      <c r="BK16" s="875">
        <v>1031072.0600000022</v>
      </c>
      <c r="BL16" s="875">
        <v>1662085.8100000022</v>
      </c>
      <c r="BM16" s="2585">
        <f t="shared" si="5"/>
        <v>0.62034827191022157</v>
      </c>
      <c r="BN16" s="1131">
        <f t="shared" si="6"/>
        <v>0.37965172808977843</v>
      </c>
      <c r="BR16" s="182">
        <v>580000</v>
      </c>
      <c r="BS16" s="1197"/>
      <c r="BT16" s="1197"/>
      <c r="BU16" s="1197"/>
      <c r="BV16" s="2600"/>
      <c r="BW16" s="1197">
        <v>54212.670000000013</v>
      </c>
      <c r="BX16" s="1197"/>
      <c r="BY16" s="1197"/>
      <c r="BZ16" s="2600">
        <v>54212.670000000013</v>
      </c>
      <c r="CA16" s="1197">
        <v>54212.670000000013</v>
      </c>
      <c r="CB16" s="2560">
        <v>3</v>
      </c>
      <c r="CC16" s="2594">
        <v>0.64117999999999997</v>
      </c>
      <c r="CD16" s="1197">
        <f t="shared" si="7"/>
        <v>34760.079750600009</v>
      </c>
      <c r="CE16" s="1197">
        <f t="shared" si="8"/>
        <v>0</v>
      </c>
      <c r="CF16" s="1197">
        <f t="shared" si="9"/>
        <v>34760.079750600009</v>
      </c>
      <c r="CJ16" s="182">
        <v>561510</v>
      </c>
      <c r="CK16" s="875">
        <v>4250</v>
      </c>
      <c r="CL16" s="875"/>
      <c r="CM16" s="477">
        <f t="shared" si="0"/>
        <v>0.64400000000000002</v>
      </c>
      <c r="CO16" s="2597">
        <f t="shared" si="1"/>
        <v>2737</v>
      </c>
      <c r="CP16" s="2597">
        <f t="shared" si="2"/>
        <v>0</v>
      </c>
    </row>
    <row r="17" spans="1:94" ht="13.5" thickBot="1">
      <c r="A17" s="1476" t="s">
        <v>978</v>
      </c>
      <c r="B17" s="2601">
        <v>11293719.370000076</v>
      </c>
      <c r="C17" s="2601">
        <v>299357.62000000011</v>
      </c>
      <c r="D17" s="2601">
        <v>423907.16999999987</v>
      </c>
      <c r="E17" s="2601">
        <v>543552.04</v>
      </c>
      <c r="F17" s="2601">
        <v>12560536.200000079</v>
      </c>
      <c r="G17" s="2601">
        <v>3716542.9800000037</v>
      </c>
      <c r="H17" s="2601">
        <v>1151951.9499999997</v>
      </c>
      <c r="I17" s="2601">
        <v>1943368.6000000022</v>
      </c>
      <c r="J17" s="2601"/>
      <c r="K17" s="2601">
        <v>5589540.4600000009</v>
      </c>
      <c r="L17" s="2601">
        <v>12401403.990000008</v>
      </c>
      <c r="M17" s="2601">
        <v>24961940.190000087</v>
      </c>
      <c r="AR17" s="2568" t="s">
        <v>3411</v>
      </c>
      <c r="AS17" s="2576"/>
      <c r="AT17" s="2576"/>
      <c r="AU17" s="2570">
        <f>ROUND(AU14*AU16,5)</f>
        <v>2.5690000000000001E-2</v>
      </c>
      <c r="AV17" s="2576"/>
      <c r="AZ17" s="182">
        <v>588000</v>
      </c>
      <c r="BA17" s="875">
        <v>1285961.0299999998</v>
      </c>
      <c r="BB17" s="875">
        <v>507035.42000000004</v>
      </c>
      <c r="BC17" s="875">
        <v>3812221.4699999909</v>
      </c>
      <c r="BD17" s="875">
        <v>5605217.9199999906</v>
      </c>
      <c r="BE17" s="2585">
        <f t="shared" si="3"/>
        <v>0.68012011743514822</v>
      </c>
      <c r="BF17" s="1131">
        <f t="shared" si="4"/>
        <v>0.31987988256485178</v>
      </c>
      <c r="BH17" s="182">
        <v>879000</v>
      </c>
      <c r="BI17" s="875">
        <v>-688.77999999999975</v>
      </c>
      <c r="BJ17" s="875">
        <v>77081.140000000014</v>
      </c>
      <c r="BK17" s="875">
        <v>1531736.2400000016</v>
      </c>
      <c r="BL17" s="875">
        <v>1608128.6000000017</v>
      </c>
      <c r="BM17" s="2585">
        <f t="shared" si="5"/>
        <v>0.95249611256214206</v>
      </c>
      <c r="BN17" s="1131">
        <f t="shared" si="6"/>
        <v>4.7503887437857939E-2</v>
      </c>
      <c r="BR17" s="182">
        <v>920000</v>
      </c>
      <c r="BS17" s="1197">
        <v>2176014.5099999998</v>
      </c>
      <c r="BT17" s="1197"/>
      <c r="BU17" s="1197"/>
      <c r="BV17" s="2600">
        <v>2176014.5099999998</v>
      </c>
      <c r="BW17" s="1197"/>
      <c r="BX17" s="1197"/>
      <c r="BY17" s="1197"/>
      <c r="BZ17" s="2600"/>
      <c r="CA17" s="1197">
        <v>2176014.5099999998</v>
      </c>
      <c r="CB17" s="2560">
        <v>4</v>
      </c>
      <c r="CC17" s="2594">
        <v>0.66942999999999997</v>
      </c>
      <c r="CD17" s="1197">
        <f t="shared" si="7"/>
        <v>1456689.3934292998</v>
      </c>
      <c r="CE17" s="1197">
        <f t="shared" si="8"/>
        <v>0</v>
      </c>
      <c r="CF17" s="1197">
        <f t="shared" si="9"/>
        <v>1456689.3934292998</v>
      </c>
      <c r="CJ17" s="182">
        <v>580000</v>
      </c>
      <c r="CK17" s="875">
        <v>22700</v>
      </c>
      <c r="CL17" s="875"/>
      <c r="CM17" s="477">
        <f>$CT$5</f>
        <v>0.64117999999999997</v>
      </c>
      <c r="CO17" s="2597">
        <f t="shared" si="1"/>
        <v>14554.786</v>
      </c>
      <c r="CP17" s="2597">
        <f t="shared" si="2"/>
        <v>0</v>
      </c>
    </row>
    <row r="18" spans="1:94" ht="13.5" thickTop="1">
      <c r="AS18" s="2576"/>
      <c r="AT18" s="2576"/>
      <c r="AU18" s="2574"/>
      <c r="AV18" s="2576"/>
      <c r="AZ18" s="182">
        <v>920000</v>
      </c>
      <c r="BA18" s="875">
        <v>16571977.949999994</v>
      </c>
      <c r="BB18" s="875">
        <v>4921667.3199999956</v>
      </c>
      <c r="BC18" s="875">
        <v>1352512.3499999989</v>
      </c>
      <c r="BD18" s="875">
        <v>22846157.619999986</v>
      </c>
      <c r="BE18" s="2585">
        <f t="shared" si="3"/>
        <v>5.9200867493621002E-2</v>
      </c>
      <c r="BF18" s="1131">
        <f t="shared" si="4"/>
        <v>0.94079913250637903</v>
      </c>
      <c r="BH18" s="182">
        <v>892000</v>
      </c>
      <c r="BI18" s="875">
        <v>30247.089999999989</v>
      </c>
      <c r="BJ18" s="875">
        <v>4857.3499999999995</v>
      </c>
      <c r="BK18" s="875">
        <v>674340.96000000148</v>
      </c>
      <c r="BL18" s="875">
        <v>709445.40000000142</v>
      </c>
      <c r="BM18" s="2585">
        <f t="shared" si="5"/>
        <v>0.95051847541755874</v>
      </c>
      <c r="BN18" s="1131">
        <f t="shared" si="6"/>
        <v>4.9481524582441261E-2</v>
      </c>
      <c r="BR18" s="182">
        <v>921000</v>
      </c>
      <c r="BS18" s="1197">
        <v>1732.0800000000004</v>
      </c>
      <c r="BT18" s="1197"/>
      <c r="BU18" s="1197"/>
      <c r="BV18" s="2600">
        <v>1732.0800000000004</v>
      </c>
      <c r="BW18" s="1197"/>
      <c r="BX18" s="1197"/>
      <c r="BY18" s="1197"/>
      <c r="BZ18" s="2600"/>
      <c r="CA18" s="1197">
        <v>1732.0800000000004</v>
      </c>
      <c r="CB18" s="2560">
        <v>4</v>
      </c>
      <c r="CC18" s="2594">
        <v>0.66942999999999997</v>
      </c>
      <c r="CD18" s="1197">
        <f t="shared" si="7"/>
        <v>1159.5063144000003</v>
      </c>
      <c r="CE18" s="1197">
        <f t="shared" si="8"/>
        <v>0</v>
      </c>
      <c r="CF18" s="1197">
        <f t="shared" si="9"/>
        <v>1159.5063144000003</v>
      </c>
      <c r="CJ18" s="182">
        <v>586000</v>
      </c>
      <c r="CK18" s="875">
        <v>1000</v>
      </c>
      <c r="CL18" s="875"/>
      <c r="CM18" s="477">
        <f>$CT$5</f>
        <v>0.64117999999999997</v>
      </c>
      <c r="CO18" s="2597">
        <f t="shared" si="1"/>
        <v>641.17999999999995</v>
      </c>
      <c r="CP18" s="2597">
        <f t="shared" si="2"/>
        <v>0</v>
      </c>
    </row>
    <row r="19" spans="1:94">
      <c r="AR19" s="2578" t="s">
        <v>2311</v>
      </c>
      <c r="AS19" s="2577"/>
      <c r="AT19" s="2576"/>
      <c r="AU19" s="2567"/>
      <c r="AV19" s="2576"/>
      <c r="AZ19" s="182">
        <v>566000</v>
      </c>
      <c r="BA19" s="875">
        <v>255303.76999999993</v>
      </c>
      <c r="BB19" s="875">
        <v>1100544.6600000011</v>
      </c>
      <c r="BC19" s="875">
        <v>342278.25999999989</v>
      </c>
      <c r="BD19" s="875">
        <v>1698126.6900000009</v>
      </c>
      <c r="BE19" s="2585">
        <f t="shared" si="3"/>
        <v>0.20156226388503423</v>
      </c>
      <c r="BF19" s="1131">
        <f t="shared" si="4"/>
        <v>0.79843773611496571</v>
      </c>
      <c r="BH19" s="182">
        <v>893000</v>
      </c>
      <c r="BI19" s="875"/>
      <c r="BJ19" s="875"/>
      <c r="BK19" s="875">
        <v>1149558.1200000006</v>
      </c>
      <c r="BL19" s="875">
        <v>1149558.1200000006</v>
      </c>
      <c r="BM19" s="2585">
        <f t="shared" si="5"/>
        <v>1</v>
      </c>
      <c r="BN19" s="1131">
        <f t="shared" si="6"/>
        <v>0</v>
      </c>
      <c r="BR19" s="182">
        <v>926100</v>
      </c>
      <c r="BS19" s="1197">
        <v>1108.31</v>
      </c>
      <c r="BT19" s="1197"/>
      <c r="BU19" s="1197"/>
      <c r="BV19" s="2600">
        <v>1108.31</v>
      </c>
      <c r="BW19" s="1197"/>
      <c r="BX19" s="1197"/>
      <c r="BY19" s="1197"/>
      <c r="BZ19" s="2600"/>
      <c r="CA19" s="1197">
        <v>1108.31</v>
      </c>
      <c r="CB19" s="2560">
        <v>4</v>
      </c>
      <c r="CC19" s="2594">
        <v>0.66942999999999997</v>
      </c>
      <c r="CD19" s="1197">
        <f t="shared" si="7"/>
        <v>741.93596329999991</v>
      </c>
      <c r="CE19" s="1197">
        <f t="shared" si="8"/>
        <v>0</v>
      </c>
      <c r="CF19" s="1197">
        <f t="shared" si="9"/>
        <v>741.93596329999991</v>
      </c>
      <c r="CJ19" s="182">
        <v>588000</v>
      </c>
      <c r="CK19" s="875">
        <v>8200</v>
      </c>
      <c r="CL19" s="875"/>
      <c r="CM19" s="477">
        <f>$CT$5</f>
        <v>0.64117999999999997</v>
      </c>
      <c r="CO19" s="2597">
        <f t="shared" si="1"/>
        <v>5257.6759999999995</v>
      </c>
      <c r="CP19" s="2597">
        <f t="shared" si="2"/>
        <v>0</v>
      </c>
    </row>
    <row r="20" spans="1:94">
      <c r="AR20" s="2566" t="s">
        <v>2310</v>
      </c>
      <c r="AS20" s="2576"/>
      <c r="AT20" s="2576"/>
      <c r="AU20" s="3684">
        <v>0.05</v>
      </c>
      <c r="AV20" s="3685" t="s">
        <v>3412</v>
      </c>
      <c r="AZ20" s="182">
        <v>542000</v>
      </c>
      <c r="BA20" s="875">
        <v>2966.71</v>
      </c>
      <c r="BB20" s="875">
        <v>1160.68</v>
      </c>
      <c r="BC20" s="875">
        <v>207126.68999999997</v>
      </c>
      <c r="BD20" s="875">
        <v>211254.08</v>
      </c>
      <c r="BE20" s="2585">
        <f t="shared" si="3"/>
        <v>0.98046243651246867</v>
      </c>
      <c r="BF20" s="1131">
        <f t="shared" si="4"/>
        <v>1.9537563487531329E-2</v>
      </c>
      <c r="BH20" s="182">
        <v>928000</v>
      </c>
      <c r="BI20" s="875">
        <v>282277.44</v>
      </c>
      <c r="BJ20" s="875">
        <v>3087.7499999999995</v>
      </c>
      <c r="BK20" s="875"/>
      <c r="BL20" s="875">
        <v>285365.19</v>
      </c>
      <c r="BM20" s="2585">
        <f t="shared" si="5"/>
        <v>0</v>
      </c>
      <c r="BN20" s="1131">
        <f t="shared" si="6"/>
        <v>1</v>
      </c>
      <c r="BR20" s="182">
        <v>928000</v>
      </c>
      <c r="BS20" s="1197"/>
      <c r="BT20" s="1197">
        <v>33886.32</v>
      </c>
      <c r="BU20" s="1197">
        <v>36784.270000000004</v>
      </c>
      <c r="BV20" s="2600">
        <v>70670.59</v>
      </c>
      <c r="BW20" s="1197"/>
      <c r="BX20" s="1197">
        <v>2047.5900000000001</v>
      </c>
      <c r="BY20" s="1197">
        <v>1331.73</v>
      </c>
      <c r="BZ20" s="2600">
        <v>3379.32</v>
      </c>
      <c r="CA20" s="1197">
        <v>74049.909999999989</v>
      </c>
      <c r="CB20" s="2560">
        <v>4</v>
      </c>
      <c r="CC20" s="2594">
        <v>0.66942999999999997</v>
      </c>
      <c r="CD20" s="1197">
        <f t="shared" si="7"/>
        <v>0</v>
      </c>
      <c r="CE20" s="1197">
        <f t="shared" si="8"/>
        <v>38116.000000000007</v>
      </c>
      <c r="CF20" s="1197">
        <f t="shared" si="9"/>
        <v>38116.000000000007</v>
      </c>
      <c r="CJ20" s="182">
        <v>590000</v>
      </c>
      <c r="CK20" s="875">
        <v>13000</v>
      </c>
      <c r="CL20" s="875"/>
      <c r="CM20" s="477">
        <f>$CT$5</f>
        <v>0.64117999999999997</v>
      </c>
      <c r="CO20" s="2597">
        <f t="shared" si="1"/>
        <v>8335.34</v>
      </c>
      <c r="CP20" s="2597">
        <f t="shared" si="2"/>
        <v>0</v>
      </c>
    </row>
    <row r="21" spans="1:94">
      <c r="A21" s="2602" t="s">
        <v>679</v>
      </c>
      <c r="B21" s="2602" t="s">
        <v>1701</v>
      </c>
      <c r="D21" s="1401" t="s">
        <v>2279</v>
      </c>
      <c r="AR21" s="2566" t="s">
        <v>3413</v>
      </c>
      <c r="AU21" s="2574"/>
      <c r="AZ21" s="182">
        <v>592000</v>
      </c>
      <c r="BA21" s="875">
        <v>567.72</v>
      </c>
      <c r="BB21" s="875">
        <v>29.01</v>
      </c>
      <c r="BC21" s="875">
        <v>441030.86999999976</v>
      </c>
      <c r="BD21" s="875">
        <v>441627.59999999974</v>
      </c>
      <c r="BE21" s="2585">
        <f t="shared" si="3"/>
        <v>0.99864879368952486</v>
      </c>
      <c r="BF21" s="1131">
        <f t="shared" si="4"/>
        <v>1.3512063104751393E-3</v>
      </c>
      <c r="BH21" s="182">
        <v>908000</v>
      </c>
      <c r="BI21" s="875">
        <v>171274.4</v>
      </c>
      <c r="BJ21" s="875"/>
      <c r="BK21" s="875"/>
      <c r="BL21" s="875">
        <v>171274.4</v>
      </c>
      <c r="BM21" s="2585">
        <f t="shared" si="5"/>
        <v>0</v>
      </c>
      <c r="BN21" s="1131">
        <f t="shared" si="6"/>
        <v>1</v>
      </c>
      <c r="BR21" s="182">
        <v>930200</v>
      </c>
      <c r="BS21" s="1197">
        <v>28951.18</v>
      </c>
      <c r="BT21" s="1197"/>
      <c r="BU21" s="1197"/>
      <c r="BV21" s="2600">
        <v>28951.18</v>
      </c>
      <c r="BW21" s="1197"/>
      <c r="BX21" s="1197"/>
      <c r="BY21" s="1197"/>
      <c r="BZ21" s="2600"/>
      <c r="CA21" s="1197">
        <v>28951.18</v>
      </c>
      <c r="CB21" s="2560">
        <v>4</v>
      </c>
      <c r="CC21" s="2594">
        <v>0.66942999999999997</v>
      </c>
      <c r="CD21" s="1197">
        <f t="shared" si="7"/>
        <v>19380.788427399999</v>
      </c>
      <c r="CE21" s="1197">
        <f t="shared" si="8"/>
        <v>0</v>
      </c>
      <c r="CF21" s="1197">
        <f t="shared" si="9"/>
        <v>19380.788427399999</v>
      </c>
      <c r="CJ21" s="182">
        <v>813000</v>
      </c>
      <c r="CK21" s="875"/>
      <c r="CL21" s="875">
        <v>3792.45</v>
      </c>
      <c r="CN21" s="477">
        <f>CW7</f>
        <v>0.6845</v>
      </c>
      <c r="CO21" s="2597">
        <f t="shared" si="1"/>
        <v>0</v>
      </c>
      <c r="CP21" s="2597">
        <f t="shared" si="2"/>
        <v>2595.9320250000001</v>
      </c>
    </row>
    <row r="22" spans="1:94">
      <c r="A22" s="2602" t="s">
        <v>1758</v>
      </c>
      <c r="B22" s="2602" t="s">
        <v>1745</v>
      </c>
      <c r="D22" s="1401" t="s">
        <v>2278</v>
      </c>
      <c r="AT22" s="2573" t="str">
        <f>"365/365="</f>
        <v>365/365=</v>
      </c>
      <c r="AU22" s="2572">
        <f>ROUND(365/365,3)</f>
        <v>1</v>
      </c>
      <c r="AZ22" s="182">
        <v>595000</v>
      </c>
      <c r="BA22" s="875"/>
      <c r="BB22" s="875">
        <v>159.72999999999999</v>
      </c>
      <c r="BC22" s="875">
        <v>354095.21000000066</v>
      </c>
      <c r="BD22" s="875">
        <v>354254.94000000064</v>
      </c>
      <c r="BE22" s="2585">
        <f t="shared" si="3"/>
        <v>0.99954911002793645</v>
      </c>
      <c r="BF22" s="1131">
        <f t="shared" si="4"/>
        <v>4.5088997206355064E-4</v>
      </c>
      <c r="BH22" s="182">
        <v>921000</v>
      </c>
      <c r="BI22" s="875">
        <v>29125.799999999916</v>
      </c>
      <c r="BJ22" s="875">
        <v>2572.4199999999996</v>
      </c>
      <c r="BK22" s="875">
        <v>14798.119999999964</v>
      </c>
      <c r="BL22" s="875">
        <v>46496.33999999988</v>
      </c>
      <c r="BM22" s="2585">
        <f t="shared" si="5"/>
        <v>0.31826419025669556</v>
      </c>
      <c r="BN22" s="1131">
        <f t="shared" si="6"/>
        <v>0.68173580974330439</v>
      </c>
      <c r="BR22" s="1476" t="s">
        <v>978</v>
      </c>
      <c r="BS22" s="2601">
        <v>2207806.08</v>
      </c>
      <c r="BT22" s="2601">
        <v>33886.32</v>
      </c>
      <c r="BU22" s="2601">
        <v>36784.270000000004</v>
      </c>
      <c r="BV22" s="2601">
        <v>2278476.67</v>
      </c>
      <c r="BW22" s="2601">
        <v>334146.60000000009</v>
      </c>
      <c r="BX22" s="2601">
        <v>2047.5900000000001</v>
      </c>
      <c r="BY22" s="2601">
        <v>1331.73</v>
      </c>
      <c r="BZ22" s="2601">
        <v>337525.9200000001</v>
      </c>
      <c r="CA22" s="2601">
        <v>2616002.5900000003</v>
      </c>
      <c r="CD22" s="1197">
        <f>SUM(CD13:CD21)</f>
        <v>1693009.1548049997</v>
      </c>
      <c r="CE22" s="1197">
        <f>SUM(CE13:CE21)</f>
        <v>38116.000000000007</v>
      </c>
      <c r="CF22" s="2593">
        <f>SUM(CF13:CF21)</f>
        <v>1731125.1548049997</v>
      </c>
      <c r="CJ22" s="182">
        <v>870000</v>
      </c>
      <c r="CK22" s="875"/>
      <c r="CL22" s="875">
        <v>2758.4100000000003</v>
      </c>
      <c r="CN22" s="477">
        <f>CW4</f>
        <v>0.71040000000000003</v>
      </c>
      <c r="CO22" s="2597">
        <f t="shared" si="1"/>
        <v>0</v>
      </c>
      <c r="CP22" s="2597">
        <f t="shared" si="2"/>
        <v>1959.5744640000003</v>
      </c>
    </row>
    <row r="23" spans="1:94" ht="13.5" thickBot="1">
      <c r="A23" s="2602" t="s">
        <v>2277</v>
      </c>
      <c r="B23" s="2602" t="s">
        <v>2276</v>
      </c>
      <c r="D23" s="1401" t="s">
        <v>2275</v>
      </c>
      <c r="AR23" s="2568" t="s">
        <v>2298</v>
      </c>
      <c r="AU23" s="2570">
        <f>ROUND(AU20*AU22,5)</f>
        <v>0.05</v>
      </c>
      <c r="AV23" s="2576"/>
      <c r="AZ23" s="182">
        <v>538000</v>
      </c>
      <c r="BA23" s="875">
        <v>-8.5265128291212022E-14</v>
      </c>
      <c r="BB23" s="875">
        <v>18109.099999999999</v>
      </c>
      <c r="BC23" s="875">
        <v>5838299.2800000198</v>
      </c>
      <c r="BD23" s="875">
        <v>5856408.3800000194</v>
      </c>
      <c r="BE23" s="2585">
        <f t="shared" si="3"/>
        <v>0.99690781468351097</v>
      </c>
      <c r="BF23" s="1131">
        <f t="shared" si="4"/>
        <v>3.0921853164890267E-3</v>
      </c>
      <c r="BH23" s="182">
        <v>891000</v>
      </c>
      <c r="BI23" s="875">
        <v>1588.13</v>
      </c>
      <c r="BJ23" s="875">
        <v>679.5</v>
      </c>
      <c r="BK23" s="875">
        <v>40194.999999999993</v>
      </c>
      <c r="BL23" s="875">
        <v>42462.62999999999</v>
      </c>
      <c r="BM23" s="2585">
        <f t="shared" si="5"/>
        <v>0.94659704309412773</v>
      </c>
      <c r="BN23" s="1131">
        <f t="shared" si="6"/>
        <v>5.3402956905872268E-2</v>
      </c>
      <c r="BR23" s="182"/>
      <c r="BS23" s="2595"/>
      <c r="BT23" s="2595"/>
      <c r="BU23" s="2595"/>
      <c r="BV23" s="2595"/>
      <c r="BW23" s="2595"/>
      <c r="BX23" s="2595"/>
      <c r="BY23" s="2595"/>
      <c r="CJ23" s="182">
        <v>902000</v>
      </c>
      <c r="CK23" s="875">
        <v>1357.41</v>
      </c>
      <c r="CL23" s="875">
        <v>892.58999999999992</v>
      </c>
      <c r="CM23" s="477">
        <f>$CT$4</f>
        <v>0.65115999999999996</v>
      </c>
      <c r="CN23" s="477">
        <f>$CW$3</f>
        <v>0.65400999999999998</v>
      </c>
      <c r="CO23" s="2597">
        <f t="shared" si="1"/>
        <v>883.89109559999997</v>
      </c>
      <c r="CP23" s="2597">
        <f t="shared" si="2"/>
        <v>583.76278589999993</v>
      </c>
    </row>
    <row r="24" spans="1:94" ht="13.5" thickTop="1">
      <c r="B24" s="477"/>
      <c r="AU24" s="2574"/>
      <c r="AZ24" s="182">
        <v>598000</v>
      </c>
      <c r="BA24" s="875">
        <v>37736.550000000003</v>
      </c>
      <c r="BB24" s="875">
        <v>1091.0299999999997</v>
      </c>
      <c r="BC24" s="875">
        <v>613479.72</v>
      </c>
      <c r="BD24" s="875">
        <v>652307.29999999993</v>
      </c>
      <c r="BE24" s="2585">
        <f t="shared" si="3"/>
        <v>0.94047655146585063</v>
      </c>
      <c r="BF24" s="1131">
        <f t="shared" si="4"/>
        <v>5.952344853414937E-2</v>
      </c>
      <c r="BH24" s="182">
        <v>887000</v>
      </c>
      <c r="BI24" s="875">
        <v>1395.75</v>
      </c>
      <c r="BJ24" s="875">
        <v>43880.099999999991</v>
      </c>
      <c r="BK24" s="875">
        <v>614212.83000000182</v>
      </c>
      <c r="BL24" s="875">
        <v>659488.6800000018</v>
      </c>
      <c r="BM24" s="2585">
        <f t="shared" si="5"/>
        <v>0.93134703995222501</v>
      </c>
      <c r="BN24" s="1131">
        <f t="shared" si="6"/>
        <v>6.8652960047774991E-2</v>
      </c>
      <c r="BS24" s="477"/>
      <c r="BT24" s="2595"/>
      <c r="BU24" s="2595"/>
      <c r="BV24" s="2595"/>
      <c r="BW24" s="2595"/>
      <c r="BX24" s="2595"/>
      <c r="BY24" s="2595"/>
      <c r="CJ24" s="182">
        <v>903000</v>
      </c>
      <c r="CK24" s="875">
        <v>1043.2</v>
      </c>
      <c r="CL24" s="875">
        <v>685.22</v>
      </c>
      <c r="CM24" s="477">
        <f>$CT$4</f>
        <v>0.65115999999999996</v>
      </c>
      <c r="CN24" s="477">
        <f>$CW$3</f>
        <v>0.65400999999999998</v>
      </c>
      <c r="CO24" s="2597">
        <f t="shared" si="1"/>
        <v>679.29011200000002</v>
      </c>
      <c r="CP24" s="2597">
        <f t="shared" si="2"/>
        <v>448.1407322</v>
      </c>
    </row>
    <row r="25" spans="1:94">
      <c r="A25" s="2603" t="s">
        <v>2274</v>
      </c>
      <c r="B25" s="2603" t="s">
        <v>1252</v>
      </c>
      <c r="C25" s="2603"/>
      <c r="D25" s="2603"/>
      <c r="E25" s="2603"/>
      <c r="F25" s="2603"/>
      <c r="G25" s="2603"/>
      <c r="H25" s="2603"/>
      <c r="I25" s="2603"/>
      <c r="J25" s="2603"/>
      <c r="K25" s="2603"/>
      <c r="L25" s="2603"/>
      <c r="M25" s="2603"/>
      <c r="O25" s="2563" t="s">
        <v>763</v>
      </c>
      <c r="P25" s="2562" t="s">
        <v>2273</v>
      </c>
      <c r="Q25" s="2562"/>
      <c r="R25" s="2562" t="s">
        <v>2272</v>
      </c>
      <c r="S25" s="2562" t="s">
        <v>2271</v>
      </c>
      <c r="T25" s="2562" t="s">
        <v>2270</v>
      </c>
      <c r="V25" s="3987" t="s">
        <v>1121</v>
      </c>
      <c r="W25" s="3987"/>
      <c r="Y25" s="3988" t="s">
        <v>2261</v>
      </c>
      <c r="Z25" s="3989"/>
      <c r="AA25" s="3989"/>
      <c r="AB25" s="3989"/>
      <c r="AC25" s="3990"/>
      <c r="AE25" s="3988" t="s">
        <v>2262</v>
      </c>
      <c r="AF25" s="3989"/>
      <c r="AG25" s="3989"/>
      <c r="AH25" s="3989"/>
      <c r="AI25" s="3990"/>
      <c r="AK25" s="3991" t="s">
        <v>2269</v>
      </c>
      <c r="AL25" s="3992"/>
      <c r="AM25" s="3992"/>
      <c r="AN25" s="3993"/>
      <c r="AR25" s="2578" t="s">
        <v>2309</v>
      </c>
      <c r="AS25" s="2577"/>
      <c r="AT25" s="2576"/>
      <c r="AU25" s="2567"/>
      <c r="AV25" s="2576"/>
      <c r="AZ25" s="182">
        <v>928000</v>
      </c>
      <c r="BA25" s="875">
        <v>1083652.9099999999</v>
      </c>
      <c r="BB25" s="875">
        <v>11615.29</v>
      </c>
      <c r="BC25" s="875"/>
      <c r="BD25" s="875">
        <v>1095268.2</v>
      </c>
      <c r="BE25" s="2585">
        <f t="shared" si="3"/>
        <v>0</v>
      </c>
      <c r="BF25" s="1131">
        <f t="shared" si="4"/>
        <v>1</v>
      </c>
      <c r="BH25" s="182">
        <v>878000</v>
      </c>
      <c r="BI25" s="875">
        <v>1465.1</v>
      </c>
      <c r="BJ25" s="875">
        <v>433.55</v>
      </c>
      <c r="BK25" s="875">
        <v>4825.3200000000015</v>
      </c>
      <c r="BL25" s="875">
        <v>6723.9700000000012</v>
      </c>
      <c r="BM25" s="2585">
        <f t="shared" si="5"/>
        <v>0.71762961464729924</v>
      </c>
      <c r="BN25" s="1131">
        <f t="shared" si="6"/>
        <v>0.28237038535270076</v>
      </c>
      <c r="BR25" s="1556" t="s">
        <v>679</v>
      </c>
      <c r="BS25" s="1556" t="s">
        <v>1701</v>
      </c>
      <c r="CJ25" s="182">
        <v>920000</v>
      </c>
      <c r="CK25" s="875">
        <v>100369.36999999991</v>
      </c>
      <c r="CL25" s="875">
        <v>26033.869999999988</v>
      </c>
      <c r="CM25" s="477">
        <f t="shared" ref="CM25:CM30" si="10">$CT$6</f>
        <v>0.66942999999999997</v>
      </c>
      <c r="CN25" s="477">
        <f t="shared" ref="CN25:CN30" si="11">$CW$5</f>
        <v>0.71745999999999999</v>
      </c>
      <c r="CO25" s="2597">
        <f t="shared" si="1"/>
        <v>67190.267359099933</v>
      </c>
      <c r="CP25" s="2597">
        <f t="shared" si="2"/>
        <v>18678.260370199991</v>
      </c>
    </row>
    <row r="26" spans="1:94" ht="38">
      <c r="A26" s="2603"/>
      <c r="B26" s="2603" t="s">
        <v>682</v>
      </c>
      <c r="C26" s="2603"/>
      <c r="D26" s="2603"/>
      <c r="E26" s="2603"/>
      <c r="F26" s="2604" t="s">
        <v>2268</v>
      </c>
      <c r="G26" s="2603" t="s">
        <v>680</v>
      </c>
      <c r="H26" s="2603"/>
      <c r="I26" s="2603"/>
      <c r="J26" s="2603"/>
      <c r="K26" s="2603"/>
      <c r="L26" s="2604" t="s">
        <v>2267</v>
      </c>
      <c r="M26" s="2603" t="s">
        <v>978</v>
      </c>
      <c r="O26" s="2565" t="s">
        <v>739</v>
      </c>
      <c r="P26" s="2562" t="s">
        <v>739</v>
      </c>
      <c r="Q26" s="2562" t="s">
        <v>2266</v>
      </c>
      <c r="R26" s="2562" t="s">
        <v>2265</v>
      </c>
      <c r="S26" s="2562" t="s">
        <v>2264</v>
      </c>
      <c r="T26" s="2562" t="s">
        <v>2263</v>
      </c>
      <c r="V26" s="2562" t="s">
        <v>2262</v>
      </c>
      <c r="W26" s="2562" t="s">
        <v>2261</v>
      </c>
      <c r="Y26" s="2564" t="s">
        <v>2341</v>
      </c>
      <c r="Z26" s="2564" t="s">
        <v>2342</v>
      </c>
      <c r="AA26" s="2564">
        <v>2024</v>
      </c>
      <c r="AB26" s="2564">
        <v>2025</v>
      </c>
      <c r="AC26" s="2564">
        <v>2026</v>
      </c>
      <c r="AE26" s="2564" t="s">
        <v>2341</v>
      </c>
      <c r="AF26" s="2564" t="s">
        <v>2342</v>
      </c>
      <c r="AG26" s="2564">
        <v>2024</v>
      </c>
      <c r="AH26" s="2564">
        <v>2025</v>
      </c>
      <c r="AI26" s="2564">
        <v>2026</v>
      </c>
      <c r="AK26" s="2548" t="s">
        <v>2343</v>
      </c>
      <c r="AL26" s="2548">
        <v>2024</v>
      </c>
      <c r="AM26" s="2548">
        <v>2025</v>
      </c>
      <c r="AN26" s="2548">
        <v>2026</v>
      </c>
      <c r="AR26" s="2566" t="s">
        <v>2308</v>
      </c>
      <c r="AS26" s="2576"/>
      <c r="AT26" s="2576"/>
      <c r="AU26" s="3684">
        <v>0.05</v>
      </c>
      <c r="AV26" s="2576"/>
      <c r="AZ26" s="182">
        <v>583000</v>
      </c>
      <c r="BA26" s="875">
        <v>380808.91999999993</v>
      </c>
      <c r="BB26" s="875">
        <v>7041.88</v>
      </c>
      <c r="BC26" s="875">
        <v>822342.47000000137</v>
      </c>
      <c r="BD26" s="875">
        <v>1210193.2700000014</v>
      </c>
      <c r="BE26" s="2585">
        <f t="shared" si="3"/>
        <v>0.67951333922060264</v>
      </c>
      <c r="BF26" s="1131">
        <f t="shared" si="4"/>
        <v>0.32048666077939736</v>
      </c>
      <c r="BH26" s="182">
        <v>905000</v>
      </c>
      <c r="BI26" s="875">
        <v>17353.530000000002</v>
      </c>
      <c r="BJ26" s="875">
        <v>146695.41000000041</v>
      </c>
      <c r="BK26" s="875">
        <v>3075.5300000000007</v>
      </c>
      <c r="BL26" s="875">
        <v>167124.47000000041</v>
      </c>
      <c r="BM26" s="2585">
        <f t="shared" si="5"/>
        <v>1.840263128433552E-2</v>
      </c>
      <c r="BN26" s="1131">
        <f t="shared" si="6"/>
        <v>0.9815973687156645</v>
      </c>
      <c r="BR26" s="1556" t="s">
        <v>1758</v>
      </c>
      <c r="BS26" s="1556" t="s">
        <v>1745</v>
      </c>
      <c r="CJ26" s="182">
        <v>921000</v>
      </c>
      <c r="CK26" s="875">
        <v>3704.2</v>
      </c>
      <c r="CL26" s="875">
        <v>1067.97</v>
      </c>
      <c r="CM26" s="477">
        <f t="shared" si="10"/>
        <v>0.66942999999999997</v>
      </c>
      <c r="CN26" s="477">
        <f t="shared" si="11"/>
        <v>0.71745999999999999</v>
      </c>
      <c r="CO26" s="2597">
        <f t="shared" si="1"/>
        <v>2479.7026059999998</v>
      </c>
      <c r="CP26" s="2597">
        <f t="shared" si="2"/>
        <v>766.22575619999998</v>
      </c>
    </row>
    <row r="27" spans="1:94">
      <c r="A27" s="2603" t="s">
        <v>1170</v>
      </c>
      <c r="B27" s="2603" t="s">
        <v>678</v>
      </c>
      <c r="C27" s="2603" t="s">
        <v>677</v>
      </c>
      <c r="D27" s="2603" t="s">
        <v>683</v>
      </c>
      <c r="E27" s="2603" t="s">
        <v>763</v>
      </c>
      <c r="F27" s="2604"/>
      <c r="G27" s="2603" t="s">
        <v>678</v>
      </c>
      <c r="H27" s="2603" t="s">
        <v>677</v>
      </c>
      <c r="I27" s="2603" t="s">
        <v>683</v>
      </c>
      <c r="J27" s="2603" t="s">
        <v>676</v>
      </c>
      <c r="K27" s="2603" t="s">
        <v>763</v>
      </c>
      <c r="L27" s="2604"/>
      <c r="M27" s="2603"/>
      <c r="O27" s="2563" t="s">
        <v>2260</v>
      </c>
      <c r="P27" s="2562"/>
      <c r="Q27" s="2562"/>
      <c r="R27" s="2562" t="s">
        <v>24</v>
      </c>
      <c r="S27" s="2562" t="s">
        <v>2259</v>
      </c>
      <c r="T27" s="2562" t="s">
        <v>11</v>
      </c>
      <c r="V27" s="2254"/>
      <c r="W27" s="2254"/>
      <c r="Y27" s="937"/>
      <c r="Z27" s="2561">
        <f>+AU47</f>
        <v>3.9960000000000002E-2</v>
      </c>
      <c r="AA27" s="1117">
        <f>+AU53</f>
        <v>0.04</v>
      </c>
      <c r="AB27" s="1117">
        <f>+AU59</f>
        <v>2.5139999999999999E-2</v>
      </c>
      <c r="AC27" s="1117">
        <f>+AU69</f>
        <v>0.03</v>
      </c>
      <c r="AE27" s="937"/>
      <c r="AF27" s="2561">
        <f>+AU17</f>
        <v>2.5690000000000001E-2</v>
      </c>
      <c r="AG27" s="1117">
        <f>+AU23</f>
        <v>0.05</v>
      </c>
      <c r="AH27" s="1117">
        <f>+AU29</f>
        <v>3.8199999999999998E-2</v>
      </c>
      <c r="AI27" s="1117">
        <f>+AU39</f>
        <v>3.4720000000000001E-2</v>
      </c>
      <c r="AK27" s="1117"/>
      <c r="AL27" s="1117"/>
      <c r="AM27" s="1117"/>
      <c r="AN27" s="1117"/>
      <c r="AR27" s="2566" t="s">
        <v>3414</v>
      </c>
      <c r="AU27" s="2574"/>
      <c r="AZ27" s="182">
        <v>594000</v>
      </c>
      <c r="BA27" s="875"/>
      <c r="BB27" s="875"/>
      <c r="BC27" s="875">
        <v>614973.21000000136</v>
      </c>
      <c r="BD27" s="875">
        <v>614973.21000000136</v>
      </c>
      <c r="BE27" s="2585">
        <f t="shared" si="3"/>
        <v>1</v>
      </c>
      <c r="BF27" s="1131">
        <f t="shared" si="4"/>
        <v>0</v>
      </c>
      <c r="BH27" s="182">
        <v>813000</v>
      </c>
      <c r="BI27" s="875">
        <v>674111.46000000008</v>
      </c>
      <c r="BJ27" s="875"/>
      <c r="BK27" s="875"/>
      <c r="BL27" s="875">
        <v>674111.46000000008</v>
      </c>
      <c r="BM27" s="2585">
        <f t="shared" si="5"/>
        <v>0</v>
      </c>
      <c r="BN27" s="1131">
        <f t="shared" si="6"/>
        <v>1</v>
      </c>
      <c r="BR27" s="1556" t="s">
        <v>2277</v>
      </c>
      <c r="BS27" s="1556" t="s">
        <v>2276</v>
      </c>
      <c r="CJ27" s="182">
        <v>926100</v>
      </c>
      <c r="CK27" s="875">
        <v>4948.6599999999989</v>
      </c>
      <c r="CL27" s="875">
        <v>1415.96</v>
      </c>
      <c r="CM27" s="477">
        <f t="shared" si="10"/>
        <v>0.66942999999999997</v>
      </c>
      <c r="CN27" s="477">
        <f t="shared" si="11"/>
        <v>0.71745999999999999</v>
      </c>
      <c r="CO27" s="2597">
        <f t="shared" si="1"/>
        <v>3312.7814637999991</v>
      </c>
      <c r="CP27" s="2597">
        <f t="shared" si="2"/>
        <v>1015.8946616000001</v>
      </c>
    </row>
    <row r="28" spans="1:94">
      <c r="A28" s="2557">
        <v>813000</v>
      </c>
      <c r="B28" s="2553"/>
      <c r="C28" s="2553"/>
      <c r="D28" s="2553"/>
      <c r="E28" s="2553"/>
      <c r="F28" s="2605"/>
      <c r="G28" s="2553">
        <v>885318.23999999976</v>
      </c>
      <c r="H28" s="2553"/>
      <c r="I28" s="2553"/>
      <c r="J28" s="2553"/>
      <c r="K28" s="2553">
        <v>77311.630000000019</v>
      </c>
      <c r="L28" s="2605">
        <v>962629.86999999976</v>
      </c>
      <c r="M28" s="2553">
        <v>962629.86999999976</v>
      </c>
      <c r="N28" s="2560">
        <f>$B$72</f>
        <v>10</v>
      </c>
      <c r="O28" s="2559">
        <f t="shared" ref="O28:O60" si="12">IF(N28=$B$69,$C$69,IF(N28=$B$70,$C$70,IF(N28=$B$71,$C$71,IF(N28=$B$72,$C$72,IF(N28=$B$73,$C$73,0)))))</f>
        <v>0.67015999999999998</v>
      </c>
      <c r="P28" s="2553">
        <f t="shared" ref="P28:P60" si="13">(O28*B28)+(O28*C28)+(O28*G28)+(O28*H28)</f>
        <v>593304.87171839981</v>
      </c>
      <c r="Q28" s="2553">
        <f t="shared" ref="Q28:Q60" si="14">E28+K28</f>
        <v>77311.630000000019</v>
      </c>
      <c r="R28" s="2553">
        <f t="shared" ref="R28:R60" si="15">Q28+P28</f>
        <v>670616.50171839981</v>
      </c>
      <c r="S28" s="2553">
        <f>-IFERROR(VLOOKUP(A28,'G-3.05,5.02 PF NE Labor'!$BR$33:$CD$40,13,FALSE),0)</f>
        <v>-88837.656097600004</v>
      </c>
      <c r="T28" s="2553">
        <f t="shared" ref="T28:T61" si="16">R28+S28</f>
        <v>581778.84562079981</v>
      </c>
      <c r="V28" s="2552">
        <f>VLOOKUP(A28,'G-3.05,5.02 PF NE Labor'!$BH$13:$BN$46,6,FALSE)</f>
        <v>0</v>
      </c>
      <c r="W28" s="2552">
        <f>VLOOKUP(A28,'G-3.05,5.02 PF NE Labor'!$BH$13:$BN$46,7,FALSE)</f>
        <v>1</v>
      </c>
      <c r="Y28" s="2558">
        <f t="shared" ref="Y28:Y60" si="17">T28*W28</f>
        <v>581778.84562079981</v>
      </c>
      <c r="Z28" s="2558">
        <f t="shared" ref="Z28:Z60" si="18">Y28*$Z$27</f>
        <v>23247.882671007163</v>
      </c>
      <c r="AA28" s="2558">
        <f t="shared" ref="AA28:AA60" si="19">(Y28+Z28)*$AA$27</f>
        <v>24201.06913167228</v>
      </c>
      <c r="AB28" s="2558">
        <f t="shared" ref="AB28:AB60" si="20">(Y28+Z28+AA28)*$AB$27</f>
        <v>15818.786827226268</v>
      </c>
      <c r="AC28" s="2558">
        <f t="shared" ref="AC28:AC60" si="21">(Y28+Z28+AA28+AB28)*$AC$27</f>
        <v>19351.397527521167</v>
      </c>
      <c r="AE28" s="2558">
        <f t="shared" ref="AE28:AE60" si="22">T28*V28</f>
        <v>0</v>
      </c>
      <c r="AF28" s="2558">
        <f t="shared" ref="AF28:AF60" si="23">AE28*$AF$27</f>
        <v>0</v>
      </c>
      <c r="AG28" s="2558">
        <f t="shared" ref="AG28:AG60" si="24">(AE28+AF28)*$AG$27</f>
        <v>0</v>
      </c>
      <c r="AH28" s="2558">
        <f t="shared" ref="AH28:AH60" si="25">(AE28+AF28+AG28)*$AH$27</f>
        <v>0</v>
      </c>
      <c r="AI28" s="2558">
        <f t="shared" ref="AI28:AI60" si="26">(AE28+AF28+AG28+AH28)*$AI$27</f>
        <v>0</v>
      </c>
      <c r="AK28" s="2558">
        <f t="shared" ref="AK28:AK60" si="27">AE28+AF28+Y28+Z28</f>
        <v>605026.728291807</v>
      </c>
      <c r="AL28" s="2558">
        <f t="shared" ref="AL28:AL60" si="28">AK28+AG28+AA28</f>
        <v>629227.79742347926</v>
      </c>
      <c r="AM28" s="2558">
        <f t="shared" ref="AM28:AM60" si="29">AK28+AH28+AB28</f>
        <v>620845.51511903328</v>
      </c>
      <c r="AN28" s="2558">
        <f t="shared" ref="AN28:AN60" si="30">AL28+AI28+AC28</f>
        <v>648579.19495100039</v>
      </c>
      <c r="AT28" s="2573" t="str">
        <f>"279/365="</f>
        <v>279/365=</v>
      </c>
      <c r="AU28" s="2572">
        <f>ROUND(279/365,3)</f>
        <v>0.76400000000000001</v>
      </c>
      <c r="AV28" s="2566" t="s">
        <v>2307</v>
      </c>
      <c r="AZ28" s="182">
        <v>569000</v>
      </c>
      <c r="BA28" s="875">
        <v>469.47</v>
      </c>
      <c r="BB28" s="875">
        <v>22.09</v>
      </c>
      <c r="BC28" s="875">
        <v>351317.9099999998</v>
      </c>
      <c r="BD28" s="875">
        <v>351809.4699999998</v>
      </c>
      <c r="BE28" s="2585">
        <f t="shared" si="3"/>
        <v>0.99860276643491153</v>
      </c>
      <c r="BF28" s="1131">
        <f t="shared" si="4"/>
        <v>1.3972335650884737E-3</v>
      </c>
      <c r="BH28" s="182">
        <v>930200</v>
      </c>
      <c r="BI28" s="875">
        <v>100807.71000000004</v>
      </c>
      <c r="BJ28" s="875">
        <v>9153.6099999999988</v>
      </c>
      <c r="BK28" s="875">
        <v>39095.129999999983</v>
      </c>
      <c r="BL28" s="875">
        <v>149056.45000000001</v>
      </c>
      <c r="BM28" s="2585">
        <f t="shared" si="5"/>
        <v>0.2622840541284861</v>
      </c>
      <c r="BN28" s="1131">
        <f t="shared" si="6"/>
        <v>0.7377159458715139</v>
      </c>
      <c r="BR28" s="1557" t="s">
        <v>2330</v>
      </c>
      <c r="BS28" s="1557" t="s">
        <v>1759</v>
      </c>
      <c r="CJ28" s="182">
        <v>928000</v>
      </c>
      <c r="CK28" s="875">
        <v>5864.91</v>
      </c>
      <c r="CL28" s="875">
        <v>1131.74</v>
      </c>
      <c r="CM28" s="477">
        <f t="shared" si="10"/>
        <v>0.66942999999999997</v>
      </c>
      <c r="CN28" s="477">
        <f t="shared" si="11"/>
        <v>0.71745999999999999</v>
      </c>
      <c r="CO28" s="2597">
        <f t="shared" si="1"/>
        <v>3926.1467012999997</v>
      </c>
      <c r="CP28" s="2597">
        <f t="shared" si="2"/>
        <v>811.97818040000004</v>
      </c>
    </row>
    <row r="29" spans="1:94" ht="13.5" thickBot="1">
      <c r="A29" s="2557">
        <v>870000</v>
      </c>
      <c r="B29" s="2553"/>
      <c r="C29" s="2553"/>
      <c r="D29" s="2553"/>
      <c r="E29" s="2553"/>
      <c r="F29" s="2605"/>
      <c r="G29" s="2553">
        <v>1362115.0700000003</v>
      </c>
      <c r="H29" s="2553">
        <v>145621.05999999997</v>
      </c>
      <c r="I29" s="2553">
        <v>59038.150000000016</v>
      </c>
      <c r="J29" s="2553"/>
      <c r="K29" s="2553">
        <v>278570.35000000015</v>
      </c>
      <c r="L29" s="2605">
        <v>1845344.6300000004</v>
      </c>
      <c r="M29" s="2553">
        <v>1845344.6300000004</v>
      </c>
      <c r="N29" s="2560">
        <f>$B$73</f>
        <v>1</v>
      </c>
      <c r="O29" s="2559">
        <f t="shared" si="12"/>
        <v>0.6845</v>
      </c>
      <c r="P29" s="2553">
        <f t="shared" si="13"/>
        <v>1032045.3809850002</v>
      </c>
      <c r="Q29" s="2553">
        <f t="shared" si="14"/>
        <v>278570.35000000015</v>
      </c>
      <c r="R29" s="2553">
        <f t="shared" si="15"/>
        <v>1310615.7309850003</v>
      </c>
      <c r="S29" s="2553">
        <f>-IFERROR(VLOOKUP(A29,'G-3.05,5.02 PF NE Labor'!$BR$33:$CD$40,13,FALSE),0)</f>
        <v>-21433.876224</v>
      </c>
      <c r="T29" s="2553">
        <f t="shared" si="16"/>
        <v>1289181.8547610003</v>
      </c>
      <c r="V29" s="2552">
        <f>VLOOKUP(A29,'G-3.05,5.02 PF NE Labor'!$BH$13:$BN$46,6,FALSE)</f>
        <v>0.17943009357075734</v>
      </c>
      <c r="W29" s="2552">
        <f>VLOOKUP(A29,'G-3.05,5.02 PF NE Labor'!$BH$13:$BN$46,7,FALSE)</f>
        <v>0.82056990642924266</v>
      </c>
      <c r="Y29" s="2558">
        <f t="shared" si="17"/>
        <v>1057863.8339315115</v>
      </c>
      <c r="Z29" s="2558">
        <f t="shared" si="18"/>
        <v>42272.238803903201</v>
      </c>
      <c r="AA29" s="2558">
        <f t="shared" si="19"/>
        <v>44005.442909416583</v>
      </c>
      <c r="AB29" s="2558">
        <f t="shared" si="20"/>
        <v>28763.717703311053</v>
      </c>
      <c r="AC29" s="2558">
        <f t="shared" si="21"/>
        <v>35187.157000444262</v>
      </c>
      <c r="AE29" s="2558">
        <f t="shared" si="22"/>
        <v>231318.02082948879</v>
      </c>
      <c r="AF29" s="2558">
        <f t="shared" si="23"/>
        <v>5942.5599551095675</v>
      </c>
      <c r="AG29" s="2558">
        <f t="shared" si="24"/>
        <v>11863.029039229919</v>
      </c>
      <c r="AH29" s="2558">
        <f t="shared" si="25"/>
        <v>9516.5218952702398</v>
      </c>
      <c r="AI29" s="2558">
        <f t="shared" si="26"/>
        <v>8979.9853732870997</v>
      </c>
      <c r="AK29" s="2558">
        <f t="shared" si="27"/>
        <v>1337396.653520013</v>
      </c>
      <c r="AL29" s="2558">
        <f t="shared" si="28"/>
        <v>1393265.1254686594</v>
      </c>
      <c r="AM29" s="2558">
        <f t="shared" si="29"/>
        <v>1375676.8931185943</v>
      </c>
      <c r="AN29" s="2558">
        <f t="shared" si="30"/>
        <v>1437432.2678423908</v>
      </c>
      <c r="AR29" s="2568" t="s">
        <v>3415</v>
      </c>
      <c r="AU29" s="2570">
        <f>ROUND(AU26*AU28,5)</f>
        <v>3.8199999999999998E-2</v>
      </c>
      <c r="AV29" s="2576"/>
      <c r="AZ29" s="182">
        <v>908000</v>
      </c>
      <c r="BA29" s="875">
        <v>254269.15000000005</v>
      </c>
      <c r="BB29" s="875">
        <v>2130.2399999999998</v>
      </c>
      <c r="BC29" s="875"/>
      <c r="BD29" s="875">
        <v>256399.39000000004</v>
      </c>
      <c r="BE29" s="2585">
        <f t="shared" si="3"/>
        <v>0</v>
      </c>
      <c r="BF29" s="1131">
        <f t="shared" si="4"/>
        <v>1</v>
      </c>
      <c r="BH29" s="182">
        <v>870000</v>
      </c>
      <c r="BI29" s="875">
        <v>978833.13999999943</v>
      </c>
      <c r="BJ29" s="875">
        <v>272025.54000000004</v>
      </c>
      <c r="BK29" s="875">
        <v>273519.28000000009</v>
      </c>
      <c r="BL29" s="875">
        <v>1524377.9599999995</v>
      </c>
      <c r="BM29" s="2585">
        <f t="shared" si="5"/>
        <v>0.17943009357075734</v>
      </c>
      <c r="BN29" s="1131">
        <f t="shared" si="6"/>
        <v>0.82056990642924266</v>
      </c>
      <c r="BS29" s="477"/>
      <c r="CJ29" s="182">
        <v>930200</v>
      </c>
      <c r="CK29" s="875">
        <v>16483.999999999996</v>
      </c>
      <c r="CL29" s="875">
        <v>6804.5300000000007</v>
      </c>
      <c r="CM29" s="477">
        <f t="shared" si="10"/>
        <v>0.66942999999999997</v>
      </c>
      <c r="CN29" s="477">
        <f t="shared" si="11"/>
        <v>0.71745999999999999</v>
      </c>
      <c r="CO29" s="2597">
        <f t="shared" si="1"/>
        <v>11034.884119999997</v>
      </c>
      <c r="CP29" s="2597">
        <f t="shared" si="2"/>
        <v>4881.9780938000004</v>
      </c>
    </row>
    <row r="30" spans="1:94" ht="13.5" thickTop="1">
      <c r="A30" s="2557">
        <v>874000</v>
      </c>
      <c r="B30" s="2553"/>
      <c r="C30" s="2553"/>
      <c r="D30" s="2553"/>
      <c r="E30" s="2553"/>
      <c r="F30" s="2605"/>
      <c r="G30" s="2553">
        <v>477468.77000000014</v>
      </c>
      <c r="H30" s="2553">
        <v>372224.4099999998</v>
      </c>
      <c r="I30" s="2553">
        <v>248402.2699999999</v>
      </c>
      <c r="J30" s="2553"/>
      <c r="K30" s="2553">
        <v>839363.40000000119</v>
      </c>
      <c r="L30" s="2605">
        <v>1937458.850000001</v>
      </c>
      <c r="M30" s="2553">
        <v>1937458.850000001</v>
      </c>
      <c r="N30" s="2560">
        <f t="shared" ref="N30:N45" si="31">$B$70</f>
        <v>3</v>
      </c>
      <c r="O30" s="2559">
        <f t="shared" si="12"/>
        <v>0.71040000000000003</v>
      </c>
      <c r="P30" s="2553">
        <f t="shared" si="13"/>
        <v>603622.035072</v>
      </c>
      <c r="Q30" s="2553">
        <f t="shared" si="14"/>
        <v>839363.40000000119</v>
      </c>
      <c r="R30" s="2553">
        <f t="shared" si="15"/>
        <v>1442985.4350720011</v>
      </c>
      <c r="S30" s="2553">
        <f>-IFERROR(VLOOKUP(A30,'G-3.05,5.02 PF NE Labor'!$BR$33:$CD$40,13,FALSE),0)</f>
        <v>0</v>
      </c>
      <c r="T30" s="2553">
        <f t="shared" si="16"/>
        <v>1442985.4350720011</v>
      </c>
      <c r="V30" s="2552">
        <f>VLOOKUP(A30,'G-3.05,5.02 PF NE Labor'!$BH$13:$BN$46,6,FALSE)</f>
        <v>0.62034827191022157</v>
      </c>
      <c r="W30" s="2552">
        <f>VLOOKUP(A30,'G-3.05,5.02 PF NE Labor'!$BH$13:$BN$46,7,FALSE)</f>
        <v>0.37965172808977843</v>
      </c>
      <c r="Y30" s="2558">
        <f t="shared" si="17"/>
        <v>547831.91403346602</v>
      </c>
      <c r="Z30" s="2558">
        <f t="shared" si="18"/>
        <v>21891.363284777304</v>
      </c>
      <c r="AA30" s="2558">
        <f t="shared" si="19"/>
        <v>22788.93109272973</v>
      </c>
      <c r="AB30" s="2558">
        <f t="shared" si="20"/>
        <v>14895.75691945186</v>
      </c>
      <c r="AC30" s="2558">
        <f t="shared" si="21"/>
        <v>18222.238959912745</v>
      </c>
      <c r="AE30" s="2558">
        <f t="shared" si="22"/>
        <v>895153.52103853505</v>
      </c>
      <c r="AF30" s="2558">
        <f t="shared" si="23"/>
        <v>22996.493955479968</v>
      </c>
      <c r="AG30" s="2558">
        <f t="shared" si="24"/>
        <v>45907.500749700754</v>
      </c>
      <c r="AH30" s="2558">
        <f t="shared" si="25"/>
        <v>36826.997101409936</v>
      </c>
      <c r="AI30" s="2558">
        <f t="shared" si="26"/>
        <v>34750.710285982765</v>
      </c>
      <c r="AK30" s="2558">
        <f t="shared" si="27"/>
        <v>1487873.2923122584</v>
      </c>
      <c r="AL30" s="2558">
        <f t="shared" si="28"/>
        <v>1556569.7241546889</v>
      </c>
      <c r="AM30" s="2558">
        <f t="shared" si="29"/>
        <v>1539596.04633312</v>
      </c>
      <c r="AN30" s="2558">
        <f t="shared" si="30"/>
        <v>1609542.6734005844</v>
      </c>
      <c r="AU30" s="2574"/>
      <c r="AZ30" s="182">
        <v>590000</v>
      </c>
      <c r="BA30" s="875">
        <v>511168.4599999999</v>
      </c>
      <c r="BB30" s="875">
        <v>118586.17999999995</v>
      </c>
      <c r="BC30" s="875">
        <v>163070.54000000004</v>
      </c>
      <c r="BD30" s="875">
        <v>792825.17999999993</v>
      </c>
      <c r="BE30" s="2585">
        <f t="shared" si="3"/>
        <v>0.20568284675317711</v>
      </c>
      <c r="BF30" s="1131">
        <f t="shared" si="4"/>
        <v>0.79431715324682295</v>
      </c>
      <c r="BH30" s="182">
        <v>923000</v>
      </c>
      <c r="BI30" s="875">
        <v>606.25000000000023</v>
      </c>
      <c r="BJ30" s="875">
        <v>691.15</v>
      </c>
      <c r="BK30" s="875">
        <v>48.2</v>
      </c>
      <c r="BL30" s="875">
        <v>1345.6000000000001</v>
      </c>
      <c r="BM30" s="2585">
        <f t="shared" si="5"/>
        <v>3.5820451843043992E-2</v>
      </c>
      <c r="BN30" s="1131">
        <f t="shared" si="6"/>
        <v>0.96417954815695606</v>
      </c>
      <c r="BR30" s="1405" t="s">
        <v>2274</v>
      </c>
      <c r="BS30" s="1405" t="s">
        <v>1252</v>
      </c>
      <c r="BT30" s="1405"/>
      <c r="BU30" s="1405"/>
      <c r="BV30" s="1405"/>
      <c r="BW30" s="1405"/>
      <c r="BX30" s="1405"/>
      <c r="BY30" s="1405"/>
      <c r="BZ30" s="477"/>
      <c r="CJ30" s="182">
        <v>935000</v>
      </c>
      <c r="CK30" s="875">
        <v>1060.43</v>
      </c>
      <c r="CL30" s="875">
        <v>303.42</v>
      </c>
      <c r="CM30" s="477">
        <f t="shared" si="10"/>
        <v>0.66942999999999997</v>
      </c>
      <c r="CN30" s="477">
        <f t="shared" si="11"/>
        <v>0.71745999999999999</v>
      </c>
      <c r="CO30" s="2596">
        <f t="shared" si="1"/>
        <v>709.88365490000001</v>
      </c>
      <c r="CP30" s="2596">
        <f t="shared" si="2"/>
        <v>217.69171320000001</v>
      </c>
    </row>
    <row r="31" spans="1:94">
      <c r="A31" s="2557">
        <v>875000</v>
      </c>
      <c r="B31" s="2553"/>
      <c r="C31" s="2553"/>
      <c r="D31" s="2553"/>
      <c r="E31" s="2553"/>
      <c r="F31" s="2605"/>
      <c r="G31" s="2553"/>
      <c r="H31" s="2553"/>
      <c r="I31" s="2553">
        <v>46696.010000000017</v>
      </c>
      <c r="J31" s="2553"/>
      <c r="K31" s="2553">
        <v>70940.190000000017</v>
      </c>
      <c r="L31" s="2605">
        <v>117636.20000000004</v>
      </c>
      <c r="M31" s="2553">
        <v>117636.20000000004</v>
      </c>
      <c r="N31" s="2560">
        <f t="shared" si="31"/>
        <v>3</v>
      </c>
      <c r="O31" s="2559">
        <f t="shared" si="12"/>
        <v>0.71040000000000003</v>
      </c>
      <c r="P31" s="2553">
        <f t="shared" si="13"/>
        <v>0</v>
      </c>
      <c r="Q31" s="2553">
        <f t="shared" si="14"/>
        <v>70940.190000000017</v>
      </c>
      <c r="R31" s="2553">
        <f t="shared" si="15"/>
        <v>70940.190000000017</v>
      </c>
      <c r="S31" s="2553">
        <f>-IFERROR(VLOOKUP(A31,'G-3.05,5.02 PF NE Labor'!$BR$33:$CD$40,13,FALSE),0)</f>
        <v>0</v>
      </c>
      <c r="T31" s="2553">
        <f t="shared" si="16"/>
        <v>70940.190000000017</v>
      </c>
      <c r="V31" s="2552">
        <f>VLOOKUP(A31,'G-3.05,5.02 PF NE Labor'!$BH$13:$BN$46,6,FALSE)</f>
        <v>1</v>
      </c>
      <c r="W31" s="2552">
        <f>VLOOKUP(A31,'G-3.05,5.02 PF NE Labor'!$BH$13:$BN$46,7,FALSE)</f>
        <v>0</v>
      </c>
      <c r="Y31" s="2558">
        <f t="shared" si="17"/>
        <v>0</v>
      </c>
      <c r="Z31" s="2558">
        <f t="shared" si="18"/>
        <v>0</v>
      </c>
      <c r="AA31" s="2558">
        <f t="shared" si="19"/>
        <v>0</v>
      </c>
      <c r="AB31" s="2558">
        <f t="shared" si="20"/>
        <v>0</v>
      </c>
      <c r="AC31" s="2558">
        <f t="shared" si="21"/>
        <v>0</v>
      </c>
      <c r="AE31" s="2558">
        <f t="shared" si="22"/>
        <v>70940.190000000017</v>
      </c>
      <c r="AF31" s="2558">
        <f t="shared" si="23"/>
        <v>1822.4534811000005</v>
      </c>
      <c r="AG31" s="2558">
        <f t="shared" si="24"/>
        <v>3638.1321740550011</v>
      </c>
      <c r="AH31" s="2558">
        <f t="shared" si="25"/>
        <v>2918.509630026922</v>
      </c>
      <c r="AI31" s="2558">
        <f t="shared" si="26"/>
        <v>2753.9655851015173</v>
      </c>
      <c r="AK31" s="2558">
        <f t="shared" si="27"/>
        <v>72762.643481100022</v>
      </c>
      <c r="AL31" s="2558">
        <f t="shared" si="28"/>
        <v>76400.775655155026</v>
      </c>
      <c r="AM31" s="2558">
        <f t="shared" si="29"/>
        <v>75681.153111126943</v>
      </c>
      <c r="AN31" s="2558">
        <f t="shared" si="30"/>
        <v>79154.741240256539</v>
      </c>
      <c r="AR31" s="2578" t="s">
        <v>2306</v>
      </c>
      <c r="AS31" s="2577"/>
      <c r="AT31" s="2576"/>
      <c r="AU31" s="3686"/>
      <c r="AV31" s="2576"/>
      <c r="AZ31" s="182">
        <v>591000</v>
      </c>
      <c r="BA31" s="875">
        <v>2511.64</v>
      </c>
      <c r="BB31" s="875">
        <v>548.12000000000012</v>
      </c>
      <c r="BC31" s="875">
        <v>268693.93000000034</v>
      </c>
      <c r="BD31" s="875">
        <v>271753.69000000035</v>
      </c>
      <c r="BE31" s="2585">
        <f t="shared" si="3"/>
        <v>0.98874068646501179</v>
      </c>
      <c r="BF31" s="1131">
        <f t="shared" si="4"/>
        <v>1.1259313534988213E-2</v>
      </c>
      <c r="BH31" s="182">
        <v>902000</v>
      </c>
      <c r="BI31" s="875">
        <v>141977.53999999998</v>
      </c>
      <c r="BJ31" s="875">
        <v>31259.750000000007</v>
      </c>
      <c r="BK31" s="875">
        <v>129669.48999999998</v>
      </c>
      <c r="BL31" s="875">
        <v>302906.77999999997</v>
      </c>
      <c r="BM31" s="2585">
        <f t="shared" si="5"/>
        <v>0.42808381509321114</v>
      </c>
      <c r="BN31" s="1131">
        <f t="shared" si="6"/>
        <v>0.57191618490678886</v>
      </c>
      <c r="BR31" s="1405"/>
      <c r="BS31" s="1405" t="s">
        <v>682</v>
      </c>
      <c r="BT31" s="1405"/>
      <c r="BU31" s="1405"/>
      <c r="BV31" s="2598" t="s">
        <v>2268</v>
      </c>
      <c r="BW31" s="1405" t="s">
        <v>680</v>
      </c>
      <c r="BX31" s="2598" t="s">
        <v>2267</v>
      </c>
      <c r="BY31" s="1405" t="s">
        <v>978</v>
      </c>
      <c r="BZ31" s="477"/>
      <c r="CJ31" s="1476" t="s">
        <v>978</v>
      </c>
      <c r="CK31" s="1477">
        <v>222182.17999999993</v>
      </c>
      <c r="CL31" s="1477">
        <v>44886.159999999982</v>
      </c>
      <c r="CO31" s="875">
        <f>SUM(CO6:CO30)</f>
        <v>146343.62911269994</v>
      </c>
      <c r="CP31" s="875">
        <f>SUM(CP6:CP30)</f>
        <v>31959.438782499994</v>
      </c>
    </row>
    <row r="32" spans="1:94">
      <c r="A32" s="2557">
        <v>876000</v>
      </c>
      <c r="B32" s="2553"/>
      <c r="C32" s="2553"/>
      <c r="D32" s="2553"/>
      <c r="E32" s="2553"/>
      <c r="F32" s="2605"/>
      <c r="G32" s="2553"/>
      <c r="H32" s="2553"/>
      <c r="I32" s="2553">
        <v>9411.6200000000008</v>
      </c>
      <c r="J32" s="2553"/>
      <c r="K32" s="2553">
        <v>4877.17</v>
      </c>
      <c r="L32" s="2605">
        <v>14288.79</v>
      </c>
      <c r="M32" s="2553">
        <v>14288.79</v>
      </c>
      <c r="N32" s="2560">
        <f t="shared" si="31"/>
        <v>3</v>
      </c>
      <c r="O32" s="2559">
        <f t="shared" si="12"/>
        <v>0.71040000000000003</v>
      </c>
      <c r="P32" s="2553">
        <f t="shared" si="13"/>
        <v>0</v>
      </c>
      <c r="Q32" s="2553">
        <f t="shared" si="14"/>
        <v>4877.17</v>
      </c>
      <c r="R32" s="2553">
        <f t="shared" si="15"/>
        <v>4877.17</v>
      </c>
      <c r="S32" s="2553">
        <f>-IFERROR(VLOOKUP(A32,'G-3.05,5.02 PF NE Labor'!$BR$33:$CD$40,13,FALSE),0)</f>
        <v>0</v>
      </c>
      <c r="T32" s="2553">
        <f t="shared" si="16"/>
        <v>4877.17</v>
      </c>
      <c r="V32" s="2552">
        <f>VLOOKUP(A32,'G-3.05,5.02 PF NE Labor'!$BH$13:$BN$46,6,FALSE)</f>
        <v>1</v>
      </c>
      <c r="W32" s="2552">
        <f>VLOOKUP(A32,'G-3.05,5.02 PF NE Labor'!$BH$13:$BN$46,7,FALSE)</f>
        <v>0</v>
      </c>
      <c r="Y32" s="2558">
        <f t="shared" si="17"/>
        <v>0</v>
      </c>
      <c r="Z32" s="2558">
        <f t="shared" si="18"/>
        <v>0</v>
      </c>
      <c r="AA32" s="2558">
        <f t="shared" si="19"/>
        <v>0</v>
      </c>
      <c r="AB32" s="2558">
        <f t="shared" si="20"/>
        <v>0</v>
      </c>
      <c r="AC32" s="2558">
        <f t="shared" si="21"/>
        <v>0</v>
      </c>
      <c r="AE32" s="2558">
        <f t="shared" si="22"/>
        <v>4877.17</v>
      </c>
      <c r="AF32" s="2558">
        <f t="shared" si="23"/>
        <v>125.2944973</v>
      </c>
      <c r="AG32" s="2558">
        <f t="shared" si="24"/>
        <v>250.12322486500003</v>
      </c>
      <c r="AH32" s="2558">
        <f t="shared" si="25"/>
        <v>200.64885098670302</v>
      </c>
      <c r="AI32" s="2558">
        <f t="shared" si="26"/>
        <v>189.33637381982717</v>
      </c>
      <c r="AK32" s="2558">
        <f t="shared" si="27"/>
        <v>5002.4644973000004</v>
      </c>
      <c r="AL32" s="2558">
        <f t="shared" si="28"/>
        <v>5252.5877221650007</v>
      </c>
      <c r="AM32" s="2558">
        <f t="shared" si="29"/>
        <v>5203.1133482867035</v>
      </c>
      <c r="AN32" s="2558">
        <f t="shared" si="30"/>
        <v>5441.9240959848275</v>
      </c>
      <c r="AR32" s="2566" t="s">
        <v>3416</v>
      </c>
      <c r="AS32" s="2576"/>
      <c r="AT32" s="2576"/>
      <c r="AU32" s="2567"/>
      <c r="AV32" s="2576"/>
      <c r="AZ32" s="182">
        <v>548000</v>
      </c>
      <c r="BA32" s="875"/>
      <c r="BB32" s="875"/>
      <c r="BC32" s="875">
        <v>297469.23999999993</v>
      </c>
      <c r="BD32" s="875">
        <v>297469.23999999993</v>
      </c>
      <c r="BE32" s="2585">
        <f t="shared" si="3"/>
        <v>1</v>
      </c>
      <c r="BF32" s="1131">
        <f t="shared" si="4"/>
        <v>0</v>
      </c>
      <c r="BH32" s="182">
        <v>926100</v>
      </c>
      <c r="BI32" s="875">
        <v>48374.159999999996</v>
      </c>
      <c r="BJ32" s="875">
        <v>6306.8999999999987</v>
      </c>
      <c r="BK32" s="875">
        <v>25126.500000000007</v>
      </c>
      <c r="BL32" s="875">
        <v>79807.56</v>
      </c>
      <c r="BM32" s="2585">
        <f t="shared" si="5"/>
        <v>0.31483859423844068</v>
      </c>
      <c r="BN32" s="1131">
        <f t="shared" si="6"/>
        <v>0.68516140576155937</v>
      </c>
      <c r="BR32" s="1408" t="s">
        <v>1170</v>
      </c>
      <c r="BS32" s="1408" t="s">
        <v>678</v>
      </c>
      <c r="BT32" s="1408" t="s">
        <v>683</v>
      </c>
      <c r="BU32" s="1408" t="s">
        <v>763</v>
      </c>
      <c r="BV32" s="2599"/>
      <c r="BW32" s="1408" t="s">
        <v>678</v>
      </c>
      <c r="BX32" s="2599"/>
      <c r="BY32" s="1408"/>
      <c r="BZ32" s="477"/>
      <c r="CB32" s="477" t="s">
        <v>2329</v>
      </c>
      <c r="CC32" s="477" t="s">
        <v>2266</v>
      </c>
      <c r="CD32" s="477" t="s">
        <v>537</v>
      </c>
    </row>
    <row r="33" spans="1:82">
      <c r="A33" s="2557">
        <v>877000</v>
      </c>
      <c r="B33" s="2553"/>
      <c r="C33" s="2553"/>
      <c r="D33" s="2553"/>
      <c r="E33" s="2553"/>
      <c r="F33" s="2605"/>
      <c r="G33" s="2553"/>
      <c r="H33" s="2553"/>
      <c r="I33" s="2553">
        <v>25988.800000000007</v>
      </c>
      <c r="J33" s="2553"/>
      <c r="K33" s="2553">
        <v>40412.270000000011</v>
      </c>
      <c r="L33" s="2605">
        <v>66401.070000000022</v>
      </c>
      <c r="M33" s="2553">
        <v>66401.070000000022</v>
      </c>
      <c r="N33" s="2560">
        <f t="shared" si="31"/>
        <v>3</v>
      </c>
      <c r="O33" s="2559">
        <f t="shared" si="12"/>
        <v>0.71040000000000003</v>
      </c>
      <c r="P33" s="2553">
        <f t="shared" si="13"/>
        <v>0</v>
      </c>
      <c r="Q33" s="2553">
        <f t="shared" si="14"/>
        <v>40412.270000000011</v>
      </c>
      <c r="R33" s="2553">
        <f t="shared" si="15"/>
        <v>40412.270000000011</v>
      </c>
      <c r="S33" s="2553">
        <f>-IFERROR(VLOOKUP(A33,'G-3.05,5.02 PF NE Labor'!$BR$33:$CD$40,13,FALSE),0)</f>
        <v>0</v>
      </c>
      <c r="T33" s="2553">
        <f t="shared" si="16"/>
        <v>40412.270000000011</v>
      </c>
      <c r="V33" s="2552">
        <f>VLOOKUP(A33,'G-3.05,5.02 PF NE Labor'!$BH$13:$BN$46,6,FALSE)</f>
        <v>1</v>
      </c>
      <c r="W33" s="2552">
        <f>VLOOKUP(A33,'G-3.05,5.02 PF NE Labor'!$BH$13:$BN$46,7,FALSE)</f>
        <v>0</v>
      </c>
      <c r="Y33" s="2558">
        <f t="shared" si="17"/>
        <v>0</v>
      </c>
      <c r="Z33" s="2558">
        <f t="shared" si="18"/>
        <v>0</v>
      </c>
      <c r="AA33" s="2558">
        <f t="shared" si="19"/>
        <v>0</v>
      </c>
      <c r="AB33" s="2558">
        <f t="shared" si="20"/>
        <v>0</v>
      </c>
      <c r="AC33" s="2558">
        <f t="shared" si="21"/>
        <v>0</v>
      </c>
      <c r="AE33" s="2558">
        <f t="shared" si="22"/>
        <v>40412.270000000011</v>
      </c>
      <c r="AF33" s="2558">
        <f t="shared" si="23"/>
        <v>1038.1912163000004</v>
      </c>
      <c r="AG33" s="2558">
        <f t="shared" si="24"/>
        <v>2072.5230608150009</v>
      </c>
      <c r="AH33" s="2558">
        <f t="shared" si="25"/>
        <v>1662.5779993857934</v>
      </c>
      <c r="AI33" s="2558">
        <f t="shared" si="26"/>
        <v>1568.8427222401081</v>
      </c>
      <c r="AK33" s="2558">
        <f t="shared" si="27"/>
        <v>41450.461216300013</v>
      </c>
      <c r="AL33" s="2558">
        <f t="shared" si="28"/>
        <v>43522.984277115014</v>
      </c>
      <c r="AM33" s="2558">
        <f t="shared" si="29"/>
        <v>43113.039215685807</v>
      </c>
      <c r="AN33" s="2558">
        <f t="shared" si="30"/>
        <v>45091.826999355122</v>
      </c>
      <c r="AS33" s="2576"/>
      <c r="AT33" s="2573" t="str">
        <f>"86/365="</f>
        <v>86/365=</v>
      </c>
      <c r="AU33" s="2572">
        <f>ROUND(86/365,3)</f>
        <v>0.23599999999999999</v>
      </c>
      <c r="AV33" s="2576"/>
      <c r="AZ33" s="182">
        <v>505000</v>
      </c>
      <c r="BA33" s="875">
        <v>6991.49</v>
      </c>
      <c r="BB33" s="875"/>
      <c r="BC33" s="875">
        <v>562327.59000000008</v>
      </c>
      <c r="BD33" s="875">
        <v>569319.08000000007</v>
      </c>
      <c r="BE33" s="2585">
        <f t="shared" si="3"/>
        <v>0.98771955789712862</v>
      </c>
      <c r="BF33" s="1131">
        <f t="shared" si="4"/>
        <v>1.2280442102871381E-2</v>
      </c>
      <c r="BH33" s="182">
        <v>875000</v>
      </c>
      <c r="BI33" s="875"/>
      <c r="BJ33" s="875"/>
      <c r="BK33" s="875">
        <v>103754.79</v>
      </c>
      <c r="BL33" s="875">
        <v>103754.79</v>
      </c>
      <c r="BM33" s="2585">
        <f t="shared" si="5"/>
        <v>1</v>
      </c>
      <c r="BN33" s="1131">
        <f t="shared" si="6"/>
        <v>0</v>
      </c>
      <c r="BR33" s="182">
        <v>813000</v>
      </c>
      <c r="BS33" s="1197"/>
      <c r="BT33" s="1197"/>
      <c r="BU33" s="1197"/>
      <c r="BV33" s="2600"/>
      <c r="BW33" s="1197">
        <v>132561.86000000002</v>
      </c>
      <c r="BX33" s="2600">
        <v>132561.86000000002</v>
      </c>
      <c r="BY33" s="1197">
        <v>132561.86000000002</v>
      </c>
      <c r="BZ33" s="2560">
        <f>'G-3.05,5.02 PF NE Labor'!$B$72</f>
        <v>10</v>
      </c>
      <c r="CA33" s="2594">
        <v>0.67015999999999998</v>
      </c>
      <c r="CB33" s="1197">
        <f t="shared" ref="CB33:CB40" si="32">(CA33*BS33)+(CA33*BW33)</f>
        <v>88837.656097600004</v>
      </c>
      <c r="CC33" s="1197">
        <f t="shared" ref="CC33:CC40" si="33">BU33</f>
        <v>0</v>
      </c>
      <c r="CD33" s="1197">
        <f t="shared" ref="CD33:CD40" si="34">SUM(CB33:CC33)</f>
        <v>88837.656097600004</v>
      </c>
    </row>
    <row r="34" spans="1:82">
      <c r="A34" s="2557">
        <v>878000</v>
      </c>
      <c r="B34" s="2553"/>
      <c r="C34" s="2553"/>
      <c r="D34" s="2553"/>
      <c r="E34" s="2553"/>
      <c r="F34" s="2605"/>
      <c r="G34" s="2553"/>
      <c r="H34" s="2553"/>
      <c r="I34" s="2553">
        <v>2643.4200000000005</v>
      </c>
      <c r="J34" s="2553"/>
      <c r="K34" s="2553">
        <v>4774.5700000000015</v>
      </c>
      <c r="L34" s="2605">
        <v>7417.9900000000016</v>
      </c>
      <c r="M34" s="2553">
        <v>7417.9900000000016</v>
      </c>
      <c r="N34" s="2560">
        <f t="shared" si="31"/>
        <v>3</v>
      </c>
      <c r="O34" s="2559">
        <f t="shared" si="12"/>
        <v>0.71040000000000003</v>
      </c>
      <c r="P34" s="2553">
        <f t="shared" si="13"/>
        <v>0</v>
      </c>
      <c r="Q34" s="2553">
        <f t="shared" si="14"/>
        <v>4774.5700000000015</v>
      </c>
      <c r="R34" s="2553">
        <f t="shared" si="15"/>
        <v>4774.5700000000015</v>
      </c>
      <c r="S34" s="2553">
        <f>-IFERROR(VLOOKUP(A34,'G-3.05,5.02 PF NE Labor'!$BR$33:$CD$40,13,FALSE),0)</f>
        <v>0</v>
      </c>
      <c r="T34" s="2553">
        <f t="shared" si="16"/>
        <v>4774.5700000000015</v>
      </c>
      <c r="V34" s="2552">
        <f>VLOOKUP(A34,'G-3.05,5.02 PF NE Labor'!$BH$13:$BN$46,6,FALSE)</f>
        <v>0.71762961464729924</v>
      </c>
      <c r="W34" s="2552">
        <f>VLOOKUP(A34,'G-3.05,5.02 PF NE Labor'!$BH$13:$BN$46,7,FALSE)</f>
        <v>0.28237038535270076</v>
      </c>
      <c r="Y34" s="2558">
        <f t="shared" si="17"/>
        <v>1348.1971707934449</v>
      </c>
      <c r="Z34" s="2558">
        <f t="shared" si="18"/>
        <v>53.873958944906065</v>
      </c>
      <c r="AA34" s="2558">
        <f t="shared" si="19"/>
        <v>56.082845189534041</v>
      </c>
      <c r="AB34" s="2558">
        <f t="shared" si="20"/>
        <v>36.657990929687024</v>
      </c>
      <c r="AC34" s="2558">
        <f t="shared" si="21"/>
        <v>44.844358975727161</v>
      </c>
      <c r="AE34" s="2558">
        <f t="shared" si="22"/>
        <v>3426.3728292065566</v>
      </c>
      <c r="AF34" s="2558">
        <f t="shared" si="23"/>
        <v>88.023517982316449</v>
      </c>
      <c r="AG34" s="2558">
        <f t="shared" si="24"/>
        <v>175.71981735944368</v>
      </c>
      <c r="AH34" s="2558">
        <f t="shared" si="25"/>
        <v>140.96243748574571</v>
      </c>
      <c r="AI34" s="2558">
        <f t="shared" si="26"/>
        <v>133.01504906262267</v>
      </c>
      <c r="AK34" s="2558">
        <f t="shared" si="27"/>
        <v>4916.4674769272242</v>
      </c>
      <c r="AL34" s="2558">
        <f t="shared" si="28"/>
        <v>5148.2701394762016</v>
      </c>
      <c r="AM34" s="2558">
        <f t="shared" si="29"/>
        <v>5094.087905342657</v>
      </c>
      <c r="AN34" s="2558">
        <f t="shared" si="30"/>
        <v>5326.1295475145516</v>
      </c>
      <c r="AS34" s="2576"/>
      <c r="AT34" s="2573"/>
      <c r="AU34" s="2567">
        <f>+AU33*AU26</f>
        <v>1.18E-2</v>
      </c>
      <c r="AV34" s="2576"/>
      <c r="AZ34" s="182">
        <v>501200</v>
      </c>
      <c r="BA34" s="875">
        <v>52872.469999999994</v>
      </c>
      <c r="BB34" s="875"/>
      <c r="BC34" s="875">
        <v>848458.9099999998</v>
      </c>
      <c r="BD34" s="875">
        <v>901331.37999999977</v>
      </c>
      <c r="BE34" s="2585">
        <f t="shared" si="3"/>
        <v>0.94133958811020202</v>
      </c>
      <c r="BF34" s="1131">
        <f t="shared" si="4"/>
        <v>5.8660411889797981E-2</v>
      </c>
      <c r="BH34" s="182">
        <v>894000</v>
      </c>
      <c r="BI34" s="875"/>
      <c r="BJ34" s="875"/>
      <c r="BK34" s="875">
        <v>87623.67</v>
      </c>
      <c r="BL34" s="875">
        <v>87623.67</v>
      </c>
      <c r="BM34" s="2585">
        <f t="shared" si="5"/>
        <v>1</v>
      </c>
      <c r="BN34" s="1131">
        <f t="shared" si="6"/>
        <v>0</v>
      </c>
      <c r="BR34" s="182">
        <v>870000</v>
      </c>
      <c r="BS34" s="1197"/>
      <c r="BT34" s="1197"/>
      <c r="BU34" s="1197"/>
      <c r="BV34" s="2600"/>
      <c r="BW34" s="1197">
        <v>30171.559999999998</v>
      </c>
      <c r="BX34" s="2600">
        <v>30171.559999999998</v>
      </c>
      <c r="BY34" s="1197">
        <v>30171.559999999998</v>
      </c>
      <c r="BZ34" s="2560">
        <f>'G-3.05,5.02 PF NE Labor'!$B$70</f>
        <v>3</v>
      </c>
      <c r="CA34" s="2594">
        <v>0.71040000000000003</v>
      </c>
      <c r="CB34" s="1197">
        <f t="shared" si="32"/>
        <v>21433.876224</v>
      </c>
      <c r="CC34" s="1197">
        <f t="shared" si="33"/>
        <v>0</v>
      </c>
      <c r="CD34" s="1197">
        <f t="shared" si="34"/>
        <v>21433.876224</v>
      </c>
    </row>
    <row r="35" spans="1:82">
      <c r="A35" s="2557">
        <v>879000</v>
      </c>
      <c r="B35" s="2553"/>
      <c r="C35" s="2553"/>
      <c r="D35" s="2553"/>
      <c r="E35" s="2553"/>
      <c r="F35" s="2605"/>
      <c r="G35" s="2553">
        <v>89475.060000000041</v>
      </c>
      <c r="H35" s="2553"/>
      <c r="I35" s="2553">
        <v>585405.61000000045</v>
      </c>
      <c r="J35" s="2553"/>
      <c r="K35" s="2553">
        <v>1095740.940000002</v>
      </c>
      <c r="L35" s="2605">
        <v>1770621.6100000027</v>
      </c>
      <c r="M35" s="2553">
        <v>1770621.6100000027</v>
      </c>
      <c r="N35" s="2560">
        <f t="shared" si="31"/>
        <v>3</v>
      </c>
      <c r="O35" s="2559">
        <f t="shared" si="12"/>
        <v>0.71040000000000003</v>
      </c>
      <c r="P35" s="2553">
        <f t="shared" si="13"/>
        <v>63563.082624000032</v>
      </c>
      <c r="Q35" s="2553">
        <f t="shared" si="14"/>
        <v>1095740.940000002</v>
      </c>
      <c r="R35" s="2553">
        <f t="shared" si="15"/>
        <v>1159304.0226240021</v>
      </c>
      <c r="S35" s="2553">
        <f>-IFERROR(VLOOKUP(A35,'G-3.05,5.02 PF NE Labor'!$BR$33:$CD$40,13,FALSE),0)</f>
        <v>0</v>
      </c>
      <c r="T35" s="2553">
        <f t="shared" si="16"/>
        <v>1159304.0226240021</v>
      </c>
      <c r="V35" s="2552">
        <f>VLOOKUP(A35,'G-3.05,5.02 PF NE Labor'!$BH$13:$BN$46,6,FALSE)</f>
        <v>0.95249611256214206</v>
      </c>
      <c r="W35" s="2552">
        <f>VLOOKUP(A35,'G-3.05,5.02 PF NE Labor'!$BH$13:$BN$46,7,FALSE)</f>
        <v>4.7503887437857939E-2</v>
      </c>
      <c r="Y35" s="2558">
        <f t="shared" si="17"/>
        <v>55071.447796986511</v>
      </c>
      <c r="Z35" s="2558">
        <f t="shared" si="18"/>
        <v>2200.6550539675809</v>
      </c>
      <c r="AA35" s="2558">
        <f t="shared" si="19"/>
        <v>2290.8841140381637</v>
      </c>
      <c r="AB35" s="2558">
        <f t="shared" si="20"/>
        <v>1497.4134922999053</v>
      </c>
      <c r="AC35" s="2558">
        <f t="shared" si="21"/>
        <v>1831.8120137187648</v>
      </c>
      <c r="AE35" s="2558">
        <f t="shared" si="22"/>
        <v>1104232.5748270156</v>
      </c>
      <c r="AF35" s="2558">
        <f t="shared" si="23"/>
        <v>28367.734847306034</v>
      </c>
      <c r="AG35" s="2558">
        <f t="shared" si="24"/>
        <v>56630.015483716088</v>
      </c>
      <c r="AH35" s="2558">
        <f t="shared" si="25"/>
        <v>45428.598421037037</v>
      </c>
      <c r="AI35" s="2558">
        <f t="shared" si="26"/>
        <v>42867.357826665473</v>
      </c>
      <c r="AK35" s="2558">
        <f t="shared" si="27"/>
        <v>1189872.4125252757</v>
      </c>
      <c r="AL35" s="2558">
        <f t="shared" si="28"/>
        <v>1248793.31212303</v>
      </c>
      <c r="AM35" s="2558">
        <f t="shared" si="29"/>
        <v>1236798.4244386125</v>
      </c>
      <c r="AN35" s="2558">
        <f t="shared" si="30"/>
        <v>1293492.4819634142</v>
      </c>
      <c r="AR35" s="2566" t="s">
        <v>2305</v>
      </c>
      <c r="AS35" s="2576"/>
      <c r="AT35" s="2576"/>
      <c r="AU35" s="3684">
        <v>0.03</v>
      </c>
      <c r="AV35" s="2576"/>
      <c r="AZ35" s="182">
        <v>921000</v>
      </c>
      <c r="BA35" s="875">
        <v>104658.00000000067</v>
      </c>
      <c r="BB35" s="875">
        <v>9196.2599999999948</v>
      </c>
      <c r="BC35" s="875">
        <v>50857.359999999666</v>
      </c>
      <c r="BD35" s="875">
        <v>164711.62000000034</v>
      </c>
      <c r="BE35" s="2585">
        <f t="shared" si="3"/>
        <v>0.30876607248474369</v>
      </c>
      <c r="BF35" s="1131">
        <f t="shared" si="4"/>
        <v>0.69123392751525636</v>
      </c>
      <c r="BH35" s="182">
        <v>935000</v>
      </c>
      <c r="BI35" s="875">
        <v>61765.500000000022</v>
      </c>
      <c r="BJ35" s="875">
        <v>37113.089999999997</v>
      </c>
      <c r="BK35" s="875">
        <v>187724.69999999992</v>
      </c>
      <c r="BL35" s="875">
        <v>286603.28999999992</v>
      </c>
      <c r="BM35" s="2585">
        <f t="shared" si="5"/>
        <v>0.65499841261417469</v>
      </c>
      <c r="BN35" s="1131">
        <f t="shared" si="6"/>
        <v>0.34500158738582531</v>
      </c>
      <c r="BR35" s="182">
        <v>880000</v>
      </c>
      <c r="BS35" s="1197"/>
      <c r="BT35" s="1197"/>
      <c r="BU35" s="1197"/>
      <c r="BV35" s="2600"/>
      <c r="BW35" s="1197">
        <v>415.7</v>
      </c>
      <c r="BX35" s="2600">
        <v>415.7</v>
      </c>
      <c r="BY35" s="1197">
        <v>415.7</v>
      </c>
      <c r="BZ35" s="2560">
        <v>3</v>
      </c>
      <c r="CA35" s="2594">
        <v>0.71040000000000003</v>
      </c>
      <c r="CB35" s="1197">
        <f t="shared" si="32"/>
        <v>295.31328000000002</v>
      </c>
      <c r="CC35" s="1197">
        <f t="shared" si="33"/>
        <v>0</v>
      </c>
      <c r="CD35" s="1197">
        <f t="shared" si="34"/>
        <v>295.31328000000002</v>
      </c>
    </row>
    <row r="36" spans="1:82">
      <c r="A36" s="2557">
        <v>880000</v>
      </c>
      <c r="B36" s="2553"/>
      <c r="C36" s="2553"/>
      <c r="D36" s="2553"/>
      <c r="E36" s="2553"/>
      <c r="F36" s="2605"/>
      <c r="G36" s="2553">
        <v>353713.54999999993</v>
      </c>
      <c r="H36" s="2553">
        <v>84226.98</v>
      </c>
      <c r="I36" s="2553">
        <v>277531.25000000012</v>
      </c>
      <c r="J36" s="2553"/>
      <c r="K36" s="2553">
        <v>1122525.8100000028</v>
      </c>
      <c r="L36" s="2605">
        <v>1837997.5900000029</v>
      </c>
      <c r="M36" s="2553">
        <v>1837997.5900000029</v>
      </c>
      <c r="N36" s="2560">
        <f t="shared" si="31"/>
        <v>3</v>
      </c>
      <c r="O36" s="2559">
        <f t="shared" si="12"/>
        <v>0.71040000000000003</v>
      </c>
      <c r="P36" s="2553">
        <f t="shared" si="13"/>
        <v>311112.95251199999</v>
      </c>
      <c r="Q36" s="2553">
        <f t="shared" si="14"/>
        <v>1122525.8100000028</v>
      </c>
      <c r="R36" s="2553">
        <f t="shared" si="15"/>
        <v>1433638.7625120028</v>
      </c>
      <c r="S36" s="2553">
        <f>-IFERROR(VLOOKUP(A36,'G-3.05,5.02 PF NE Labor'!$BR$33:$CD$40,13,FALSE),0)</f>
        <v>-295.31328000000002</v>
      </c>
      <c r="T36" s="2553">
        <f t="shared" si="16"/>
        <v>1433343.449232003</v>
      </c>
      <c r="V36" s="2552">
        <f>VLOOKUP(A36,'G-3.05,5.02 PF NE Labor'!$BH$13:$BN$46,6,FALSE)</f>
        <v>0.73611021674296606</v>
      </c>
      <c r="W36" s="2552">
        <f>VLOOKUP(A36,'G-3.05,5.02 PF NE Labor'!$BH$13:$BN$46,7,FALSE)</f>
        <v>0.26388978325703394</v>
      </c>
      <c r="Y36" s="2558">
        <f t="shared" si="17"/>
        <v>378244.69215072267</v>
      </c>
      <c r="Z36" s="2558">
        <f t="shared" si="18"/>
        <v>15114.657898342879</v>
      </c>
      <c r="AA36" s="2558">
        <f t="shared" si="19"/>
        <v>15734.374001962622</v>
      </c>
      <c r="AB36" s="2558">
        <f t="shared" si="20"/>
        <v>10284.616222642848</v>
      </c>
      <c r="AC36" s="2558">
        <f t="shared" si="21"/>
        <v>12581.350208210129</v>
      </c>
      <c r="AE36" s="2558">
        <f t="shared" si="22"/>
        <v>1055098.7570812802</v>
      </c>
      <c r="AF36" s="2558">
        <f t="shared" si="23"/>
        <v>27105.48706941809</v>
      </c>
      <c r="AG36" s="2558">
        <f t="shared" si="24"/>
        <v>54110.212207534925</v>
      </c>
      <c r="AH36" s="2558">
        <f t="shared" si="25"/>
        <v>43407.212232884507</v>
      </c>
      <c r="AI36" s="2558">
        <f t="shared" si="26"/>
        <v>40959.936333483609</v>
      </c>
      <c r="AK36" s="2558">
        <f t="shared" si="27"/>
        <v>1475563.5941997641</v>
      </c>
      <c r="AL36" s="2558">
        <f t="shared" si="28"/>
        <v>1545408.1804092615</v>
      </c>
      <c r="AM36" s="2558">
        <f t="shared" si="29"/>
        <v>1529255.4226552914</v>
      </c>
      <c r="AN36" s="2558">
        <f t="shared" si="30"/>
        <v>1598949.4669509551</v>
      </c>
      <c r="AR36" s="2566" t="s">
        <v>3417</v>
      </c>
      <c r="AU36" s="2574"/>
      <c r="AZ36" s="182">
        <v>544000</v>
      </c>
      <c r="BA36" s="875">
        <v>125797.66000000002</v>
      </c>
      <c r="BB36" s="875">
        <v>37107.33</v>
      </c>
      <c r="BC36" s="875">
        <v>1724045.6199999992</v>
      </c>
      <c r="BD36" s="875">
        <v>1886950.6099999992</v>
      </c>
      <c r="BE36" s="2585">
        <f t="shared" si="3"/>
        <v>0.91366759196733827</v>
      </c>
      <c r="BF36" s="1131">
        <f t="shared" si="4"/>
        <v>8.6332408032661734E-2</v>
      </c>
      <c r="BH36" s="182">
        <v>877000</v>
      </c>
      <c r="BI36" s="875"/>
      <c r="BJ36" s="875"/>
      <c r="BK36" s="875">
        <v>58969.509999999995</v>
      </c>
      <c r="BL36" s="875">
        <v>58969.509999999995</v>
      </c>
      <c r="BM36" s="2585">
        <f t="shared" si="5"/>
        <v>1</v>
      </c>
      <c r="BN36" s="1131">
        <f t="shared" si="6"/>
        <v>0</v>
      </c>
      <c r="BR36" s="182">
        <v>920000</v>
      </c>
      <c r="BS36" s="1197">
        <v>632914.89999999991</v>
      </c>
      <c r="BT36" s="1197"/>
      <c r="BU36" s="1197"/>
      <c r="BV36" s="2600">
        <v>632914.89999999991</v>
      </c>
      <c r="BW36" s="1197"/>
      <c r="BX36" s="2600"/>
      <c r="BY36" s="1197">
        <v>632914.89999999991</v>
      </c>
      <c r="BZ36" s="2560">
        <f>'G-3.05,5.02 PF NE Labor'!$B$71</f>
        <v>4</v>
      </c>
      <c r="CA36" s="2594">
        <v>0.71745999999999999</v>
      </c>
      <c r="CB36" s="1197">
        <f t="shared" si="32"/>
        <v>454091.1241539999</v>
      </c>
      <c r="CC36" s="1197">
        <f t="shared" si="33"/>
        <v>0</v>
      </c>
      <c r="CD36" s="1197">
        <f t="shared" si="34"/>
        <v>454091.1241539999</v>
      </c>
    </row>
    <row r="37" spans="1:82">
      <c r="A37" s="2557">
        <v>885000</v>
      </c>
      <c r="B37" s="2553"/>
      <c r="C37" s="2553"/>
      <c r="D37" s="2553"/>
      <c r="E37" s="2553"/>
      <c r="F37" s="2605"/>
      <c r="G37" s="2553"/>
      <c r="H37" s="2553"/>
      <c r="I37" s="2553">
        <v>12876.270000000002</v>
      </c>
      <c r="J37" s="2553"/>
      <c r="K37" s="2553">
        <v>7619.0300000000007</v>
      </c>
      <c r="L37" s="2605">
        <v>20495.300000000003</v>
      </c>
      <c r="M37" s="2553">
        <v>20495.300000000003</v>
      </c>
      <c r="N37" s="2560">
        <f t="shared" si="31"/>
        <v>3</v>
      </c>
      <c r="O37" s="2559">
        <f t="shared" si="12"/>
        <v>0.71040000000000003</v>
      </c>
      <c r="P37" s="2553">
        <f t="shared" si="13"/>
        <v>0</v>
      </c>
      <c r="Q37" s="2553">
        <f t="shared" si="14"/>
        <v>7619.0300000000007</v>
      </c>
      <c r="R37" s="2553">
        <f t="shared" si="15"/>
        <v>7619.0300000000007</v>
      </c>
      <c r="S37" s="2553">
        <f>-IFERROR(VLOOKUP(A37,'G-3.05,5.02 PF NE Labor'!$BR$33:$CD$40,13,FALSE),0)</f>
        <v>0</v>
      </c>
      <c r="T37" s="2553">
        <f t="shared" si="16"/>
        <v>7619.0300000000007</v>
      </c>
      <c r="V37" s="2552">
        <f>VLOOKUP(A37,'G-3.05,5.02 PF NE Labor'!$BH$13:$BN$46,6,FALSE)</f>
        <v>0.66724327926704963</v>
      </c>
      <c r="W37" s="2552">
        <f>VLOOKUP(A37,'G-3.05,5.02 PF NE Labor'!$BH$13:$BN$46,7,FALSE)</f>
        <v>0.33275672073295037</v>
      </c>
      <c r="Y37" s="2558">
        <f t="shared" si="17"/>
        <v>2535.2834379659712</v>
      </c>
      <c r="Z37" s="2558">
        <f t="shared" si="18"/>
        <v>101.30992618112022</v>
      </c>
      <c r="AA37" s="2558">
        <f t="shared" si="19"/>
        <v>105.46373456588367</v>
      </c>
      <c r="AB37" s="2558">
        <f t="shared" si="20"/>
        <v>68.935315461644194</v>
      </c>
      <c r="AC37" s="2558">
        <f t="shared" si="21"/>
        <v>84.329772425238573</v>
      </c>
      <c r="AE37" s="2558">
        <f t="shared" si="22"/>
        <v>5083.7465620340299</v>
      </c>
      <c r="AF37" s="2558">
        <f t="shared" si="23"/>
        <v>130.60144917865424</v>
      </c>
      <c r="AG37" s="2558">
        <f t="shared" si="24"/>
        <v>260.71740056063425</v>
      </c>
      <c r="AH37" s="2558">
        <f t="shared" si="25"/>
        <v>209.14749872974076</v>
      </c>
      <c r="AI37" s="2558">
        <f t="shared" si="26"/>
        <v>197.35587225266622</v>
      </c>
      <c r="AK37" s="2558">
        <f t="shared" si="27"/>
        <v>7850.9413753597764</v>
      </c>
      <c r="AL37" s="2558">
        <f t="shared" si="28"/>
        <v>8217.1225104862933</v>
      </c>
      <c r="AM37" s="2558">
        <f t="shared" si="29"/>
        <v>8129.0241895511608</v>
      </c>
      <c r="AN37" s="2558">
        <f t="shared" si="30"/>
        <v>8498.808155164199</v>
      </c>
      <c r="AT37" s="2573" t="str">
        <f>"279/365="</f>
        <v>279/365=</v>
      </c>
      <c r="AU37" s="2572">
        <f>ROUND(279/365,3)</f>
        <v>0.76400000000000001</v>
      </c>
      <c r="AZ37" s="182">
        <v>557000</v>
      </c>
      <c r="BA37" s="875">
        <v>2886244.4400000004</v>
      </c>
      <c r="BB37" s="875">
        <v>1210777.1899999997</v>
      </c>
      <c r="BC37" s="875">
        <v>-505.71</v>
      </c>
      <c r="BD37" s="875">
        <v>4096515.92</v>
      </c>
      <c r="BE37" s="2585">
        <f t="shared" si="3"/>
        <v>-1.2344880622360672E-4</v>
      </c>
      <c r="BF37" s="1131">
        <f t="shared" si="4"/>
        <v>1.0001234488062236</v>
      </c>
      <c r="BH37" s="182">
        <v>889000</v>
      </c>
      <c r="BI37" s="875">
        <v>105.98</v>
      </c>
      <c r="BJ37" s="875">
        <v>210.43</v>
      </c>
      <c r="BK37" s="875">
        <v>135680.95999999996</v>
      </c>
      <c r="BL37" s="875">
        <v>135997.36999999997</v>
      </c>
      <c r="BM37" s="2585">
        <f t="shared" si="5"/>
        <v>0.99767341089022532</v>
      </c>
      <c r="BN37" s="1131">
        <f t="shared" si="6"/>
        <v>2.3265891097746794E-3</v>
      </c>
      <c r="BR37" s="182">
        <v>921000</v>
      </c>
      <c r="BS37" s="1197">
        <v>495.54000000000025</v>
      </c>
      <c r="BT37" s="1197"/>
      <c r="BU37" s="1197"/>
      <c r="BV37" s="2600">
        <v>495.54000000000025</v>
      </c>
      <c r="BW37" s="1197"/>
      <c r="BX37" s="2600"/>
      <c r="BY37" s="1197">
        <v>495.54000000000025</v>
      </c>
      <c r="BZ37" s="2560">
        <f>'G-3.05,5.02 PF NE Labor'!$B$71</f>
        <v>4</v>
      </c>
      <c r="CA37" s="2594">
        <v>0.71745999999999999</v>
      </c>
      <c r="CB37" s="1197">
        <f t="shared" si="32"/>
        <v>355.53012840000019</v>
      </c>
      <c r="CC37" s="1197">
        <f t="shared" si="33"/>
        <v>0</v>
      </c>
      <c r="CD37" s="1197">
        <f t="shared" si="34"/>
        <v>355.53012840000019</v>
      </c>
    </row>
    <row r="38" spans="1:82">
      <c r="A38" s="2557">
        <v>887000</v>
      </c>
      <c r="B38" s="2553"/>
      <c r="C38" s="2553"/>
      <c r="D38" s="2553"/>
      <c r="E38" s="2553"/>
      <c r="F38" s="2605"/>
      <c r="G38" s="2553"/>
      <c r="H38" s="2553"/>
      <c r="I38" s="2553">
        <v>168484.73</v>
      </c>
      <c r="J38" s="2553"/>
      <c r="K38" s="2553">
        <v>567879.31000000157</v>
      </c>
      <c r="L38" s="2605">
        <v>736364.04000000155</v>
      </c>
      <c r="M38" s="2553">
        <v>736364.04000000155</v>
      </c>
      <c r="N38" s="2560">
        <f t="shared" si="31"/>
        <v>3</v>
      </c>
      <c r="O38" s="2559">
        <f t="shared" si="12"/>
        <v>0.71040000000000003</v>
      </c>
      <c r="P38" s="2553">
        <f t="shared" si="13"/>
        <v>0</v>
      </c>
      <c r="Q38" s="2553">
        <f t="shared" si="14"/>
        <v>567879.31000000157</v>
      </c>
      <c r="R38" s="2553">
        <f t="shared" si="15"/>
        <v>567879.31000000157</v>
      </c>
      <c r="S38" s="2553">
        <f>-IFERROR(VLOOKUP(A38,'G-3.05,5.02 PF NE Labor'!$BR$33:$CD$40,13,FALSE),0)</f>
        <v>0</v>
      </c>
      <c r="T38" s="2553">
        <f t="shared" si="16"/>
        <v>567879.31000000157</v>
      </c>
      <c r="V38" s="2552">
        <f>VLOOKUP(A38,'G-3.05,5.02 PF NE Labor'!$BH$13:$BN$46,6,FALSE)</f>
        <v>0.93134703995222501</v>
      </c>
      <c r="W38" s="2552">
        <f>VLOOKUP(A38,'G-3.05,5.02 PF NE Labor'!$BH$13:$BN$46,7,FALSE)</f>
        <v>6.8652960047774991E-2</v>
      </c>
      <c r="Y38" s="2558">
        <f t="shared" si="17"/>
        <v>38986.595581388137</v>
      </c>
      <c r="Z38" s="2558">
        <f t="shared" si="18"/>
        <v>1557.90435943227</v>
      </c>
      <c r="AA38" s="2558">
        <f t="shared" si="19"/>
        <v>1621.7799976328165</v>
      </c>
      <c r="AB38" s="2558">
        <f t="shared" si="20"/>
        <v>1060.0602776527141</v>
      </c>
      <c r="AC38" s="2558">
        <f t="shared" si="21"/>
        <v>1296.7902064831783</v>
      </c>
      <c r="AE38" s="2558">
        <f t="shared" si="22"/>
        <v>528892.71441861347</v>
      </c>
      <c r="AF38" s="2558">
        <f t="shared" si="23"/>
        <v>13587.253833414181</v>
      </c>
      <c r="AG38" s="2558">
        <f t="shared" si="24"/>
        <v>27123.998412601384</v>
      </c>
      <c r="AH38" s="2558">
        <f t="shared" si="25"/>
        <v>21758.871526588828</v>
      </c>
      <c r="AI38" s="2558">
        <f t="shared" si="26"/>
        <v>20532.117741999085</v>
      </c>
      <c r="AK38" s="2558">
        <f t="shared" si="27"/>
        <v>583024.46819284803</v>
      </c>
      <c r="AL38" s="2558">
        <f t="shared" si="28"/>
        <v>611770.24660308228</v>
      </c>
      <c r="AM38" s="2558">
        <f t="shared" si="29"/>
        <v>605843.39999708952</v>
      </c>
      <c r="AN38" s="2558">
        <f t="shared" si="30"/>
        <v>633599.1545515646</v>
      </c>
      <c r="AU38" s="2567">
        <f>AU35*AU37</f>
        <v>2.2919999999999999E-2</v>
      </c>
      <c r="AV38" s="2576"/>
      <c r="AZ38" s="182">
        <v>535000</v>
      </c>
      <c r="BA38" s="875">
        <v>1397483.0400000005</v>
      </c>
      <c r="BB38" s="875">
        <v>154724.55000000002</v>
      </c>
      <c r="BC38" s="875">
        <v>2526.5500000000002</v>
      </c>
      <c r="BD38" s="875">
        <v>1554734.1400000006</v>
      </c>
      <c r="BE38" s="2585">
        <f t="shared" si="3"/>
        <v>1.6250688365278961E-3</v>
      </c>
      <c r="BF38" s="1131">
        <f t="shared" si="4"/>
        <v>0.99837493116347209</v>
      </c>
      <c r="BH38" s="182">
        <v>909000</v>
      </c>
      <c r="BI38" s="875">
        <v>16805.75</v>
      </c>
      <c r="BJ38" s="875"/>
      <c r="BK38" s="875"/>
      <c r="BL38" s="875">
        <v>16805.75</v>
      </c>
      <c r="BM38" s="2585">
        <f t="shared" si="5"/>
        <v>0</v>
      </c>
      <c r="BN38" s="1131">
        <f t="shared" si="6"/>
        <v>1</v>
      </c>
      <c r="BR38" s="182">
        <v>926100</v>
      </c>
      <c r="BS38" s="1197">
        <v>327.35000000000002</v>
      </c>
      <c r="BT38" s="1197"/>
      <c r="BU38" s="1197"/>
      <c r="BV38" s="2600">
        <v>327.35000000000002</v>
      </c>
      <c r="BW38" s="1197"/>
      <c r="BX38" s="2600"/>
      <c r="BY38" s="1197">
        <v>327.35000000000002</v>
      </c>
      <c r="BZ38" s="2560">
        <f>'G-3.05,5.02 PF NE Labor'!$B$71</f>
        <v>4</v>
      </c>
      <c r="CA38" s="2594">
        <v>0.71745999999999999</v>
      </c>
      <c r="CB38" s="1197">
        <f t="shared" si="32"/>
        <v>234.86053100000001</v>
      </c>
      <c r="CC38" s="1197">
        <f t="shared" si="33"/>
        <v>0</v>
      </c>
      <c r="CD38" s="1197">
        <f t="shared" si="34"/>
        <v>234.86053100000001</v>
      </c>
    </row>
    <row r="39" spans="1:82" ht="13.5" thickBot="1">
      <c r="A39" s="2557">
        <v>889000</v>
      </c>
      <c r="B39" s="2553"/>
      <c r="C39" s="2553"/>
      <c r="D39" s="2553"/>
      <c r="E39" s="2553"/>
      <c r="F39" s="2605"/>
      <c r="G39" s="2553">
        <v>24102.520000000008</v>
      </c>
      <c r="H39" s="2553"/>
      <c r="I39" s="2553">
        <v>27521.649999999998</v>
      </c>
      <c r="J39" s="2553"/>
      <c r="K39" s="2553">
        <v>104201.6099999999</v>
      </c>
      <c r="L39" s="2605">
        <v>155825.77999999991</v>
      </c>
      <c r="M39" s="2553">
        <v>155825.77999999991</v>
      </c>
      <c r="N39" s="2560">
        <f t="shared" si="31"/>
        <v>3</v>
      </c>
      <c r="O39" s="2559">
        <f t="shared" si="12"/>
        <v>0.71040000000000003</v>
      </c>
      <c r="P39" s="2553">
        <f t="shared" si="13"/>
        <v>17122.430208000005</v>
      </c>
      <c r="Q39" s="2553">
        <f t="shared" si="14"/>
        <v>104201.6099999999</v>
      </c>
      <c r="R39" s="2553">
        <f t="shared" si="15"/>
        <v>121324.0402079999</v>
      </c>
      <c r="S39" s="2553">
        <f>-IFERROR(VLOOKUP(A39,'G-3.05,5.02 PF NE Labor'!$BR$33:$CD$40,13,FALSE),0)</f>
        <v>0</v>
      </c>
      <c r="T39" s="2553">
        <f t="shared" si="16"/>
        <v>121324.0402079999</v>
      </c>
      <c r="V39" s="2552">
        <f>VLOOKUP(A39,'G-3.05,5.02 PF NE Labor'!$BH$13:$BN$46,6,FALSE)</f>
        <v>0.99767341089022532</v>
      </c>
      <c r="W39" s="2552">
        <f>VLOOKUP(A39,'G-3.05,5.02 PF NE Labor'!$BH$13:$BN$46,7,FALSE)</f>
        <v>2.3265891097746794E-3</v>
      </c>
      <c r="Y39" s="2558">
        <f t="shared" si="17"/>
        <v>282.27119070179788</v>
      </c>
      <c r="Z39" s="2558">
        <f t="shared" si="18"/>
        <v>11.279556780443844</v>
      </c>
      <c r="AA39" s="2558">
        <f t="shared" si="19"/>
        <v>11.742029899289669</v>
      </c>
      <c r="AB39" s="2558">
        <f t="shared" si="20"/>
        <v>7.6750604233716988</v>
      </c>
      <c r="AC39" s="2558">
        <f t="shared" si="21"/>
        <v>9.3890351341470915</v>
      </c>
      <c r="AE39" s="2558">
        <f t="shared" si="22"/>
        <v>121041.76901729811</v>
      </c>
      <c r="AF39" s="2558">
        <f t="shared" si="23"/>
        <v>3109.5630460543885</v>
      </c>
      <c r="AG39" s="2558">
        <f t="shared" si="24"/>
        <v>6207.5666031676255</v>
      </c>
      <c r="AH39" s="2558">
        <f t="shared" si="25"/>
        <v>4979.7099290610686</v>
      </c>
      <c r="AI39" s="2558">
        <f t="shared" si="26"/>
        <v>4698.9564904385797</v>
      </c>
      <c r="AK39" s="2558">
        <f t="shared" si="27"/>
        <v>124444.88281083474</v>
      </c>
      <c r="AL39" s="2558">
        <f t="shared" si="28"/>
        <v>130664.19144390165</v>
      </c>
      <c r="AM39" s="2558">
        <f t="shared" si="29"/>
        <v>129432.26780031917</v>
      </c>
      <c r="AN39" s="2558">
        <f t="shared" si="30"/>
        <v>135372.53696947437</v>
      </c>
      <c r="AR39" s="2568" t="s">
        <v>2304</v>
      </c>
      <c r="AU39" s="3687">
        <f>ROUND(AU38+AU34,5)</f>
        <v>3.4720000000000001E-2</v>
      </c>
      <c r="AV39" s="2576"/>
      <c r="AZ39" s="182">
        <v>562000</v>
      </c>
      <c r="BA39" s="875">
        <v>5473.03</v>
      </c>
      <c r="BB39" s="875"/>
      <c r="BC39" s="875">
        <v>121463.46000000004</v>
      </c>
      <c r="BD39" s="875">
        <v>126936.49000000003</v>
      </c>
      <c r="BE39" s="2585">
        <f t="shared" si="3"/>
        <v>0.95688371405259431</v>
      </c>
      <c r="BF39" s="1131">
        <f t="shared" si="4"/>
        <v>4.3116285947405686E-2</v>
      </c>
      <c r="BH39" s="182">
        <v>910000</v>
      </c>
      <c r="BI39" s="875">
        <v>25946.879999999997</v>
      </c>
      <c r="BJ39" s="875"/>
      <c r="BK39" s="875"/>
      <c r="BL39" s="875">
        <v>25946.879999999997</v>
      </c>
      <c r="BM39" s="2585">
        <f t="shared" si="5"/>
        <v>0</v>
      </c>
      <c r="BN39" s="1131">
        <f t="shared" si="6"/>
        <v>1</v>
      </c>
      <c r="BR39" s="182">
        <v>928000</v>
      </c>
      <c r="BS39" s="1197"/>
      <c r="BT39" s="1197">
        <v>10011.83</v>
      </c>
      <c r="BU39" s="1197">
        <v>10586.98</v>
      </c>
      <c r="BV39" s="2600">
        <v>20598.809999999998</v>
      </c>
      <c r="BW39" s="1197"/>
      <c r="BX39" s="2600"/>
      <c r="BY39" s="1197">
        <v>20598.809999999998</v>
      </c>
      <c r="BZ39" s="2560">
        <f>'G-3.05,5.02 PF NE Labor'!$B$71</f>
        <v>4</v>
      </c>
      <c r="CA39" s="2594">
        <v>0.71745999999999999</v>
      </c>
      <c r="CB39" s="1197">
        <f t="shared" si="32"/>
        <v>0</v>
      </c>
      <c r="CC39" s="1197">
        <f t="shared" si="33"/>
        <v>10586.98</v>
      </c>
      <c r="CD39" s="1197">
        <f t="shared" si="34"/>
        <v>10586.98</v>
      </c>
    </row>
    <row r="40" spans="1:82" ht="13.5" thickTop="1">
      <c r="A40" s="2557">
        <v>890000</v>
      </c>
      <c r="B40" s="2553"/>
      <c r="C40" s="2553"/>
      <c r="D40" s="2553"/>
      <c r="E40" s="2553"/>
      <c r="F40" s="2605"/>
      <c r="G40" s="2553">
        <v>801.40000000000009</v>
      </c>
      <c r="H40" s="2553"/>
      <c r="I40" s="2553">
        <v>2893.7200000000003</v>
      </c>
      <c r="J40" s="2553"/>
      <c r="K40" s="2553">
        <v>4537.619999999999</v>
      </c>
      <c r="L40" s="2605">
        <v>8232.74</v>
      </c>
      <c r="M40" s="2553">
        <v>8232.74</v>
      </c>
      <c r="N40" s="2560">
        <f t="shared" si="31"/>
        <v>3</v>
      </c>
      <c r="O40" s="2559">
        <f t="shared" si="12"/>
        <v>0.71040000000000003</v>
      </c>
      <c r="P40" s="2553">
        <f t="shared" si="13"/>
        <v>569.31456000000014</v>
      </c>
      <c r="Q40" s="2553">
        <f t="shared" si="14"/>
        <v>4537.619999999999</v>
      </c>
      <c r="R40" s="2553">
        <f t="shared" si="15"/>
        <v>5106.9345599999988</v>
      </c>
      <c r="S40" s="2553">
        <f>-IFERROR(VLOOKUP(A40,'G-3.05,5.02 PF NE Labor'!$BR$33:$CD$40,13,FALSE),0)</f>
        <v>0</v>
      </c>
      <c r="T40" s="2553">
        <f t="shared" si="16"/>
        <v>5106.9345599999988</v>
      </c>
      <c r="V40" s="2552">
        <f>VLOOKUP(A40,'G-3.05,5.02 PF NE Labor'!$BH$13:$BN$46,6,FALSE)</f>
        <v>1</v>
      </c>
      <c r="W40" s="2552">
        <f>VLOOKUP(A40,'G-3.05,5.02 PF NE Labor'!$BH$13:$BN$46,7,FALSE)</f>
        <v>0</v>
      </c>
      <c r="Y40" s="2558">
        <f t="shared" si="17"/>
        <v>0</v>
      </c>
      <c r="Z40" s="2558">
        <f t="shared" si="18"/>
        <v>0</v>
      </c>
      <c r="AA40" s="2558">
        <f t="shared" si="19"/>
        <v>0</v>
      </c>
      <c r="AB40" s="2558">
        <f t="shared" si="20"/>
        <v>0</v>
      </c>
      <c r="AC40" s="2558">
        <f t="shared" si="21"/>
        <v>0</v>
      </c>
      <c r="AE40" s="2558">
        <f t="shared" si="22"/>
        <v>5106.9345599999988</v>
      </c>
      <c r="AF40" s="2558">
        <f t="shared" si="23"/>
        <v>131.19714884639998</v>
      </c>
      <c r="AG40" s="2558">
        <f t="shared" si="24"/>
        <v>261.90658544231991</v>
      </c>
      <c r="AH40" s="2558">
        <f t="shared" si="25"/>
        <v>210.10146284182903</v>
      </c>
      <c r="AI40" s="2558">
        <f t="shared" si="26"/>
        <v>198.25605236757261</v>
      </c>
      <c r="AK40" s="2558">
        <f t="shared" si="27"/>
        <v>5238.1317088463984</v>
      </c>
      <c r="AL40" s="2558">
        <f t="shared" si="28"/>
        <v>5500.0382942887181</v>
      </c>
      <c r="AM40" s="2558">
        <f t="shared" si="29"/>
        <v>5448.2331716882272</v>
      </c>
      <c r="AN40" s="2558">
        <f t="shared" si="30"/>
        <v>5698.2943466562911</v>
      </c>
      <c r="AZ40" s="182">
        <v>536000</v>
      </c>
      <c r="BA40" s="875">
        <v>16973.79</v>
      </c>
      <c r="BB40" s="875">
        <v>630</v>
      </c>
      <c r="BC40" s="875"/>
      <c r="BD40" s="875">
        <v>17603.79</v>
      </c>
      <c r="BE40" s="2585">
        <f t="shared" si="3"/>
        <v>0</v>
      </c>
      <c r="BF40" s="1131">
        <f t="shared" si="4"/>
        <v>1</v>
      </c>
      <c r="BH40" s="182">
        <v>885000</v>
      </c>
      <c r="BI40" s="875">
        <v>504.03</v>
      </c>
      <c r="BJ40" s="875">
        <v>5447.68</v>
      </c>
      <c r="BK40" s="875">
        <v>11934.359999999999</v>
      </c>
      <c r="BL40" s="875">
        <v>17886.07</v>
      </c>
      <c r="BM40" s="2585">
        <f t="shared" si="5"/>
        <v>0.66724327926704963</v>
      </c>
      <c r="BN40" s="1131">
        <f t="shared" si="6"/>
        <v>0.33275672073295037</v>
      </c>
      <c r="BR40" s="182">
        <v>930200</v>
      </c>
      <c r="BS40" s="1197">
        <v>8416.66</v>
      </c>
      <c r="BT40" s="1197"/>
      <c r="BU40" s="1197"/>
      <c r="BV40" s="2600">
        <v>8416.66</v>
      </c>
      <c r="BW40" s="1197"/>
      <c r="BX40" s="2600"/>
      <c r="BY40" s="1197">
        <v>8416.66</v>
      </c>
      <c r="BZ40" s="2560">
        <f>'G-3.05,5.02 PF NE Labor'!$B$71</f>
        <v>4</v>
      </c>
      <c r="CA40" s="2594">
        <v>0.71745999999999999</v>
      </c>
      <c r="CB40" s="1197">
        <f t="shared" si="32"/>
        <v>6038.6168835999997</v>
      </c>
      <c r="CC40" s="1197">
        <f t="shared" si="33"/>
        <v>0</v>
      </c>
      <c r="CD40" s="1197">
        <f t="shared" si="34"/>
        <v>6038.6168835999997</v>
      </c>
    </row>
    <row r="41" spans="1:82">
      <c r="A41" s="2557">
        <v>891000</v>
      </c>
      <c r="B41" s="2553"/>
      <c r="C41" s="2553"/>
      <c r="D41" s="2553"/>
      <c r="E41" s="2553"/>
      <c r="F41" s="2605"/>
      <c r="G41" s="2553">
        <v>4419.9000000000015</v>
      </c>
      <c r="H41" s="2553"/>
      <c r="I41" s="2553">
        <v>9405.9599999999973</v>
      </c>
      <c r="J41" s="2553"/>
      <c r="K41" s="2553">
        <v>34639.47</v>
      </c>
      <c r="L41" s="2605">
        <v>48465.33</v>
      </c>
      <c r="M41" s="2553">
        <v>48465.33</v>
      </c>
      <c r="N41" s="2560">
        <f t="shared" si="31"/>
        <v>3</v>
      </c>
      <c r="O41" s="2559">
        <f t="shared" si="12"/>
        <v>0.71040000000000003</v>
      </c>
      <c r="P41" s="2553">
        <f t="shared" si="13"/>
        <v>3139.8969600000014</v>
      </c>
      <c r="Q41" s="2553">
        <f t="shared" si="14"/>
        <v>34639.47</v>
      </c>
      <c r="R41" s="2553">
        <f t="shared" si="15"/>
        <v>37779.366959999999</v>
      </c>
      <c r="S41" s="2553">
        <f>-IFERROR(VLOOKUP(A41,'G-3.05,5.02 PF NE Labor'!$BR$33:$CD$40,13,FALSE),0)</f>
        <v>0</v>
      </c>
      <c r="T41" s="2553">
        <f t="shared" si="16"/>
        <v>37779.366959999999</v>
      </c>
      <c r="V41" s="2552">
        <f>VLOOKUP(A41,'G-3.05,5.02 PF NE Labor'!$BH$13:$BN$46,6,FALSE)</f>
        <v>0.94659704309412773</v>
      </c>
      <c r="W41" s="2552">
        <f>VLOOKUP(A41,'G-3.05,5.02 PF NE Labor'!$BH$13:$BN$46,7,FALSE)</f>
        <v>5.3402956905872268E-2</v>
      </c>
      <c r="Y41" s="2558">
        <f t="shared" si="17"/>
        <v>2017.5299056960146</v>
      </c>
      <c r="Z41" s="2558">
        <f t="shared" si="18"/>
        <v>80.620495031612748</v>
      </c>
      <c r="AA41" s="2558">
        <f t="shared" si="19"/>
        <v>83.926016029105085</v>
      </c>
      <c r="AB41" s="2558">
        <f t="shared" si="20"/>
        <v>54.857401117264246</v>
      </c>
      <c r="AC41" s="2558">
        <f t="shared" si="21"/>
        <v>67.108014536219883</v>
      </c>
      <c r="AE41" s="2558">
        <f t="shared" si="22"/>
        <v>35761.837054303985</v>
      </c>
      <c r="AF41" s="2558">
        <f t="shared" si="23"/>
        <v>918.72159392506944</v>
      </c>
      <c r="AG41" s="2558">
        <f t="shared" si="24"/>
        <v>1834.0279324114526</v>
      </c>
      <c r="AH41" s="2558">
        <f t="shared" si="25"/>
        <v>1471.2572073804672</v>
      </c>
      <c r="AI41" s="2558">
        <f t="shared" si="26"/>
        <v>1388.3084963200884</v>
      </c>
      <c r="AK41" s="2558">
        <f t="shared" si="27"/>
        <v>38778.709048956676</v>
      </c>
      <c r="AL41" s="2558">
        <f t="shared" si="28"/>
        <v>40696.66299739723</v>
      </c>
      <c r="AM41" s="2558">
        <f t="shared" si="29"/>
        <v>40304.823657454413</v>
      </c>
      <c r="AN41" s="2558">
        <f t="shared" si="30"/>
        <v>42152.079508253541</v>
      </c>
      <c r="AR41" s="2578" t="s">
        <v>2303</v>
      </c>
      <c r="AZ41" s="182">
        <v>905000</v>
      </c>
      <c r="BA41" s="875">
        <v>26409.039999999997</v>
      </c>
      <c r="BB41" s="875">
        <v>223219.09000000023</v>
      </c>
      <c r="BC41" s="875">
        <v>4679.96</v>
      </c>
      <c r="BD41" s="875">
        <v>254308.09000000023</v>
      </c>
      <c r="BE41" s="2585">
        <f t="shared" si="3"/>
        <v>1.840271774287635E-2</v>
      </c>
      <c r="BF41" s="1131">
        <f t="shared" si="4"/>
        <v>0.98159728225712362</v>
      </c>
      <c r="BH41" s="182">
        <v>931000</v>
      </c>
      <c r="BI41" s="875">
        <v>199.66000000000003</v>
      </c>
      <c r="BJ41" s="875"/>
      <c r="BK41" s="875"/>
      <c r="BL41" s="875">
        <v>199.66000000000003</v>
      </c>
      <c r="BM41" s="2585">
        <f t="shared" si="5"/>
        <v>0</v>
      </c>
      <c r="BN41" s="1131">
        <f t="shared" si="6"/>
        <v>1</v>
      </c>
      <c r="BR41" s="1476" t="s">
        <v>978</v>
      </c>
      <c r="BS41" s="2601">
        <v>642154.44999999995</v>
      </c>
      <c r="BT41" s="2601">
        <v>10011.83</v>
      </c>
      <c r="BU41" s="2601">
        <v>10586.98</v>
      </c>
      <c r="BV41" s="2601">
        <v>662753.25999999989</v>
      </c>
      <c r="BW41" s="2601">
        <v>163149.12000000002</v>
      </c>
      <c r="BX41" s="2601">
        <v>163149.12000000002</v>
      </c>
      <c r="BY41" s="2601">
        <v>825902.38</v>
      </c>
      <c r="CB41" s="1197">
        <f>SUM(CB33:CB40)</f>
        <v>571286.9772985999</v>
      </c>
      <c r="CC41" s="1197">
        <f>SUM(CC33:CC40)</f>
        <v>10586.98</v>
      </c>
      <c r="CD41" s="2593">
        <f>SUM(CD33:CD40)</f>
        <v>581873.95729859988</v>
      </c>
    </row>
    <row r="42" spans="1:82">
      <c r="A42" s="2557">
        <v>892000</v>
      </c>
      <c r="B42" s="2553"/>
      <c r="C42" s="2553"/>
      <c r="D42" s="2553"/>
      <c r="E42" s="2553"/>
      <c r="F42" s="2605"/>
      <c r="G42" s="2553"/>
      <c r="H42" s="2553"/>
      <c r="I42" s="2553">
        <v>229155.14000000004</v>
      </c>
      <c r="J42" s="2553"/>
      <c r="K42" s="2553">
        <v>565851.65000000072</v>
      </c>
      <c r="L42" s="2605">
        <v>795006.79000000074</v>
      </c>
      <c r="M42" s="2553">
        <v>795006.79000000074</v>
      </c>
      <c r="N42" s="2560">
        <f t="shared" si="31"/>
        <v>3</v>
      </c>
      <c r="O42" s="2559">
        <f t="shared" si="12"/>
        <v>0.71040000000000003</v>
      </c>
      <c r="P42" s="2553">
        <f t="shared" si="13"/>
        <v>0</v>
      </c>
      <c r="Q42" s="2553">
        <f t="shared" si="14"/>
        <v>565851.65000000072</v>
      </c>
      <c r="R42" s="2553">
        <f t="shared" si="15"/>
        <v>565851.65000000072</v>
      </c>
      <c r="S42" s="2553">
        <f>-IFERROR(VLOOKUP(A42,'G-3.05,5.02 PF NE Labor'!$BR$33:$CD$40,13,FALSE),0)</f>
        <v>0</v>
      </c>
      <c r="T42" s="2553">
        <f t="shared" si="16"/>
        <v>565851.65000000072</v>
      </c>
      <c r="V42" s="2552">
        <f>VLOOKUP(A42,'G-3.05,5.02 PF NE Labor'!$BH$13:$BN$46,6,FALSE)</f>
        <v>0.95051847541755874</v>
      </c>
      <c r="W42" s="2552">
        <f>VLOOKUP(A42,'G-3.05,5.02 PF NE Labor'!$BH$13:$BN$46,7,FALSE)</f>
        <v>4.9481524582441261E-2</v>
      </c>
      <c r="Y42" s="2558">
        <f t="shared" si="17"/>
        <v>27999.202329489985</v>
      </c>
      <c r="Z42" s="2558">
        <f t="shared" si="18"/>
        <v>1118.8481250864199</v>
      </c>
      <c r="AA42" s="2558">
        <f t="shared" si="19"/>
        <v>1164.7220181830562</v>
      </c>
      <c r="AB42" s="2558">
        <f t="shared" si="20"/>
        <v>761.30889996517283</v>
      </c>
      <c r="AC42" s="2558">
        <f t="shared" si="21"/>
        <v>931.32244118173901</v>
      </c>
      <c r="AE42" s="2558">
        <f t="shared" si="22"/>
        <v>537852.44767051074</v>
      </c>
      <c r="AF42" s="2558">
        <f t="shared" si="23"/>
        <v>13817.429380655421</v>
      </c>
      <c r="AG42" s="2558">
        <f t="shared" si="24"/>
        <v>27583.493852558309</v>
      </c>
      <c r="AH42" s="2558">
        <f t="shared" si="25"/>
        <v>22127.478768522273</v>
      </c>
      <c r="AI42" s="2558">
        <f t="shared" si="26"/>
        <v>20879.943100620407</v>
      </c>
      <c r="AK42" s="2558">
        <f t="shared" si="27"/>
        <v>580787.92750574253</v>
      </c>
      <c r="AL42" s="2558">
        <f t="shared" si="28"/>
        <v>609536.14337648393</v>
      </c>
      <c r="AM42" s="2558">
        <f t="shared" si="29"/>
        <v>603676.71517422993</v>
      </c>
      <c r="AN42" s="2558">
        <f t="shared" si="30"/>
        <v>631347.40891828609</v>
      </c>
      <c r="AR42" s="2578"/>
      <c r="AZ42" s="182">
        <v>539000</v>
      </c>
      <c r="BA42" s="875">
        <v>133000.78999999998</v>
      </c>
      <c r="BB42" s="875">
        <v>33940.079999999987</v>
      </c>
      <c r="BC42" s="875">
        <v>178904.84999999989</v>
      </c>
      <c r="BD42" s="875">
        <v>345845.71999999986</v>
      </c>
      <c r="BE42" s="2585">
        <f t="shared" si="3"/>
        <v>0.5172967009682814</v>
      </c>
      <c r="BF42" s="1131">
        <f t="shared" si="4"/>
        <v>0.4827032990317186</v>
      </c>
      <c r="BH42" s="182">
        <v>901000</v>
      </c>
      <c r="BI42" s="875">
        <v>68136.09</v>
      </c>
      <c r="BJ42" s="875"/>
      <c r="BK42" s="875"/>
      <c r="BL42" s="875">
        <v>68136.09</v>
      </c>
      <c r="BM42" s="2585">
        <f t="shared" si="5"/>
        <v>0</v>
      </c>
      <c r="BN42" s="1131">
        <f t="shared" si="6"/>
        <v>1</v>
      </c>
    </row>
    <row r="43" spans="1:82">
      <c r="A43" s="2557">
        <v>893000</v>
      </c>
      <c r="B43" s="2553"/>
      <c r="C43" s="2553"/>
      <c r="D43" s="2553"/>
      <c r="E43" s="2553"/>
      <c r="F43" s="2605"/>
      <c r="G43" s="2553"/>
      <c r="H43" s="2553">
        <v>432675.29000000021</v>
      </c>
      <c r="I43" s="2553">
        <v>231913.2000000001</v>
      </c>
      <c r="J43" s="2553"/>
      <c r="K43" s="2553">
        <v>681721.07000000018</v>
      </c>
      <c r="L43" s="2605">
        <v>1346309.5600000005</v>
      </c>
      <c r="M43" s="2553">
        <v>1346309.5600000005</v>
      </c>
      <c r="N43" s="2560">
        <f t="shared" si="31"/>
        <v>3</v>
      </c>
      <c r="O43" s="2559">
        <f t="shared" si="12"/>
        <v>0.71040000000000003</v>
      </c>
      <c r="P43" s="2553">
        <f t="shared" si="13"/>
        <v>307372.52601600019</v>
      </c>
      <c r="Q43" s="2553">
        <f t="shared" si="14"/>
        <v>681721.07000000018</v>
      </c>
      <c r="R43" s="2553">
        <f t="shared" si="15"/>
        <v>989093.59601600037</v>
      </c>
      <c r="S43" s="2553">
        <f>-IFERROR(VLOOKUP(A43,'G-3.05,5.02 PF NE Labor'!$BR$33:$CD$40,13,FALSE),0)</f>
        <v>0</v>
      </c>
      <c r="T43" s="2553">
        <f t="shared" si="16"/>
        <v>989093.59601600037</v>
      </c>
      <c r="V43" s="2552">
        <f>VLOOKUP(A43,'G-3.05,5.02 PF NE Labor'!$BH$13:$BN$46,6,FALSE)</f>
        <v>1</v>
      </c>
      <c r="W43" s="2552">
        <f>VLOOKUP(A43,'G-3.05,5.02 PF NE Labor'!$BH$13:$BN$46,7,FALSE)</f>
        <v>0</v>
      </c>
      <c r="Y43" s="2558">
        <f t="shared" si="17"/>
        <v>0</v>
      </c>
      <c r="Z43" s="2558">
        <f t="shared" si="18"/>
        <v>0</v>
      </c>
      <c r="AA43" s="2558">
        <f t="shared" si="19"/>
        <v>0</v>
      </c>
      <c r="AB43" s="2558">
        <f t="shared" si="20"/>
        <v>0</v>
      </c>
      <c r="AC43" s="2558">
        <f t="shared" si="21"/>
        <v>0</v>
      </c>
      <c r="AE43" s="2558">
        <f t="shared" si="22"/>
        <v>989093.59601600037</v>
      </c>
      <c r="AF43" s="2558">
        <f t="shared" si="23"/>
        <v>25409.81448165105</v>
      </c>
      <c r="AG43" s="2558">
        <f t="shared" si="24"/>
        <v>50725.170524882575</v>
      </c>
      <c r="AH43" s="2558">
        <f t="shared" si="25"/>
        <v>40691.731795060798</v>
      </c>
      <c r="AI43" s="2558">
        <f t="shared" si="26"/>
        <v>38397.5532610269</v>
      </c>
      <c r="AK43" s="2558">
        <f t="shared" si="27"/>
        <v>1014503.4104976514</v>
      </c>
      <c r="AL43" s="2558">
        <f t="shared" si="28"/>
        <v>1065228.5810225341</v>
      </c>
      <c r="AM43" s="2558">
        <f t="shared" si="29"/>
        <v>1055195.1422927123</v>
      </c>
      <c r="AN43" s="2558">
        <f t="shared" si="30"/>
        <v>1103626.134283561</v>
      </c>
      <c r="AR43" s="2578" t="str">
        <f>+AR13</f>
        <v>2023 Adjustment</v>
      </c>
      <c r="AZ43" s="182">
        <v>930200</v>
      </c>
      <c r="BA43" s="875">
        <v>155043.90999999992</v>
      </c>
      <c r="BB43" s="875">
        <v>34548.36</v>
      </c>
      <c r="BC43" s="875">
        <v>192678.90999999989</v>
      </c>
      <c r="BD43" s="875">
        <v>382271.17999999982</v>
      </c>
      <c r="BE43" s="2585">
        <f t="shared" si="3"/>
        <v>0.50403723869531569</v>
      </c>
      <c r="BF43" s="1131">
        <f t="shared" si="4"/>
        <v>0.49596276130468431</v>
      </c>
      <c r="BH43" s="182">
        <v>890000</v>
      </c>
      <c r="BI43" s="875"/>
      <c r="BJ43" s="875"/>
      <c r="BK43" s="875">
        <v>7343.0199999999995</v>
      </c>
      <c r="BL43" s="875">
        <v>7343.0199999999995</v>
      </c>
      <c r="BM43" s="2585">
        <f t="shared" si="5"/>
        <v>1</v>
      </c>
      <c r="BN43" s="1131">
        <f t="shared" si="6"/>
        <v>0</v>
      </c>
      <c r="BY43" s="2592"/>
    </row>
    <row r="44" spans="1:82">
      <c r="A44" s="2557">
        <v>894000</v>
      </c>
      <c r="B44" s="2553"/>
      <c r="C44" s="2553"/>
      <c r="D44" s="2553"/>
      <c r="E44" s="2553"/>
      <c r="F44" s="2605"/>
      <c r="G44" s="2553"/>
      <c r="H44" s="2553">
        <v>103754.13000000002</v>
      </c>
      <c r="I44" s="2553"/>
      <c r="J44" s="2553"/>
      <c r="K44" s="2553"/>
      <c r="L44" s="2605">
        <v>103754.13000000002</v>
      </c>
      <c r="M44" s="2553">
        <v>103754.13000000002</v>
      </c>
      <c r="N44" s="2560">
        <f t="shared" si="31"/>
        <v>3</v>
      </c>
      <c r="O44" s="2559">
        <f t="shared" si="12"/>
        <v>0.71040000000000003</v>
      </c>
      <c r="P44" s="2553">
        <f t="shared" si="13"/>
        <v>73706.933952000021</v>
      </c>
      <c r="Q44" s="2553">
        <f t="shared" si="14"/>
        <v>0</v>
      </c>
      <c r="R44" s="2553">
        <f t="shared" si="15"/>
        <v>73706.933952000021</v>
      </c>
      <c r="S44" s="2553">
        <f>-IFERROR(VLOOKUP(A44,'G-3.05,5.02 PF NE Labor'!$BR$33:$CD$40,13,FALSE),0)</f>
        <v>0</v>
      </c>
      <c r="T44" s="2553">
        <f t="shared" si="16"/>
        <v>73706.933952000021</v>
      </c>
      <c r="V44" s="2552">
        <f>VLOOKUP(A44,'G-3.05,5.02 PF NE Labor'!$BH$13:$BN$46,6,FALSE)</f>
        <v>1</v>
      </c>
      <c r="W44" s="2552">
        <f>VLOOKUP(A44,'G-3.05,5.02 PF NE Labor'!$BH$13:$BN$46,7,FALSE)</f>
        <v>0</v>
      </c>
      <c r="Y44" s="2558">
        <f t="shared" si="17"/>
        <v>0</v>
      </c>
      <c r="Z44" s="2558">
        <f t="shared" si="18"/>
        <v>0</v>
      </c>
      <c r="AA44" s="2558">
        <f t="shared" si="19"/>
        <v>0</v>
      </c>
      <c r="AB44" s="2558">
        <f t="shared" si="20"/>
        <v>0</v>
      </c>
      <c r="AC44" s="2558">
        <f t="shared" si="21"/>
        <v>0</v>
      </c>
      <c r="AE44" s="2558">
        <f t="shared" si="22"/>
        <v>73706.933952000021</v>
      </c>
      <c r="AF44" s="2558">
        <f t="shared" si="23"/>
        <v>1893.5311332268807</v>
      </c>
      <c r="AG44" s="2558">
        <f t="shared" si="24"/>
        <v>3780.0232542613448</v>
      </c>
      <c r="AH44" s="2558">
        <f t="shared" si="25"/>
        <v>3032.3346545684508</v>
      </c>
      <c r="AI44" s="2558">
        <f t="shared" si="26"/>
        <v>2861.3732143536486</v>
      </c>
      <c r="AK44" s="2558">
        <f t="shared" si="27"/>
        <v>75600.465085226897</v>
      </c>
      <c r="AL44" s="2558">
        <f t="shared" si="28"/>
        <v>79380.488339488249</v>
      </c>
      <c r="AM44" s="2558">
        <f t="shared" si="29"/>
        <v>78632.799739795344</v>
      </c>
      <c r="AN44" s="2558">
        <f t="shared" si="30"/>
        <v>82241.861553841896</v>
      </c>
      <c r="AR44" s="2566" t="s">
        <v>2302</v>
      </c>
      <c r="AU44" s="2575">
        <v>0.06</v>
      </c>
      <c r="AZ44" s="182">
        <v>561000</v>
      </c>
      <c r="BA44" s="875">
        <v>177.66</v>
      </c>
      <c r="BB44" s="875"/>
      <c r="BC44" s="875">
        <v>19141.069999999985</v>
      </c>
      <c r="BD44" s="875">
        <v>19318.729999999985</v>
      </c>
      <c r="BE44" s="2585">
        <f t="shared" si="3"/>
        <v>0.99080374331024867</v>
      </c>
      <c r="BF44" s="1131">
        <f t="shared" si="4"/>
        <v>9.1962566897513254E-3</v>
      </c>
      <c r="BH44" s="182">
        <v>876000</v>
      </c>
      <c r="BI44" s="875"/>
      <c r="BJ44" s="875"/>
      <c r="BK44" s="875">
        <v>13528.400000000001</v>
      </c>
      <c r="BL44" s="875">
        <v>13528.400000000001</v>
      </c>
      <c r="BM44" s="2585">
        <f t="shared" si="5"/>
        <v>1</v>
      </c>
      <c r="BN44" s="1131">
        <f t="shared" si="6"/>
        <v>0</v>
      </c>
      <c r="BX44" s="477" t="s">
        <v>677</v>
      </c>
      <c r="BY44" s="2592">
        <f>CA22+BY41</f>
        <v>3441904.97</v>
      </c>
    </row>
    <row r="45" spans="1:82">
      <c r="A45" s="2557">
        <v>901000</v>
      </c>
      <c r="B45" s="2553">
        <v>81277.819999999992</v>
      </c>
      <c r="C45" s="2553">
        <v>55.93</v>
      </c>
      <c r="D45" s="2553"/>
      <c r="E45" s="2553"/>
      <c r="F45" s="2605">
        <v>81333.749999999985</v>
      </c>
      <c r="G45" s="2553"/>
      <c r="H45" s="2553"/>
      <c r="I45" s="2553"/>
      <c r="J45" s="2553"/>
      <c r="K45" s="2553"/>
      <c r="L45" s="2605"/>
      <c r="M45" s="2553">
        <v>81333.749999999985</v>
      </c>
      <c r="N45" s="2560">
        <f t="shared" si="31"/>
        <v>3</v>
      </c>
      <c r="O45" s="2559">
        <f t="shared" si="12"/>
        <v>0.71040000000000003</v>
      </c>
      <c r="P45" s="2553">
        <f t="shared" si="13"/>
        <v>57779.495999999992</v>
      </c>
      <c r="Q45" s="2553">
        <f t="shared" si="14"/>
        <v>0</v>
      </c>
      <c r="R45" s="2553">
        <f t="shared" si="15"/>
        <v>57779.495999999992</v>
      </c>
      <c r="S45" s="2553">
        <f>-IFERROR(VLOOKUP(A45,'G-3.05,5.02 PF NE Labor'!$BR$33:$CD$40,13,FALSE),0)</f>
        <v>0</v>
      </c>
      <c r="T45" s="2553">
        <f t="shared" si="16"/>
        <v>57779.495999999992</v>
      </c>
      <c r="V45" s="2552">
        <f>VLOOKUP(A45,'G-3.05,5.02 PF NE Labor'!$BH$13:$BN$46,6,FALSE)</f>
        <v>0</v>
      </c>
      <c r="W45" s="2552">
        <f>VLOOKUP(A45,'G-3.05,5.02 PF NE Labor'!$BH$13:$BN$46,7,FALSE)</f>
        <v>1</v>
      </c>
      <c r="Y45" s="2558">
        <f t="shared" si="17"/>
        <v>57779.495999999992</v>
      </c>
      <c r="Z45" s="2558">
        <f t="shared" si="18"/>
        <v>2308.8686601599998</v>
      </c>
      <c r="AA45" s="2558">
        <f t="shared" si="19"/>
        <v>2403.5345864063997</v>
      </c>
      <c r="AB45" s="2558">
        <f t="shared" si="20"/>
        <v>1571.046347058679</v>
      </c>
      <c r="AC45" s="2558">
        <f t="shared" si="21"/>
        <v>1921.888367808752</v>
      </c>
      <c r="AE45" s="2558">
        <f t="shared" si="22"/>
        <v>0</v>
      </c>
      <c r="AF45" s="2558">
        <f t="shared" si="23"/>
        <v>0</v>
      </c>
      <c r="AG45" s="2558">
        <f t="shared" si="24"/>
        <v>0</v>
      </c>
      <c r="AH45" s="2558">
        <f t="shared" si="25"/>
        <v>0</v>
      </c>
      <c r="AI45" s="2558">
        <f t="shared" si="26"/>
        <v>0</v>
      </c>
      <c r="AK45" s="2558">
        <f t="shared" si="27"/>
        <v>60088.36466015999</v>
      </c>
      <c r="AL45" s="2558">
        <f t="shared" si="28"/>
        <v>62491.899246566391</v>
      </c>
      <c r="AM45" s="2558">
        <f t="shared" si="29"/>
        <v>61659.411007218667</v>
      </c>
      <c r="AN45" s="2558">
        <f t="shared" si="30"/>
        <v>64413.787614375142</v>
      </c>
      <c r="AR45" s="2566" t="s">
        <v>2301</v>
      </c>
      <c r="AZ45" s="182">
        <v>560000</v>
      </c>
      <c r="BA45" s="875">
        <v>1293481.7600000002</v>
      </c>
      <c r="BB45" s="875">
        <v>172463.81000000003</v>
      </c>
      <c r="BC45" s="875">
        <v>1770.67</v>
      </c>
      <c r="BD45" s="875">
        <v>1467716.2400000002</v>
      </c>
      <c r="BE45" s="2585">
        <f t="shared" ref="BE45:BE76" si="35">BC45/BD45</f>
        <v>1.2064116698742803E-3</v>
      </c>
      <c r="BF45" s="1131">
        <f t="shared" ref="BF45:BF76" si="36">1-BE45</f>
        <v>0.99879358833012577</v>
      </c>
      <c r="BH45" s="182">
        <v>925100</v>
      </c>
      <c r="BI45" s="875">
        <v>21.8</v>
      </c>
      <c r="BJ45" s="875"/>
      <c r="BK45" s="875"/>
      <c r="BL45" s="875">
        <v>21.8</v>
      </c>
      <c r="BM45" s="2585">
        <f t="shared" si="5"/>
        <v>0</v>
      </c>
      <c r="BN45" s="1131">
        <f t="shared" si="6"/>
        <v>1</v>
      </c>
      <c r="BX45" s="477" t="s">
        <v>676</v>
      </c>
      <c r="BY45" s="2592">
        <v>372183</v>
      </c>
    </row>
    <row r="46" spans="1:82">
      <c r="A46" s="2557">
        <v>902000</v>
      </c>
      <c r="B46" s="2553"/>
      <c r="C46" s="2553">
        <v>90323.290000000008</v>
      </c>
      <c r="D46" s="2553">
        <v>93199.64999999998</v>
      </c>
      <c r="E46" s="2553">
        <v>167546.21000000008</v>
      </c>
      <c r="F46" s="2605">
        <v>351069.15000000008</v>
      </c>
      <c r="G46" s="2553"/>
      <c r="H46" s="2553"/>
      <c r="I46" s="2553"/>
      <c r="J46" s="2553"/>
      <c r="K46" s="2553">
        <v>8228.01</v>
      </c>
      <c r="L46" s="2605">
        <v>8228.01</v>
      </c>
      <c r="M46" s="2553">
        <v>359297.16000000009</v>
      </c>
      <c r="N46" s="2560">
        <f t="shared" ref="N46:N52" si="37">$B$69</f>
        <v>2</v>
      </c>
      <c r="O46" s="2559">
        <f t="shared" si="12"/>
        <v>0.65400999999999998</v>
      </c>
      <c r="P46" s="2553">
        <f t="shared" si="13"/>
        <v>59072.334892900006</v>
      </c>
      <c r="Q46" s="2553">
        <f t="shared" si="14"/>
        <v>175774.22000000009</v>
      </c>
      <c r="R46" s="2553">
        <f t="shared" si="15"/>
        <v>234846.55489290011</v>
      </c>
      <c r="S46" s="2553">
        <f>-IFERROR(VLOOKUP(A46,'G-3.05,5.02 PF NE Labor'!$BR$33:$CD$40,13,FALSE),0)</f>
        <v>0</v>
      </c>
      <c r="T46" s="2553">
        <f t="shared" si="16"/>
        <v>234846.55489290011</v>
      </c>
      <c r="V46" s="2552">
        <f>VLOOKUP(A46,'G-3.05,5.02 PF NE Labor'!$BH$13:$BN$46,6,FALSE)</f>
        <v>0.42808381509321114</v>
      </c>
      <c r="W46" s="2552">
        <f>VLOOKUP(A46,'G-3.05,5.02 PF NE Labor'!$BH$13:$BN$46,7,FALSE)</f>
        <v>0.57191618490678886</v>
      </c>
      <c r="Y46" s="2558">
        <f t="shared" si="17"/>
        <v>134312.5457128502</v>
      </c>
      <c r="Z46" s="2558">
        <f t="shared" si="18"/>
        <v>5367.1293266854946</v>
      </c>
      <c r="AA46" s="2558">
        <f t="shared" si="19"/>
        <v>5587.1870015814284</v>
      </c>
      <c r="AB46" s="2558">
        <f t="shared" si="20"/>
        <v>3652.0089117136845</v>
      </c>
      <c r="AC46" s="2558">
        <f t="shared" si="21"/>
        <v>4467.5661285849246</v>
      </c>
      <c r="AE46" s="2558">
        <f t="shared" si="22"/>
        <v>100534.00918004991</v>
      </c>
      <c r="AF46" s="2558">
        <f t="shared" si="23"/>
        <v>2582.7186958354823</v>
      </c>
      <c r="AG46" s="2558">
        <f t="shared" si="24"/>
        <v>5155.8363937942704</v>
      </c>
      <c r="AH46" s="2558">
        <f t="shared" si="25"/>
        <v>4136.0119551017624</v>
      </c>
      <c r="AI46" s="2558">
        <f t="shared" si="26"/>
        <v>3902.8257665244109</v>
      </c>
      <c r="AK46" s="2558">
        <f t="shared" si="27"/>
        <v>242796.40291542112</v>
      </c>
      <c r="AL46" s="2558">
        <f t="shared" si="28"/>
        <v>253539.42631079681</v>
      </c>
      <c r="AM46" s="2558">
        <f t="shared" si="29"/>
        <v>250584.42378223658</v>
      </c>
      <c r="AN46" s="2558">
        <f t="shared" si="30"/>
        <v>261909.81820590617</v>
      </c>
      <c r="AT46" s="2573" t="str">
        <f>"243/365="</f>
        <v>243/365=</v>
      </c>
      <c r="AU46" s="2581">
        <f>ROUND(243/365,3)</f>
        <v>0.66600000000000004</v>
      </c>
      <c r="AZ46" s="182">
        <v>580000</v>
      </c>
      <c r="BA46" s="875">
        <v>2422992.4799999972</v>
      </c>
      <c r="BB46" s="875">
        <v>298392.69999999984</v>
      </c>
      <c r="BC46" s="875">
        <v>46835.4</v>
      </c>
      <c r="BD46" s="875">
        <v>2768220.5799999968</v>
      </c>
      <c r="BE46" s="2585">
        <f t="shared" si="35"/>
        <v>1.6918955208403245E-2</v>
      </c>
      <c r="BF46" s="1131">
        <f t="shared" si="36"/>
        <v>0.98308104479159675</v>
      </c>
      <c r="BH46" s="1476" t="s">
        <v>978</v>
      </c>
      <c r="BI46" s="1477">
        <v>7775511.6099999985</v>
      </c>
      <c r="BJ46" s="1477">
        <v>4516833.0899999905</v>
      </c>
      <c r="BK46" s="1477">
        <v>8177040.9300000137</v>
      </c>
      <c r="BL46" s="1477">
        <v>20469385.630000006</v>
      </c>
      <c r="BM46" s="2585">
        <f t="shared" si="5"/>
        <v>0.39947661731555406</v>
      </c>
      <c r="BN46" s="1131">
        <f t="shared" si="6"/>
        <v>0.60052338268444594</v>
      </c>
      <c r="BX46" s="877" t="s">
        <v>2328</v>
      </c>
      <c r="BY46" s="2591">
        <f>SUM(BY44:BY45)</f>
        <v>3814087.97</v>
      </c>
    </row>
    <row r="47" spans="1:82" ht="13.5" thickBot="1">
      <c r="A47" s="2557">
        <v>903000</v>
      </c>
      <c r="B47" s="2553">
        <v>2715714.4900000039</v>
      </c>
      <c r="C47" s="2553"/>
      <c r="D47" s="2553">
        <v>163431.0400000001</v>
      </c>
      <c r="E47" s="2553">
        <v>155845.16999999975</v>
      </c>
      <c r="F47" s="2605">
        <v>3034990.7000000039</v>
      </c>
      <c r="G47" s="2553"/>
      <c r="H47" s="2553"/>
      <c r="I47" s="2553"/>
      <c r="J47" s="2553"/>
      <c r="K47" s="2553">
        <v>16904.660000000007</v>
      </c>
      <c r="L47" s="2605">
        <v>16904.660000000007</v>
      </c>
      <c r="M47" s="2553">
        <v>3051895.3600000041</v>
      </c>
      <c r="N47" s="2560">
        <f t="shared" si="37"/>
        <v>2</v>
      </c>
      <c r="O47" s="2559">
        <f t="shared" si="12"/>
        <v>0.65400999999999998</v>
      </c>
      <c r="P47" s="2553">
        <f t="shared" si="13"/>
        <v>1776104.4336049026</v>
      </c>
      <c r="Q47" s="2553">
        <f t="shared" si="14"/>
        <v>172749.82999999975</v>
      </c>
      <c r="R47" s="2553">
        <f t="shared" si="15"/>
        <v>1948854.2636049024</v>
      </c>
      <c r="S47" s="2553">
        <f>-IFERROR(VLOOKUP(A47,'G-3.05,5.02 PF NE Labor'!$BR$33:$CD$40,13,FALSE),0)</f>
        <v>0</v>
      </c>
      <c r="T47" s="2553">
        <f t="shared" si="16"/>
        <v>1948854.2636049024</v>
      </c>
      <c r="V47" s="2552">
        <f>VLOOKUP(A47,'G-3.05,5.02 PF NE Labor'!$BH$13:$BN$46,6,FALSE)</f>
        <v>0.10676016284301035</v>
      </c>
      <c r="W47" s="2552">
        <f>VLOOKUP(A47,'G-3.05,5.02 PF NE Labor'!$BH$13:$BN$46,7,FALSE)</f>
        <v>0.89323983715698962</v>
      </c>
      <c r="Y47" s="2558">
        <f t="shared" si="17"/>
        <v>1740794.265065148</v>
      </c>
      <c r="Z47" s="2558">
        <f t="shared" si="18"/>
        <v>69562.138832003315</v>
      </c>
      <c r="AA47" s="2558">
        <f t="shared" si="19"/>
        <v>72414.256155886062</v>
      </c>
      <c r="AB47" s="2558">
        <f t="shared" si="20"/>
        <v>47332.85439373336</v>
      </c>
      <c r="AC47" s="2558">
        <f t="shared" si="21"/>
        <v>57903.105433403121</v>
      </c>
      <c r="AE47" s="2558">
        <f t="shared" si="22"/>
        <v>208059.99853975439</v>
      </c>
      <c r="AF47" s="2558">
        <f t="shared" si="23"/>
        <v>5345.0613624862908</v>
      </c>
      <c r="AG47" s="2558">
        <f t="shared" si="24"/>
        <v>10670.252995112036</v>
      </c>
      <c r="AH47" s="2558">
        <f t="shared" si="25"/>
        <v>8559.6769526788739</v>
      </c>
      <c r="AI47" s="2558">
        <f t="shared" si="26"/>
        <v>8077.0868475930984</v>
      </c>
      <c r="AK47" s="2558">
        <f t="shared" si="27"/>
        <v>2023761.4637993921</v>
      </c>
      <c r="AL47" s="2558">
        <f t="shared" si="28"/>
        <v>2106845.9729503901</v>
      </c>
      <c r="AM47" s="2558">
        <f t="shared" si="29"/>
        <v>2079653.9951458045</v>
      </c>
      <c r="AN47" s="2558">
        <f t="shared" si="30"/>
        <v>2172826.1652313862</v>
      </c>
      <c r="AR47" s="2571" t="s">
        <v>3411</v>
      </c>
      <c r="AS47" s="2569"/>
      <c r="AT47" s="2569"/>
      <c r="AU47" s="2570">
        <f>ROUND(AU44*AU46,5)</f>
        <v>3.9960000000000002E-2</v>
      </c>
      <c r="AV47" s="2569" t="s">
        <v>2300</v>
      </c>
      <c r="AZ47" s="182">
        <v>582000</v>
      </c>
      <c r="BA47" s="875">
        <v>15132.96</v>
      </c>
      <c r="BB47" s="875">
        <v>2148.0500000000002</v>
      </c>
      <c r="BC47" s="875">
        <v>504998.95000000065</v>
      </c>
      <c r="BD47" s="875">
        <v>522279.96000000066</v>
      </c>
      <c r="BE47" s="2585">
        <f t="shared" si="35"/>
        <v>0.96691236248084267</v>
      </c>
      <c r="BF47" s="1131">
        <f t="shared" si="36"/>
        <v>3.3087637519157331E-2</v>
      </c>
      <c r="BM47" s="2585"/>
      <c r="BN47" s="1131"/>
    </row>
    <row r="48" spans="1:82" ht="13.5" thickTop="1">
      <c r="A48" s="2557">
        <v>905000</v>
      </c>
      <c r="B48" s="2553">
        <v>199317.13000000041</v>
      </c>
      <c r="C48" s="2553"/>
      <c r="D48" s="2553"/>
      <c r="E48" s="2553"/>
      <c r="F48" s="2605">
        <v>199317.13000000041</v>
      </c>
      <c r="G48" s="2553"/>
      <c r="H48" s="2553"/>
      <c r="I48" s="2553"/>
      <c r="J48" s="2553"/>
      <c r="K48" s="2553"/>
      <c r="L48" s="2605"/>
      <c r="M48" s="2553">
        <v>199317.13000000041</v>
      </c>
      <c r="N48" s="2560">
        <f t="shared" si="37"/>
        <v>2</v>
      </c>
      <c r="O48" s="2559">
        <f t="shared" si="12"/>
        <v>0.65400999999999998</v>
      </c>
      <c r="P48" s="2553">
        <f t="shared" si="13"/>
        <v>130355.39619130027</v>
      </c>
      <c r="Q48" s="2553">
        <f t="shared" si="14"/>
        <v>0</v>
      </c>
      <c r="R48" s="2553">
        <f t="shared" si="15"/>
        <v>130355.39619130027</v>
      </c>
      <c r="S48" s="2553">
        <f>-IFERROR(VLOOKUP(A48,'G-3.05,5.02 PF NE Labor'!$BR$33:$CD$40,13,FALSE),0)</f>
        <v>0</v>
      </c>
      <c r="T48" s="2553">
        <f t="shared" si="16"/>
        <v>130355.39619130027</v>
      </c>
      <c r="V48" s="2552">
        <f>VLOOKUP(A48,'G-3.05,5.02 PF NE Labor'!$BH$13:$BN$46,6,FALSE)</f>
        <v>1.840263128433552E-2</v>
      </c>
      <c r="W48" s="2552">
        <f>VLOOKUP(A48,'G-3.05,5.02 PF NE Labor'!$BH$13:$BN$46,7,FALSE)</f>
        <v>0.9815973687156645</v>
      </c>
      <c r="Y48" s="2558">
        <f t="shared" si="17"/>
        <v>127956.51389926831</v>
      </c>
      <c r="Z48" s="2558">
        <f t="shared" si="18"/>
        <v>5113.142295414762</v>
      </c>
      <c r="AA48" s="2558">
        <f t="shared" si="19"/>
        <v>5322.7862477873232</v>
      </c>
      <c r="AB48" s="2558">
        <f t="shared" si="20"/>
        <v>3479.186003003706</v>
      </c>
      <c r="AC48" s="2558">
        <f t="shared" si="21"/>
        <v>4256.1488533642232</v>
      </c>
      <c r="AE48" s="2558">
        <f t="shared" si="22"/>
        <v>2398.8822920319735</v>
      </c>
      <c r="AF48" s="2558">
        <f t="shared" si="23"/>
        <v>61.627286082301403</v>
      </c>
      <c r="AG48" s="2558">
        <f t="shared" si="24"/>
        <v>123.02547890571375</v>
      </c>
      <c r="AH48" s="2558">
        <f t="shared" si="25"/>
        <v>98.691039178163578</v>
      </c>
      <c r="AI48" s="2558">
        <f t="shared" si="26"/>
        <v>93.126890059999852</v>
      </c>
      <c r="AK48" s="2558">
        <f t="shared" si="27"/>
        <v>135530.16577279734</v>
      </c>
      <c r="AL48" s="2558">
        <f t="shared" si="28"/>
        <v>140975.97749949037</v>
      </c>
      <c r="AM48" s="2558">
        <f t="shared" si="29"/>
        <v>139108.04281497921</v>
      </c>
      <c r="AN48" s="2558">
        <f t="shared" si="30"/>
        <v>145325.25324291459</v>
      </c>
      <c r="AU48" s="2574"/>
      <c r="AZ48" s="182">
        <v>568000</v>
      </c>
      <c r="BA48" s="875">
        <v>263726.09000000008</v>
      </c>
      <c r="BB48" s="875">
        <v>30554.410000000003</v>
      </c>
      <c r="BC48" s="875">
        <v>33600.310000000012</v>
      </c>
      <c r="BD48" s="875">
        <v>327880.81000000011</v>
      </c>
      <c r="BE48" s="2585">
        <f t="shared" si="35"/>
        <v>0.10247720810498182</v>
      </c>
      <c r="BF48" s="1131">
        <f t="shared" si="36"/>
        <v>0.89752279189501816</v>
      </c>
      <c r="BM48" s="2585"/>
      <c r="BN48" s="1131"/>
    </row>
    <row r="49" spans="1:66">
      <c r="A49" s="2557">
        <v>908000</v>
      </c>
      <c r="B49" s="2553"/>
      <c r="C49" s="2553">
        <v>83487.890000000029</v>
      </c>
      <c r="D49" s="2553">
        <v>41869.570000000022</v>
      </c>
      <c r="E49" s="2553">
        <v>73221.040000000023</v>
      </c>
      <c r="F49" s="2605">
        <v>198578.50000000006</v>
      </c>
      <c r="G49" s="2553"/>
      <c r="H49" s="2553"/>
      <c r="I49" s="2553"/>
      <c r="J49" s="2553"/>
      <c r="K49" s="2553">
        <v>5775.09</v>
      </c>
      <c r="L49" s="2605">
        <v>5775.09</v>
      </c>
      <c r="M49" s="2553">
        <v>204353.59000000005</v>
      </c>
      <c r="N49" s="2560">
        <f t="shared" si="37"/>
        <v>2</v>
      </c>
      <c r="O49" s="2559">
        <f t="shared" si="12"/>
        <v>0.65400999999999998</v>
      </c>
      <c r="P49" s="2553">
        <f t="shared" si="13"/>
        <v>54601.914938900016</v>
      </c>
      <c r="Q49" s="2553">
        <f t="shared" si="14"/>
        <v>78996.130000000019</v>
      </c>
      <c r="R49" s="2553">
        <f t="shared" si="15"/>
        <v>133598.04493890004</v>
      </c>
      <c r="S49" s="2553">
        <f>-IFERROR(VLOOKUP(A49,'G-3.05,5.02 PF NE Labor'!$BR$33:$CD$40,13,FALSE),0)</f>
        <v>0</v>
      </c>
      <c r="T49" s="2553">
        <f t="shared" si="16"/>
        <v>133598.04493890004</v>
      </c>
      <c r="V49" s="2552">
        <f>VLOOKUP(A49,'G-3.05,5.02 PF NE Labor'!$BH$13:$BN$46,6,FALSE)</f>
        <v>0</v>
      </c>
      <c r="W49" s="2552">
        <f>VLOOKUP(A49,'G-3.05,5.02 PF NE Labor'!$BH$13:$BN$46,7,FALSE)</f>
        <v>1</v>
      </c>
      <c r="Y49" s="2558">
        <f t="shared" si="17"/>
        <v>133598.04493890004</v>
      </c>
      <c r="Z49" s="2558">
        <f t="shared" si="18"/>
        <v>5338.5778757584458</v>
      </c>
      <c r="AA49" s="2558">
        <f t="shared" si="19"/>
        <v>5557.4649125863389</v>
      </c>
      <c r="AB49" s="2558">
        <f t="shared" si="20"/>
        <v>3632.5813654629346</v>
      </c>
      <c r="AC49" s="2558">
        <f t="shared" si="21"/>
        <v>4443.8000727812332</v>
      </c>
      <c r="AE49" s="2558">
        <f t="shared" si="22"/>
        <v>0</v>
      </c>
      <c r="AF49" s="2558">
        <f t="shared" si="23"/>
        <v>0</v>
      </c>
      <c r="AG49" s="2558">
        <f t="shared" si="24"/>
        <v>0</v>
      </c>
      <c r="AH49" s="2558">
        <f t="shared" si="25"/>
        <v>0</v>
      </c>
      <c r="AI49" s="2558">
        <f t="shared" si="26"/>
        <v>0</v>
      </c>
      <c r="AK49" s="2558">
        <f t="shared" si="27"/>
        <v>138936.62281465848</v>
      </c>
      <c r="AL49" s="2558">
        <f t="shared" si="28"/>
        <v>144494.08772724483</v>
      </c>
      <c r="AM49" s="2558">
        <f t="shared" si="29"/>
        <v>142569.20418012142</v>
      </c>
      <c r="AN49" s="2558">
        <f t="shared" si="30"/>
        <v>148937.88780002607</v>
      </c>
      <c r="AR49" s="2578" t="str">
        <f>+AR19</f>
        <v>2024 Adjustment</v>
      </c>
      <c r="AU49" s="2567"/>
      <c r="AZ49" s="182">
        <v>543000</v>
      </c>
      <c r="BA49" s="875">
        <v>726.48</v>
      </c>
      <c r="BB49" s="875">
        <v>18024.910000000003</v>
      </c>
      <c r="BC49" s="875">
        <v>162305.99000000002</v>
      </c>
      <c r="BD49" s="875">
        <v>181057.38000000003</v>
      </c>
      <c r="BE49" s="2585">
        <f t="shared" si="35"/>
        <v>0.89643399236197929</v>
      </c>
      <c r="BF49" s="1131">
        <f t="shared" si="36"/>
        <v>0.10356600763802071</v>
      </c>
      <c r="BM49" s="2585"/>
      <c r="BN49" s="1131"/>
    </row>
    <row r="50" spans="1:66">
      <c r="A50" s="2557">
        <v>909000</v>
      </c>
      <c r="B50" s="2553"/>
      <c r="C50" s="2553">
        <v>9869.0499999999993</v>
      </c>
      <c r="D50" s="2553"/>
      <c r="E50" s="2553"/>
      <c r="F50" s="2605">
        <v>9869.0499999999993</v>
      </c>
      <c r="G50" s="2553"/>
      <c r="H50" s="2553">
        <v>10182.000000000002</v>
      </c>
      <c r="I50" s="2553"/>
      <c r="J50" s="2553"/>
      <c r="K50" s="2553"/>
      <c r="L50" s="2605">
        <v>10182.000000000002</v>
      </c>
      <c r="M50" s="2553">
        <v>20051.050000000003</v>
      </c>
      <c r="N50" s="2560">
        <f t="shared" si="37"/>
        <v>2</v>
      </c>
      <c r="O50" s="2559">
        <f t="shared" si="12"/>
        <v>0.65400999999999998</v>
      </c>
      <c r="P50" s="2553">
        <f t="shared" si="13"/>
        <v>13113.587210500002</v>
      </c>
      <c r="Q50" s="2553">
        <f t="shared" si="14"/>
        <v>0</v>
      </c>
      <c r="R50" s="2553">
        <f t="shared" si="15"/>
        <v>13113.587210500002</v>
      </c>
      <c r="S50" s="2553">
        <f>-IFERROR(VLOOKUP(A50,'G-3.05,5.02 PF NE Labor'!$BR$33:$CD$40,13,FALSE),0)</f>
        <v>0</v>
      </c>
      <c r="T50" s="2553">
        <f t="shared" si="16"/>
        <v>13113.587210500002</v>
      </c>
      <c r="V50" s="2552">
        <f>VLOOKUP(A50,'G-3.05,5.02 PF NE Labor'!$BH$13:$BN$46,6,FALSE)</f>
        <v>0</v>
      </c>
      <c r="W50" s="2552">
        <f>VLOOKUP(A50,'G-3.05,5.02 PF NE Labor'!$BH$13:$BN$46,7,FALSE)</f>
        <v>1</v>
      </c>
      <c r="Y50" s="2558">
        <f t="shared" si="17"/>
        <v>13113.587210500002</v>
      </c>
      <c r="Z50" s="2558">
        <f t="shared" si="18"/>
        <v>524.01894493158011</v>
      </c>
      <c r="AA50" s="2558">
        <f t="shared" si="19"/>
        <v>545.50424621726324</v>
      </c>
      <c r="AB50" s="2558">
        <f t="shared" si="20"/>
        <v>356.56339549745201</v>
      </c>
      <c r="AC50" s="2558">
        <f t="shared" si="21"/>
        <v>436.19021391438895</v>
      </c>
      <c r="AE50" s="2558">
        <f t="shared" si="22"/>
        <v>0</v>
      </c>
      <c r="AF50" s="2558">
        <f t="shared" si="23"/>
        <v>0</v>
      </c>
      <c r="AG50" s="2558">
        <f t="shared" si="24"/>
        <v>0</v>
      </c>
      <c r="AH50" s="2558">
        <f t="shared" si="25"/>
        <v>0</v>
      </c>
      <c r="AI50" s="2558">
        <f t="shared" si="26"/>
        <v>0</v>
      </c>
      <c r="AK50" s="2558">
        <f t="shared" si="27"/>
        <v>13637.606155431582</v>
      </c>
      <c r="AL50" s="2558">
        <f t="shared" si="28"/>
        <v>14183.110401648846</v>
      </c>
      <c r="AM50" s="2558">
        <f t="shared" si="29"/>
        <v>13994.169550929035</v>
      </c>
      <c r="AN50" s="2558">
        <f t="shared" si="30"/>
        <v>14619.300615563236</v>
      </c>
      <c r="AR50" s="2566" t="s">
        <v>2299</v>
      </c>
      <c r="AU50" s="2575">
        <v>0.04</v>
      </c>
      <c r="AZ50" s="182">
        <v>923000</v>
      </c>
      <c r="BA50" s="875">
        <v>11073.449999999997</v>
      </c>
      <c r="BB50" s="875">
        <v>2410.6</v>
      </c>
      <c r="BC50" s="875">
        <v>164.17</v>
      </c>
      <c r="BD50" s="875">
        <v>13648.219999999998</v>
      </c>
      <c r="BE50" s="2585">
        <f t="shared" si="35"/>
        <v>1.2028674801549214E-2</v>
      </c>
      <c r="BF50" s="1131">
        <f t="shared" si="36"/>
        <v>0.98797132519845077</v>
      </c>
      <c r="BJ50" s="477" t="s">
        <v>194</v>
      </c>
      <c r="BK50" s="477" t="s">
        <v>1759</v>
      </c>
      <c r="BL50" s="2586">
        <f>BY41</f>
        <v>825902.38</v>
      </c>
      <c r="BM50" s="2585"/>
      <c r="BN50" s="1131"/>
    </row>
    <row r="51" spans="1:66">
      <c r="A51" s="2557">
        <v>910000</v>
      </c>
      <c r="B51" s="2553">
        <v>30980.19999999999</v>
      </c>
      <c r="C51" s="2553"/>
      <c r="D51" s="2553"/>
      <c r="E51" s="2553"/>
      <c r="F51" s="2605">
        <v>30980.19999999999</v>
      </c>
      <c r="G51" s="2553"/>
      <c r="H51" s="2553"/>
      <c r="I51" s="2553"/>
      <c r="J51" s="2553"/>
      <c r="K51" s="2553"/>
      <c r="L51" s="2605"/>
      <c r="M51" s="2553">
        <v>30980.19999999999</v>
      </c>
      <c r="N51" s="2560">
        <f t="shared" si="37"/>
        <v>2</v>
      </c>
      <c r="O51" s="2559">
        <f t="shared" si="12"/>
        <v>0.65400999999999998</v>
      </c>
      <c r="P51" s="2553">
        <f t="shared" si="13"/>
        <v>20261.360601999993</v>
      </c>
      <c r="Q51" s="2553">
        <f t="shared" si="14"/>
        <v>0</v>
      </c>
      <c r="R51" s="2553">
        <f t="shared" si="15"/>
        <v>20261.360601999993</v>
      </c>
      <c r="S51" s="2553">
        <f>-IFERROR(VLOOKUP(A51,'G-3.05,5.02 PF NE Labor'!$BR$33:$CD$40,13,FALSE),0)</f>
        <v>0</v>
      </c>
      <c r="T51" s="2553">
        <f t="shared" si="16"/>
        <v>20261.360601999993</v>
      </c>
      <c r="V51" s="2552">
        <f>VLOOKUP(A51,'G-3.05,5.02 PF NE Labor'!$BH$13:$BN$46,6,FALSE)</f>
        <v>0</v>
      </c>
      <c r="W51" s="2552">
        <f>VLOOKUP(A51,'G-3.05,5.02 PF NE Labor'!$BH$13:$BN$46,7,FALSE)</f>
        <v>1</v>
      </c>
      <c r="Y51" s="2558">
        <f t="shared" si="17"/>
        <v>20261.360601999993</v>
      </c>
      <c r="Z51" s="2558">
        <f t="shared" si="18"/>
        <v>809.64396965591982</v>
      </c>
      <c r="AA51" s="2558">
        <f t="shared" si="19"/>
        <v>842.84018286623655</v>
      </c>
      <c r="AB51" s="2558">
        <f t="shared" si="20"/>
        <v>550.91405712868686</v>
      </c>
      <c r="AC51" s="2558">
        <f t="shared" si="21"/>
        <v>673.94276434952508</v>
      </c>
      <c r="AE51" s="2558">
        <f t="shared" si="22"/>
        <v>0</v>
      </c>
      <c r="AF51" s="2558">
        <f t="shared" si="23"/>
        <v>0</v>
      </c>
      <c r="AG51" s="2558">
        <f t="shared" si="24"/>
        <v>0</v>
      </c>
      <c r="AH51" s="2558">
        <f t="shared" si="25"/>
        <v>0</v>
      </c>
      <c r="AI51" s="2558">
        <f t="shared" si="26"/>
        <v>0</v>
      </c>
      <c r="AK51" s="2558">
        <f t="shared" si="27"/>
        <v>21071.004571655914</v>
      </c>
      <c r="AL51" s="2558">
        <f t="shared" si="28"/>
        <v>21913.84475452215</v>
      </c>
      <c r="AM51" s="2558">
        <f t="shared" si="29"/>
        <v>21621.918628784602</v>
      </c>
      <c r="AN51" s="2558">
        <f t="shared" si="30"/>
        <v>22587.787518871675</v>
      </c>
      <c r="AR51" s="2566" t="s">
        <v>3418</v>
      </c>
      <c r="AZ51" s="182">
        <v>902000</v>
      </c>
      <c r="BA51" s="875">
        <v>216035.81000000008</v>
      </c>
      <c r="BB51" s="875">
        <v>47555.950000000012</v>
      </c>
      <c r="BC51" s="875">
        <v>185975.86000000002</v>
      </c>
      <c r="BD51" s="875">
        <v>449567.62000000011</v>
      </c>
      <c r="BE51" s="2585">
        <f t="shared" si="35"/>
        <v>0.41367716829784129</v>
      </c>
      <c r="BF51" s="1131">
        <f t="shared" si="36"/>
        <v>0.58632283170215871</v>
      </c>
      <c r="BK51" s="477" t="s">
        <v>2325</v>
      </c>
      <c r="BL51" s="2587">
        <f>M16</f>
        <v>3666652.1800000011</v>
      </c>
      <c r="BM51" s="2585"/>
      <c r="BN51" s="1131"/>
    </row>
    <row r="52" spans="1:66">
      <c r="A52" s="2557">
        <v>920000</v>
      </c>
      <c r="B52" s="2553">
        <v>7548848.6299999794</v>
      </c>
      <c r="C52" s="2553">
        <v>91061.959999999977</v>
      </c>
      <c r="D52" s="2553">
        <v>29627.610000000004</v>
      </c>
      <c r="E52" s="2553">
        <v>94628.080000000016</v>
      </c>
      <c r="F52" s="2605">
        <v>7764166.2799999798</v>
      </c>
      <c r="G52" s="2553">
        <v>411260.00999999989</v>
      </c>
      <c r="H52" s="2553"/>
      <c r="I52" s="2553"/>
      <c r="J52" s="2553"/>
      <c r="K52" s="2553">
        <v>24933.580000000005</v>
      </c>
      <c r="L52" s="2605">
        <v>436193.58999999991</v>
      </c>
      <c r="M52" s="2553">
        <v>8200359.8699999796</v>
      </c>
      <c r="N52" s="2560">
        <f t="shared" si="37"/>
        <v>2</v>
      </c>
      <c r="O52" s="2559">
        <f t="shared" si="12"/>
        <v>0.65400999999999998</v>
      </c>
      <c r="P52" s="2553">
        <f t="shared" si="13"/>
        <v>5265546.0841059862</v>
      </c>
      <c r="Q52" s="2553">
        <f t="shared" si="14"/>
        <v>119561.66000000002</v>
      </c>
      <c r="R52" s="2553">
        <f t="shared" si="15"/>
        <v>5385107.7441059863</v>
      </c>
      <c r="S52" s="2553">
        <f>-IFERROR(VLOOKUP(A52,'G-3.05,5.02 PF NE Labor'!$BR$33:$CD$40,13,FALSE),0)</f>
        <v>-454091.1241539999</v>
      </c>
      <c r="T52" s="2553">
        <f t="shared" si="16"/>
        <v>4931016.6199519867</v>
      </c>
      <c r="V52" s="2552">
        <f>VLOOKUP(A52,'G-3.05,5.02 PF NE Labor'!$BH$13:$BN$46,6,FALSE)</f>
        <v>9.7208643300520162E-2</v>
      </c>
      <c r="W52" s="2552">
        <f>VLOOKUP(A52,'G-3.05,5.02 PF NE Labor'!$BH$13:$BN$46,7,FALSE)</f>
        <v>0.90279135669947985</v>
      </c>
      <c r="Y52" s="2558">
        <f t="shared" si="17"/>
        <v>4451679.1842341376</v>
      </c>
      <c r="Z52" s="2558">
        <f t="shared" si="18"/>
        <v>177889.10020199616</v>
      </c>
      <c r="AA52" s="2558">
        <f t="shared" si="19"/>
        <v>185182.73137744537</v>
      </c>
      <c r="AB52" s="2558">
        <f t="shared" si="20"/>
        <v>121042.84053755336</v>
      </c>
      <c r="AC52" s="2558">
        <f t="shared" si="21"/>
        <v>148073.81569053396</v>
      </c>
      <c r="AE52" s="2558">
        <f t="shared" si="22"/>
        <v>479337.43571784929</v>
      </c>
      <c r="AF52" s="2558">
        <f t="shared" si="23"/>
        <v>12314.178723591549</v>
      </c>
      <c r="AG52" s="2558">
        <f t="shared" si="24"/>
        <v>24582.580722072045</v>
      </c>
      <c r="AH52" s="2558">
        <f t="shared" si="25"/>
        <v>19720.146255246193</v>
      </c>
      <c r="AI52" s="2558">
        <f t="shared" si="26"/>
        <v>18608.334734059317</v>
      </c>
      <c r="AK52" s="2558">
        <f t="shared" si="27"/>
        <v>5121219.8988775741</v>
      </c>
      <c r="AL52" s="2558">
        <f t="shared" si="28"/>
        <v>5330985.2109770915</v>
      </c>
      <c r="AM52" s="2558">
        <f t="shared" si="29"/>
        <v>5261982.8856703741</v>
      </c>
      <c r="AN52" s="2558">
        <f t="shared" si="30"/>
        <v>5497667.3614016846</v>
      </c>
      <c r="AT52" s="2573" t="str">
        <f>"365/365="</f>
        <v>365/365=</v>
      </c>
      <c r="AU52" s="2580">
        <f>ROUND(365/365,3)</f>
        <v>1</v>
      </c>
      <c r="AZ52" s="182">
        <v>561710</v>
      </c>
      <c r="BA52" s="875">
        <v>4566.5000000000009</v>
      </c>
      <c r="BB52" s="875"/>
      <c r="BC52" s="875"/>
      <c r="BD52" s="875">
        <v>4566.5000000000009</v>
      </c>
      <c r="BE52" s="2585">
        <f t="shared" si="35"/>
        <v>0</v>
      </c>
      <c r="BF52" s="1131">
        <f t="shared" si="36"/>
        <v>1</v>
      </c>
      <c r="BL52" s="2586">
        <f>SUM(BL50:BL51)+BL46</f>
        <v>24961940.190000009</v>
      </c>
      <c r="BM52" s="2585"/>
      <c r="BN52" s="1131"/>
    </row>
    <row r="53" spans="1:66" ht="13.5" thickBot="1">
      <c r="A53" s="2557">
        <v>921000</v>
      </c>
      <c r="B53" s="2553">
        <v>52288.76000000113</v>
      </c>
      <c r="C53" s="2553">
        <v>3843.3999999999996</v>
      </c>
      <c r="D53" s="2553"/>
      <c r="E53" s="2553"/>
      <c r="F53" s="2605">
        <v>56132.160000001131</v>
      </c>
      <c r="G53" s="2553"/>
      <c r="H53" s="2553"/>
      <c r="I53" s="2553"/>
      <c r="J53" s="2553"/>
      <c r="K53" s="2553"/>
      <c r="L53" s="2605"/>
      <c r="M53" s="2553">
        <v>56132.160000001131</v>
      </c>
      <c r="N53" s="2560">
        <f t="shared" ref="N53:N60" si="38">$B$71</f>
        <v>4</v>
      </c>
      <c r="O53" s="2559">
        <f t="shared" si="12"/>
        <v>0.71745999999999999</v>
      </c>
      <c r="P53" s="2553">
        <f t="shared" si="13"/>
        <v>40272.579513600809</v>
      </c>
      <c r="Q53" s="2553">
        <f t="shared" si="14"/>
        <v>0</v>
      </c>
      <c r="R53" s="2553">
        <f t="shared" si="15"/>
        <v>40272.579513600809</v>
      </c>
      <c r="S53" s="2553">
        <f>-IFERROR(VLOOKUP(A53,'G-3.05,5.02 PF NE Labor'!$BR$33:$CD$40,13,FALSE),0)</f>
        <v>-355.53012840000019</v>
      </c>
      <c r="T53" s="2553">
        <f t="shared" si="16"/>
        <v>39917.049385200808</v>
      </c>
      <c r="V53" s="2552">
        <f>VLOOKUP(A53,'G-3.05,5.02 PF NE Labor'!$BH$13:$BN$46,6,FALSE)</f>
        <v>0.31826419025669556</v>
      </c>
      <c r="W53" s="2552">
        <f>VLOOKUP(A53,'G-3.05,5.02 PF NE Labor'!$BH$13:$BN$46,7,FALSE)</f>
        <v>0.68173580974330439</v>
      </c>
      <c r="Y53" s="2558">
        <f t="shared" si="17"/>
        <v>27212.881985183343</v>
      </c>
      <c r="Z53" s="2558">
        <f t="shared" si="18"/>
        <v>1087.4267641279264</v>
      </c>
      <c r="AA53" s="2558">
        <f t="shared" si="19"/>
        <v>1132.0123499724507</v>
      </c>
      <c r="AB53" s="2558">
        <f t="shared" si="20"/>
        <v>739.92855243599263</v>
      </c>
      <c r="AC53" s="2558">
        <f t="shared" si="21"/>
        <v>905.1674895515913</v>
      </c>
      <c r="AE53" s="2558">
        <f t="shared" si="22"/>
        <v>12704.167400017463</v>
      </c>
      <c r="AF53" s="2558">
        <f t="shared" si="23"/>
        <v>326.37006050644862</v>
      </c>
      <c r="AG53" s="2558">
        <f t="shared" si="24"/>
        <v>651.52687302619552</v>
      </c>
      <c r="AH53" s="2558">
        <f t="shared" si="25"/>
        <v>522.65485754161398</v>
      </c>
      <c r="AI53" s="2558">
        <f t="shared" si="26"/>
        <v>493.18785031470458</v>
      </c>
      <c r="AK53" s="2558">
        <f t="shared" si="27"/>
        <v>41330.846209835181</v>
      </c>
      <c r="AL53" s="2558">
        <f t="shared" si="28"/>
        <v>43114.385432833828</v>
      </c>
      <c r="AM53" s="2558">
        <f t="shared" si="29"/>
        <v>42593.429619812792</v>
      </c>
      <c r="AN53" s="2558">
        <f t="shared" si="30"/>
        <v>44512.740772700119</v>
      </c>
      <c r="AR53" s="2571" t="s">
        <v>2298</v>
      </c>
      <c r="AS53" s="2569"/>
      <c r="AT53" s="2569"/>
      <c r="AU53" s="2579">
        <f>ROUND(AU52*AU50,6)</f>
        <v>0.04</v>
      </c>
      <c r="AV53" s="2569" t="s">
        <v>2297</v>
      </c>
      <c r="AZ53" s="182">
        <v>926100</v>
      </c>
      <c r="BA53" s="875">
        <v>188450.25000000009</v>
      </c>
      <c r="BB53" s="875">
        <v>22627.250000000011</v>
      </c>
      <c r="BC53" s="875">
        <v>138250.40999999995</v>
      </c>
      <c r="BD53" s="875">
        <v>349327.91000000003</v>
      </c>
      <c r="BE53" s="2585">
        <f t="shared" si="35"/>
        <v>0.39576113457410239</v>
      </c>
      <c r="BF53" s="1131">
        <f t="shared" si="36"/>
        <v>0.60423886542589766</v>
      </c>
      <c r="BL53" s="2586"/>
      <c r="BM53" s="2585"/>
      <c r="BN53" s="1131"/>
    </row>
    <row r="54" spans="1:66" ht="13.5" thickTop="1">
      <c r="A54" s="2557">
        <v>923000</v>
      </c>
      <c r="B54" s="2553">
        <v>1606.3099999999997</v>
      </c>
      <c r="C54" s="2553"/>
      <c r="D54" s="2553"/>
      <c r="E54" s="2553"/>
      <c r="F54" s="2605">
        <v>1606.3099999999997</v>
      </c>
      <c r="G54" s="2553"/>
      <c r="H54" s="2553"/>
      <c r="I54" s="2553"/>
      <c r="J54" s="2553"/>
      <c r="K54" s="2553"/>
      <c r="L54" s="2605"/>
      <c r="M54" s="2553">
        <v>1606.3099999999997</v>
      </c>
      <c r="N54" s="2560">
        <f t="shared" si="38"/>
        <v>4</v>
      </c>
      <c r="O54" s="2559">
        <f t="shared" si="12"/>
        <v>0.71745999999999999</v>
      </c>
      <c r="P54" s="2553">
        <f t="shared" si="13"/>
        <v>1152.4631725999998</v>
      </c>
      <c r="Q54" s="2553">
        <f t="shared" si="14"/>
        <v>0</v>
      </c>
      <c r="R54" s="2553">
        <f t="shared" si="15"/>
        <v>1152.4631725999998</v>
      </c>
      <c r="S54" s="2553">
        <f>-IFERROR(VLOOKUP(A54,'G-3.05,5.02 PF NE Labor'!$BR$33:$CD$40,13,FALSE),0)</f>
        <v>0</v>
      </c>
      <c r="T54" s="2553">
        <f t="shared" si="16"/>
        <v>1152.4631725999998</v>
      </c>
      <c r="V54" s="2552">
        <f>VLOOKUP(A54,'G-3.05,5.02 PF NE Labor'!$BH$13:$BN$46,6,FALSE)</f>
        <v>3.5820451843043992E-2</v>
      </c>
      <c r="W54" s="2552">
        <f>VLOOKUP(A54,'G-3.05,5.02 PF NE Labor'!$BH$13:$BN$46,7,FALSE)</f>
        <v>0.96417954815695606</v>
      </c>
      <c r="Y54" s="2558">
        <f t="shared" si="17"/>
        <v>1111.1814210249997</v>
      </c>
      <c r="Z54" s="2558">
        <f t="shared" si="18"/>
        <v>44.402809584158994</v>
      </c>
      <c r="AA54" s="2558">
        <f t="shared" si="19"/>
        <v>46.223369224366351</v>
      </c>
      <c r="AB54" s="2558">
        <f t="shared" si="20"/>
        <v>30.213443059814818</v>
      </c>
      <c r="AC54" s="2558">
        <f t="shared" si="21"/>
        <v>36.960631286800194</v>
      </c>
      <c r="AE54" s="2558">
        <f t="shared" si="22"/>
        <v>41.281751574999987</v>
      </c>
      <c r="AF54" s="2558">
        <f t="shared" si="23"/>
        <v>1.0605281979617498</v>
      </c>
      <c r="AG54" s="2558">
        <f t="shared" si="24"/>
        <v>2.1171139886480872</v>
      </c>
      <c r="AH54" s="2558">
        <f t="shared" si="25"/>
        <v>1.6983488416934951</v>
      </c>
      <c r="AI54" s="2558">
        <f t="shared" si="26"/>
        <v>1.6025968231866914</v>
      </c>
      <c r="AK54" s="2558">
        <f t="shared" si="27"/>
        <v>1197.9265103821206</v>
      </c>
      <c r="AL54" s="2558">
        <f t="shared" si="28"/>
        <v>1246.2669935951349</v>
      </c>
      <c r="AM54" s="2558">
        <f t="shared" si="29"/>
        <v>1229.838302283629</v>
      </c>
      <c r="AN54" s="2558">
        <f t="shared" si="30"/>
        <v>1284.8302217051219</v>
      </c>
      <c r="AZ54" s="182">
        <v>545000</v>
      </c>
      <c r="BA54" s="875">
        <v>55606.320000000022</v>
      </c>
      <c r="BB54" s="875">
        <v>1364.84</v>
      </c>
      <c r="BC54" s="875">
        <v>306191.71000000002</v>
      </c>
      <c r="BD54" s="875">
        <v>363162.87000000005</v>
      </c>
      <c r="BE54" s="2585">
        <f t="shared" si="35"/>
        <v>0.84312504194054849</v>
      </c>
      <c r="BF54" s="1131">
        <f t="shared" si="36"/>
        <v>0.15687495805945151</v>
      </c>
      <c r="BK54" s="877" t="s">
        <v>2326</v>
      </c>
      <c r="BL54" s="2588">
        <f>M17</f>
        <v>24961940.190000087</v>
      </c>
      <c r="BM54" s="2585"/>
      <c r="BN54" s="1131"/>
    </row>
    <row r="55" spans="1:66">
      <c r="A55" s="2557">
        <v>925100</v>
      </c>
      <c r="B55" s="2553">
        <v>25.830000000000002</v>
      </c>
      <c r="C55" s="2553"/>
      <c r="D55" s="2553"/>
      <c r="E55" s="2553"/>
      <c r="F55" s="2605">
        <v>25.830000000000002</v>
      </c>
      <c r="G55" s="2553"/>
      <c r="H55" s="2553"/>
      <c r="I55" s="2553"/>
      <c r="J55" s="2553"/>
      <c r="K55" s="2553"/>
      <c r="L55" s="2605"/>
      <c r="M55" s="2553">
        <v>25.830000000000002</v>
      </c>
      <c r="N55" s="2560">
        <f t="shared" si="38"/>
        <v>4</v>
      </c>
      <c r="O55" s="2559">
        <f t="shared" si="12"/>
        <v>0.71745999999999999</v>
      </c>
      <c r="P55" s="2553">
        <f t="shared" si="13"/>
        <v>18.5319918</v>
      </c>
      <c r="Q55" s="2553">
        <f t="shared" si="14"/>
        <v>0</v>
      </c>
      <c r="R55" s="2553">
        <f t="shared" si="15"/>
        <v>18.5319918</v>
      </c>
      <c r="S55" s="2553">
        <f>-IFERROR(VLOOKUP(A55,'G-3.05,5.02 PF NE Labor'!$BR$33:$CD$40,13,FALSE),0)</f>
        <v>0</v>
      </c>
      <c r="T55" s="2553">
        <f t="shared" si="16"/>
        <v>18.5319918</v>
      </c>
      <c r="V55" s="2552">
        <f>VLOOKUP(A55,'G-3.05,5.02 PF NE Labor'!$BH$13:$BN$46,6,FALSE)</f>
        <v>0</v>
      </c>
      <c r="W55" s="2552">
        <f>VLOOKUP(A55,'G-3.05,5.02 PF NE Labor'!$BH$13:$BN$46,7,FALSE)</f>
        <v>1</v>
      </c>
      <c r="Y55" s="2558">
        <f t="shared" si="17"/>
        <v>18.5319918</v>
      </c>
      <c r="Z55" s="2558">
        <f t="shared" si="18"/>
        <v>0.74053839232800001</v>
      </c>
      <c r="AA55" s="2558">
        <f t="shared" si="19"/>
        <v>0.77090120769311998</v>
      </c>
      <c r="AB55" s="2558">
        <f t="shared" si="20"/>
        <v>0.50389186539653097</v>
      </c>
      <c r="AC55" s="2558">
        <f t="shared" si="21"/>
        <v>0.6164196979625296</v>
      </c>
      <c r="AE55" s="2558">
        <f t="shared" si="22"/>
        <v>0</v>
      </c>
      <c r="AF55" s="2558">
        <f t="shared" si="23"/>
        <v>0</v>
      </c>
      <c r="AG55" s="2558">
        <f t="shared" si="24"/>
        <v>0</v>
      </c>
      <c r="AH55" s="2558">
        <f t="shared" si="25"/>
        <v>0</v>
      </c>
      <c r="AI55" s="2558">
        <f t="shared" si="26"/>
        <v>0</v>
      </c>
      <c r="AK55" s="2558">
        <f t="shared" si="27"/>
        <v>19.272530192327999</v>
      </c>
      <c r="AL55" s="2558">
        <f t="shared" si="28"/>
        <v>20.04343140002112</v>
      </c>
      <c r="AM55" s="2558">
        <f t="shared" si="29"/>
        <v>19.776422057724531</v>
      </c>
      <c r="AN55" s="2558">
        <f t="shared" si="30"/>
        <v>20.659851097983651</v>
      </c>
      <c r="AR55" s="2578" t="str">
        <f>+AR25</f>
        <v>2025 Adjustment</v>
      </c>
      <c r="AS55" s="2577"/>
      <c r="AT55" s="2576"/>
      <c r="AU55" s="2567"/>
      <c r="AZ55" s="182">
        <v>561510</v>
      </c>
      <c r="BA55" s="875">
        <v>435898.98999999993</v>
      </c>
      <c r="BB55" s="875"/>
      <c r="BC55" s="875"/>
      <c r="BD55" s="875">
        <v>435898.98999999993</v>
      </c>
      <c r="BE55" s="2585">
        <f t="shared" si="35"/>
        <v>0</v>
      </c>
      <c r="BF55" s="1131">
        <f t="shared" si="36"/>
        <v>1</v>
      </c>
      <c r="BM55" s="2585"/>
      <c r="BN55" s="1131"/>
    </row>
    <row r="56" spans="1:66">
      <c r="A56" s="2557">
        <v>926100</v>
      </c>
      <c r="B56" s="2553">
        <v>90648.010000000097</v>
      </c>
      <c r="C56" s="2553">
        <v>361.0800000000001</v>
      </c>
      <c r="D56" s="2553"/>
      <c r="E56" s="2553">
        <v>613.26</v>
      </c>
      <c r="F56" s="2605">
        <v>91622.350000000093</v>
      </c>
      <c r="G56" s="2553">
        <v>2586.2800000000002</v>
      </c>
      <c r="H56" s="2553"/>
      <c r="I56" s="2553"/>
      <c r="J56" s="2553"/>
      <c r="K56" s="2553"/>
      <c r="L56" s="2605">
        <v>2586.2800000000002</v>
      </c>
      <c r="M56" s="2553">
        <v>94208.630000000092</v>
      </c>
      <c r="N56" s="2560">
        <f t="shared" si="38"/>
        <v>4</v>
      </c>
      <c r="O56" s="2559">
        <f t="shared" si="12"/>
        <v>0.71745999999999999</v>
      </c>
      <c r="P56" s="2553">
        <f t="shared" si="13"/>
        <v>67150.934160200064</v>
      </c>
      <c r="Q56" s="2553">
        <f t="shared" si="14"/>
        <v>613.26</v>
      </c>
      <c r="R56" s="2553">
        <f t="shared" si="15"/>
        <v>67764.194160200059</v>
      </c>
      <c r="S56" s="2553">
        <f>-IFERROR(VLOOKUP(A56,'G-3.05,5.02 PF NE Labor'!$BR$33:$CD$40,13,FALSE),0)</f>
        <v>-234.86053100000001</v>
      </c>
      <c r="T56" s="2553">
        <f t="shared" si="16"/>
        <v>67529.33362920006</v>
      </c>
      <c r="V56" s="2552">
        <f>VLOOKUP(A56,'G-3.05,5.02 PF NE Labor'!$BH$13:$BN$46,6,FALSE)</f>
        <v>0.31483859423844068</v>
      </c>
      <c r="W56" s="2552">
        <f>VLOOKUP(A56,'G-3.05,5.02 PF NE Labor'!$BH$13:$BN$46,7,FALSE)</f>
        <v>0.68516140576155937</v>
      </c>
      <c r="Y56" s="2558">
        <f t="shared" si="17"/>
        <v>46268.493159524056</v>
      </c>
      <c r="Z56" s="2558">
        <f t="shared" si="18"/>
        <v>1848.8889866545815</v>
      </c>
      <c r="AA56" s="2558">
        <f t="shared" si="19"/>
        <v>1924.6952858471454</v>
      </c>
      <c r="AB56" s="2558">
        <f t="shared" si="20"/>
        <v>1258.0578266411283</v>
      </c>
      <c r="AC56" s="2558">
        <f t="shared" si="21"/>
        <v>1539.0040577600073</v>
      </c>
      <c r="AE56" s="2558">
        <f t="shared" si="22"/>
        <v>21260.840469676004</v>
      </c>
      <c r="AF56" s="2558">
        <f t="shared" si="23"/>
        <v>546.19099166597653</v>
      </c>
      <c r="AG56" s="2558">
        <f t="shared" si="24"/>
        <v>1090.351573067099</v>
      </c>
      <c r="AH56" s="2558">
        <f t="shared" si="25"/>
        <v>874.68003191442676</v>
      </c>
      <c r="AI56" s="2558">
        <f t="shared" si="26"/>
        <v>825.36602966275211</v>
      </c>
      <c r="AK56" s="2558">
        <f t="shared" si="27"/>
        <v>69924.413607520619</v>
      </c>
      <c r="AL56" s="2558">
        <f t="shared" si="28"/>
        <v>72939.460466434874</v>
      </c>
      <c r="AM56" s="2558">
        <f t="shared" si="29"/>
        <v>72057.151466076175</v>
      </c>
      <c r="AN56" s="2558">
        <f t="shared" si="30"/>
        <v>75303.830553857624</v>
      </c>
      <c r="AR56" s="2566" t="s">
        <v>2296</v>
      </c>
      <c r="AS56" s="2576"/>
      <c r="AT56" s="2576"/>
      <c r="AU56" s="3684">
        <v>0.03</v>
      </c>
      <c r="AZ56" s="182">
        <v>596000</v>
      </c>
      <c r="BA56" s="875"/>
      <c r="BB56" s="875"/>
      <c r="BC56" s="875">
        <v>59957.85999999995</v>
      </c>
      <c r="BD56" s="875">
        <v>59957.85999999995</v>
      </c>
      <c r="BE56" s="2585">
        <f t="shared" si="35"/>
        <v>1</v>
      </c>
      <c r="BF56" s="1131">
        <f t="shared" si="36"/>
        <v>0</v>
      </c>
      <c r="BL56" s="1069"/>
      <c r="BM56" s="2585"/>
      <c r="BN56" s="1131"/>
    </row>
    <row r="57" spans="1:66">
      <c r="A57" s="2557">
        <v>928000</v>
      </c>
      <c r="B57" s="2553">
        <v>227751.91</v>
      </c>
      <c r="C57" s="2553">
        <v>927.85</v>
      </c>
      <c r="D57" s="2553">
        <v>76554.859999999957</v>
      </c>
      <c r="E57" s="2553">
        <v>43433.640000000007</v>
      </c>
      <c r="F57" s="2605">
        <v>348668.26</v>
      </c>
      <c r="G57" s="2553">
        <v>1393.18</v>
      </c>
      <c r="H57" s="2553">
        <v>3268.08</v>
      </c>
      <c r="I57" s="2553">
        <v>6000.7999999999993</v>
      </c>
      <c r="J57" s="2553"/>
      <c r="K57" s="2553">
        <v>6218.699999999998</v>
      </c>
      <c r="L57" s="2605">
        <v>16880.759999999998</v>
      </c>
      <c r="M57" s="2553">
        <v>365549.02</v>
      </c>
      <c r="N57" s="2560">
        <f t="shared" si="38"/>
        <v>4</v>
      </c>
      <c r="O57" s="2559">
        <f t="shared" si="12"/>
        <v>0.71745999999999999</v>
      </c>
      <c r="P57" s="2553">
        <f t="shared" si="13"/>
        <v>167412.84820919996</v>
      </c>
      <c r="Q57" s="2553">
        <f t="shared" si="14"/>
        <v>49652.340000000004</v>
      </c>
      <c r="R57" s="2553">
        <f t="shared" si="15"/>
        <v>217065.18820919996</v>
      </c>
      <c r="S57" s="2553">
        <f>-IFERROR(VLOOKUP(A57,'G-3.05,5.02 PF NE Labor'!$BR$33:$CD$40,13,FALSE),0)</f>
        <v>-10586.98</v>
      </c>
      <c r="T57" s="2553">
        <f t="shared" si="16"/>
        <v>206478.20820919995</v>
      </c>
      <c r="V57" s="2552">
        <f>VLOOKUP(A57,'G-3.05,5.02 PF NE Labor'!$BH$13:$BN$46,6,FALSE)</f>
        <v>0</v>
      </c>
      <c r="W57" s="2552">
        <f>VLOOKUP(A57,'G-3.05,5.02 PF NE Labor'!$BH$13:$BN$46,7,FALSE)</f>
        <v>1</v>
      </c>
      <c r="Y57" s="2558">
        <f t="shared" si="17"/>
        <v>206478.20820919995</v>
      </c>
      <c r="Z57" s="2558">
        <f t="shared" si="18"/>
        <v>8250.8692000396295</v>
      </c>
      <c r="AA57" s="2558">
        <f t="shared" si="19"/>
        <v>8589.1630963695825</v>
      </c>
      <c r="AB57" s="2558">
        <f t="shared" si="20"/>
        <v>5614.2205663110144</v>
      </c>
      <c r="AC57" s="2558">
        <f t="shared" si="21"/>
        <v>6867.9738321576051</v>
      </c>
      <c r="AE57" s="2558">
        <f t="shared" si="22"/>
        <v>0</v>
      </c>
      <c r="AF57" s="2558">
        <f t="shared" si="23"/>
        <v>0</v>
      </c>
      <c r="AG57" s="2558">
        <f t="shared" si="24"/>
        <v>0</v>
      </c>
      <c r="AH57" s="2558">
        <f t="shared" si="25"/>
        <v>0</v>
      </c>
      <c r="AI57" s="2558">
        <f t="shared" si="26"/>
        <v>0</v>
      </c>
      <c r="AK57" s="2558">
        <f t="shared" si="27"/>
        <v>214729.07740923957</v>
      </c>
      <c r="AL57" s="2558">
        <f t="shared" si="28"/>
        <v>223318.24050560917</v>
      </c>
      <c r="AM57" s="2558">
        <f t="shared" si="29"/>
        <v>220343.29797555058</v>
      </c>
      <c r="AN57" s="2558">
        <f t="shared" si="30"/>
        <v>230186.21433776678</v>
      </c>
      <c r="AR57" s="2566" t="s">
        <v>3419</v>
      </c>
      <c r="AU57" s="2574"/>
      <c r="AZ57" s="182">
        <v>563000</v>
      </c>
      <c r="BA57" s="875">
        <v>-786.31999999999994</v>
      </c>
      <c r="BB57" s="875">
        <v>490</v>
      </c>
      <c r="BC57" s="875">
        <v>55660.409999999989</v>
      </c>
      <c r="BD57" s="875">
        <v>55364.089999999989</v>
      </c>
      <c r="BE57" s="2585">
        <f t="shared" si="35"/>
        <v>1.0053522057348003</v>
      </c>
      <c r="BF57" s="1131">
        <f t="shared" si="36"/>
        <v>-5.3522057348003305E-3</v>
      </c>
      <c r="BM57" s="2585"/>
      <c r="BN57" s="1131"/>
    </row>
    <row r="58" spans="1:66">
      <c r="A58" s="2557">
        <v>930200</v>
      </c>
      <c r="B58" s="2553">
        <v>64922.69999999999</v>
      </c>
      <c r="C58" s="2553">
        <v>14362.33</v>
      </c>
      <c r="D58" s="2553"/>
      <c r="E58" s="2553">
        <v>1387.2699999999998</v>
      </c>
      <c r="F58" s="2605">
        <v>80672.299999999988</v>
      </c>
      <c r="G58" s="2553">
        <v>103889.00000000009</v>
      </c>
      <c r="H58" s="2553"/>
      <c r="I58" s="2553"/>
      <c r="J58" s="2553"/>
      <c r="K58" s="2553"/>
      <c r="L58" s="2605">
        <v>103889.00000000009</v>
      </c>
      <c r="M58" s="2553">
        <v>184561.30000000008</v>
      </c>
      <c r="N58" s="2560">
        <f t="shared" si="38"/>
        <v>4</v>
      </c>
      <c r="O58" s="2559">
        <f t="shared" si="12"/>
        <v>0.71745999999999999</v>
      </c>
      <c r="P58" s="2553">
        <f t="shared" si="13"/>
        <v>131420.03956380003</v>
      </c>
      <c r="Q58" s="2553">
        <f t="shared" si="14"/>
        <v>1387.2699999999998</v>
      </c>
      <c r="R58" s="2553">
        <f t="shared" si="15"/>
        <v>132807.30956380002</v>
      </c>
      <c r="S58" s="2553">
        <f>-IFERROR(VLOOKUP(A58,'G-3.05,5.02 PF NE Labor'!$BR$33:$CD$40,13,FALSE),0)</f>
        <v>-6038.6168835999997</v>
      </c>
      <c r="T58" s="2553">
        <f t="shared" si="16"/>
        <v>126768.69268020002</v>
      </c>
      <c r="V58" s="2552">
        <f>VLOOKUP(A58,'G-3.05,5.02 PF NE Labor'!$BH$13:$BN$46,6,FALSE)</f>
        <v>0.2622840541284861</v>
      </c>
      <c r="W58" s="2552">
        <f>VLOOKUP(A58,'G-3.05,5.02 PF NE Labor'!$BH$13:$BN$46,7,FALSE)</f>
        <v>0.7377159458715139</v>
      </c>
      <c r="Y58" s="2558">
        <f t="shared" si="17"/>
        <v>93519.286027469017</v>
      </c>
      <c r="Z58" s="2558">
        <f t="shared" si="18"/>
        <v>3737.0306696576622</v>
      </c>
      <c r="AA58" s="2558">
        <f t="shared" si="19"/>
        <v>3890.2526678850672</v>
      </c>
      <c r="AB58" s="2558">
        <f t="shared" si="20"/>
        <v>2542.8247538363953</v>
      </c>
      <c r="AC58" s="2558">
        <f t="shared" si="21"/>
        <v>3110.6818235654441</v>
      </c>
      <c r="AE58" s="2558">
        <f t="shared" si="22"/>
        <v>33249.406652731006</v>
      </c>
      <c r="AF58" s="2558">
        <f t="shared" si="23"/>
        <v>854.17725690865961</v>
      </c>
      <c r="AG58" s="2558">
        <f t="shared" si="24"/>
        <v>1705.1791954819835</v>
      </c>
      <c r="AH58" s="2558">
        <f t="shared" si="25"/>
        <v>1367.8947506156471</v>
      </c>
      <c r="AI58" s="2558">
        <f t="shared" si="26"/>
        <v>1290.7735607511991</v>
      </c>
      <c r="AK58" s="2558">
        <f t="shared" si="27"/>
        <v>131359.90060676634</v>
      </c>
      <c r="AL58" s="2558">
        <f t="shared" si="28"/>
        <v>136955.33247013341</v>
      </c>
      <c r="AM58" s="2558">
        <f t="shared" si="29"/>
        <v>135270.62011121839</v>
      </c>
      <c r="AN58" s="2558">
        <f t="shared" si="30"/>
        <v>141356.78785445006</v>
      </c>
      <c r="AT58" s="2573" t="str">
        <f>"306/365="</f>
        <v>306/365=</v>
      </c>
      <c r="AU58" s="2572">
        <f>ROUND(306/365,3)</f>
        <v>0.83799999999999997</v>
      </c>
      <c r="AV58" s="2566" t="s">
        <v>2295</v>
      </c>
      <c r="AZ58" s="182">
        <v>571000</v>
      </c>
      <c r="BA58" s="875">
        <v>3416.9</v>
      </c>
      <c r="BB58" s="875"/>
      <c r="BC58" s="875">
        <v>17493.919999999995</v>
      </c>
      <c r="BD58" s="875">
        <v>20910.819999999996</v>
      </c>
      <c r="BE58" s="2585">
        <f t="shared" si="35"/>
        <v>0.83659655623261053</v>
      </c>
      <c r="BF58" s="1131">
        <f t="shared" si="36"/>
        <v>0.16340344376738947</v>
      </c>
      <c r="BM58" s="2585"/>
      <c r="BN58" s="1131"/>
    </row>
    <row r="59" spans="1:66" ht="13.5" thickBot="1">
      <c r="A59" s="2557">
        <v>931000</v>
      </c>
      <c r="B59" s="2553">
        <v>9.91</v>
      </c>
      <c r="C59" s="2553">
        <v>226.8</v>
      </c>
      <c r="D59" s="2553"/>
      <c r="E59" s="2553"/>
      <c r="F59" s="2605">
        <v>236.71</v>
      </c>
      <c r="G59" s="2553"/>
      <c r="H59" s="2553"/>
      <c r="I59" s="2553"/>
      <c r="J59" s="2553"/>
      <c r="K59" s="2553"/>
      <c r="L59" s="2605"/>
      <c r="M59" s="2553">
        <v>236.71</v>
      </c>
      <c r="N59" s="2560">
        <f t="shared" si="38"/>
        <v>4</v>
      </c>
      <c r="O59" s="2559">
        <f t="shared" si="12"/>
        <v>0.71745999999999999</v>
      </c>
      <c r="P59" s="2553">
        <f t="shared" si="13"/>
        <v>169.8299566</v>
      </c>
      <c r="Q59" s="2553">
        <f t="shared" si="14"/>
        <v>0</v>
      </c>
      <c r="R59" s="2553">
        <f t="shared" si="15"/>
        <v>169.8299566</v>
      </c>
      <c r="S59" s="2553">
        <f>-IFERROR(VLOOKUP(A59,'G-3.05,5.02 PF NE Labor'!$BR$33:$CD$40,13,FALSE),0)</f>
        <v>0</v>
      </c>
      <c r="T59" s="2553">
        <f t="shared" si="16"/>
        <v>169.8299566</v>
      </c>
      <c r="V59" s="2552">
        <f>VLOOKUP(A59,'G-3.05,5.02 PF NE Labor'!$BH$13:$BN$46,6,FALSE)</f>
        <v>0</v>
      </c>
      <c r="W59" s="2552">
        <f>VLOOKUP(A59,'G-3.05,5.02 PF NE Labor'!$BH$13:$BN$46,7,FALSE)</f>
        <v>1</v>
      </c>
      <c r="Y59" s="2558">
        <f t="shared" si="17"/>
        <v>169.8299566</v>
      </c>
      <c r="Z59" s="2558">
        <f t="shared" si="18"/>
        <v>6.7864050657360009</v>
      </c>
      <c r="AA59" s="2558">
        <f t="shared" si="19"/>
        <v>7.0646544666294409</v>
      </c>
      <c r="AB59" s="2558">
        <f t="shared" si="20"/>
        <v>4.6177407455676667</v>
      </c>
      <c r="AC59" s="2558">
        <f t="shared" si="21"/>
        <v>5.6489627063379926</v>
      </c>
      <c r="AE59" s="2558">
        <f t="shared" si="22"/>
        <v>0</v>
      </c>
      <c r="AF59" s="2558">
        <f t="shared" si="23"/>
        <v>0</v>
      </c>
      <c r="AG59" s="2558">
        <f t="shared" si="24"/>
        <v>0</v>
      </c>
      <c r="AH59" s="2558">
        <f t="shared" si="25"/>
        <v>0</v>
      </c>
      <c r="AI59" s="2558">
        <f t="shared" si="26"/>
        <v>0</v>
      </c>
      <c r="AK59" s="2558">
        <f t="shared" si="27"/>
        <v>176.61636166573601</v>
      </c>
      <c r="AL59" s="2558">
        <f t="shared" si="28"/>
        <v>183.68101613236544</v>
      </c>
      <c r="AM59" s="2558">
        <f t="shared" si="29"/>
        <v>181.23410241130367</v>
      </c>
      <c r="AN59" s="2558">
        <f t="shared" si="30"/>
        <v>189.32997883870343</v>
      </c>
      <c r="AR59" s="2571" t="s">
        <v>3415</v>
      </c>
      <c r="AS59" s="2569"/>
      <c r="AT59" s="2569"/>
      <c r="AU59" s="2570">
        <f>ROUND(AU58*AU56,6)</f>
        <v>2.5139999999999999E-2</v>
      </c>
      <c r="AV59" s="2569" t="s">
        <v>2294</v>
      </c>
      <c r="AZ59" s="182">
        <v>586000</v>
      </c>
      <c r="BA59" s="875">
        <v>290701.24999999994</v>
      </c>
      <c r="BB59" s="875"/>
      <c r="BC59" s="875">
        <v>1082361.2600000014</v>
      </c>
      <c r="BD59" s="875">
        <v>1373062.5100000014</v>
      </c>
      <c r="BE59" s="2585">
        <f t="shared" si="35"/>
        <v>0.7882825815410256</v>
      </c>
      <c r="BF59" s="1131">
        <f t="shared" si="36"/>
        <v>0.2117174184589744</v>
      </c>
      <c r="BM59" s="2585"/>
      <c r="BN59" s="1131"/>
    </row>
    <row r="60" spans="1:66" ht="13.5" thickTop="1">
      <c r="A60" s="2557">
        <v>935000</v>
      </c>
      <c r="B60" s="2553">
        <v>280327.67000000016</v>
      </c>
      <c r="C60" s="2553">
        <v>4838.0399999999981</v>
      </c>
      <c r="D60" s="2553">
        <v>19224.439999999995</v>
      </c>
      <c r="E60" s="2553">
        <v>6877.3699999999972</v>
      </c>
      <c r="F60" s="2605">
        <v>311267.52000000014</v>
      </c>
      <c r="G60" s="2553"/>
      <c r="H60" s="2553"/>
      <c r="I60" s="2553"/>
      <c r="J60" s="2553"/>
      <c r="K60" s="2553">
        <v>26514.33</v>
      </c>
      <c r="L60" s="2605">
        <v>26514.33</v>
      </c>
      <c r="M60" s="2553">
        <v>337781.85000000015</v>
      </c>
      <c r="N60" s="2560">
        <f t="shared" si="38"/>
        <v>4</v>
      </c>
      <c r="O60" s="2559">
        <f t="shared" si="12"/>
        <v>0.71745999999999999</v>
      </c>
      <c r="P60" s="2553">
        <f t="shared" si="13"/>
        <v>204594.9902966001</v>
      </c>
      <c r="Q60" s="2553">
        <f t="shared" si="14"/>
        <v>33391.699999999997</v>
      </c>
      <c r="R60" s="2553">
        <f t="shared" si="15"/>
        <v>237986.69029660011</v>
      </c>
      <c r="S60" s="2553">
        <f>-IFERROR(VLOOKUP(A60,'G-3.05,5.02 PF NE Labor'!$BR$33:$CD$40,13,FALSE),0)</f>
        <v>0</v>
      </c>
      <c r="T60" s="2553">
        <f t="shared" si="16"/>
        <v>237986.69029660011</v>
      </c>
      <c r="V60" s="2552">
        <f>VLOOKUP(A60,'G-3.05,5.02 PF NE Labor'!$BH$13:$BN$46,6,FALSE)</f>
        <v>0.65499841261417469</v>
      </c>
      <c r="W60" s="2552">
        <f>VLOOKUP(A60,'G-3.05,5.02 PF NE Labor'!$BH$13:$BN$46,7,FALSE)</f>
        <v>0.34500158738582531</v>
      </c>
      <c r="Y60" s="2558">
        <f t="shared" si="17"/>
        <v>82105.78592902582</v>
      </c>
      <c r="Z60" s="2558">
        <f t="shared" si="18"/>
        <v>3280.9472057238718</v>
      </c>
      <c r="AA60" s="2558">
        <f t="shared" si="19"/>
        <v>3415.4693253899877</v>
      </c>
      <c r="AB60" s="2558">
        <f t="shared" si="20"/>
        <v>2232.4873698479114</v>
      </c>
      <c r="AC60" s="2558">
        <f t="shared" si="21"/>
        <v>2731.0406948996274</v>
      </c>
      <c r="AE60" s="2558">
        <f t="shared" si="22"/>
        <v>155880.90436757429</v>
      </c>
      <c r="AF60" s="2558">
        <f t="shared" si="23"/>
        <v>4004.5804332029834</v>
      </c>
      <c r="AG60" s="2558">
        <f t="shared" si="24"/>
        <v>7994.2742400388643</v>
      </c>
      <c r="AH60" s="2558">
        <f t="shared" si="25"/>
        <v>6413.0067953591761</v>
      </c>
      <c r="AI60" s="2558">
        <f t="shared" si="26"/>
        <v>6051.4448298320067</v>
      </c>
      <c r="AK60" s="2558">
        <f t="shared" si="27"/>
        <v>245272.21793552698</v>
      </c>
      <c r="AL60" s="2558">
        <f t="shared" si="28"/>
        <v>256681.9615009558</v>
      </c>
      <c r="AM60" s="2558">
        <f t="shared" si="29"/>
        <v>253917.71210073406</v>
      </c>
      <c r="AN60" s="2558">
        <f t="shared" si="30"/>
        <v>265464.44702568743</v>
      </c>
      <c r="AZ60" s="182">
        <v>935000</v>
      </c>
      <c r="BA60" s="875">
        <v>299449.69000000006</v>
      </c>
      <c r="BB60" s="875">
        <v>289383.46000000002</v>
      </c>
      <c r="BC60" s="875">
        <v>886852.86999999988</v>
      </c>
      <c r="BD60" s="875">
        <v>1475686.02</v>
      </c>
      <c r="BE60" s="2585">
        <f t="shared" si="35"/>
        <v>0.6009766698203185</v>
      </c>
      <c r="BF60" s="1131">
        <f t="shared" si="36"/>
        <v>0.3990233301796815</v>
      </c>
      <c r="BM60" s="2585"/>
      <c r="BN60" s="1131"/>
    </row>
    <row r="61" spans="1:66">
      <c r="A61" s="2606" t="s">
        <v>978</v>
      </c>
      <c r="B61" s="2607">
        <v>11293719.369999986</v>
      </c>
      <c r="C61" s="2607">
        <v>299357.62</v>
      </c>
      <c r="D61" s="2607">
        <v>423907.17</v>
      </c>
      <c r="E61" s="2607">
        <v>543552.03999999992</v>
      </c>
      <c r="F61" s="2607">
        <v>12560536.199999986</v>
      </c>
      <c r="G61" s="2607">
        <v>3716542.9799999995</v>
      </c>
      <c r="H61" s="2607">
        <v>1151951.9500000002</v>
      </c>
      <c r="I61" s="2607">
        <v>1943368.6000000006</v>
      </c>
      <c r="J61" s="2607"/>
      <c r="K61" s="2607">
        <v>5589540.4600000083</v>
      </c>
      <c r="L61" s="2607">
        <v>12401403.990000011</v>
      </c>
      <c r="M61" s="2608">
        <v>24961940.189999998</v>
      </c>
      <c r="N61" s="2556"/>
      <c r="O61" s="2555"/>
      <c r="P61" s="2554">
        <f>SUM(P28:P60)</f>
        <v>10994586.249018291</v>
      </c>
      <c r="Q61" s="2554">
        <f>SUM(Q28:Q60)</f>
        <v>6133092.5000000075</v>
      </c>
      <c r="R61" s="2554">
        <f>SUM(R28:R60)</f>
        <v>17127678.749018297</v>
      </c>
      <c r="S61" s="2554">
        <f>SUM(S28:S60)</f>
        <v>-581873.95729859988</v>
      </c>
      <c r="T61" s="2553">
        <f t="shared" si="16"/>
        <v>16545804.791719697</v>
      </c>
      <c r="V61" s="2552"/>
      <c r="W61" s="2552"/>
      <c r="Y61" s="2551">
        <f>SUM(Y28:Y60)</f>
        <v>9830339.0094921514</v>
      </c>
      <c r="Z61" s="2551">
        <f>SUM(Z28:Z60)</f>
        <v>392820.34681930649</v>
      </c>
      <c r="AA61" s="2551">
        <f>SUM(AA28:AA60)</f>
        <v>408926.37425245839</v>
      </c>
      <c r="AB61" s="2551">
        <f>SUM(AB28:AB60)</f>
        <v>267290.63526637683</v>
      </c>
      <c r="AC61" s="2551">
        <f>SUM(AC28:AC60)</f>
        <v>326981.29097490874</v>
      </c>
      <c r="AE61" s="2551">
        <f>SUM(AE28:AE60)</f>
        <v>6715465.782227546</v>
      </c>
      <c r="AF61" s="2551">
        <f>SUM(AF28:AF60)</f>
        <v>172520.31594542568</v>
      </c>
      <c r="AG61" s="2551">
        <f>SUM(AG28:AG60)</f>
        <v>344399.30490864866</v>
      </c>
      <c r="AH61" s="2551">
        <f>SUM(AH28:AH60)</f>
        <v>276277.12239771796</v>
      </c>
      <c r="AI61" s="2551">
        <f>SUM(AI28:AI60)</f>
        <v>260700.76288464264</v>
      </c>
      <c r="AK61" s="2551">
        <f>SUM(AK28:AK60)</f>
        <v>17111145.45448444</v>
      </c>
      <c r="AL61" s="2550">
        <f>SUM(AL28:AL60)</f>
        <v>17864471.133645538</v>
      </c>
      <c r="AM61" s="2550">
        <f>SUM(AM28:AM60)</f>
        <v>17654713.212148529</v>
      </c>
      <c r="AN61" s="2550">
        <f>SUM(AN28:AN60)</f>
        <v>18452153.187505092</v>
      </c>
      <c r="AR61" s="2578" t="str">
        <f>+AR31</f>
        <v>2026 Adjustment</v>
      </c>
      <c r="AS61" s="2577"/>
      <c r="AT61" s="2576"/>
      <c r="AZ61" s="182">
        <v>570000</v>
      </c>
      <c r="BA61" s="875">
        <v>3813.9500000000003</v>
      </c>
      <c r="BB61" s="875">
        <v>208.65999999999997</v>
      </c>
      <c r="BC61" s="875">
        <v>346801.63000000012</v>
      </c>
      <c r="BD61" s="875">
        <v>350824.24000000011</v>
      </c>
      <c r="BE61" s="2585">
        <f t="shared" si="35"/>
        <v>0.98853383107165005</v>
      </c>
      <c r="BF61" s="1131">
        <f t="shared" si="36"/>
        <v>1.1466168928349951E-2</v>
      </c>
      <c r="BM61" s="2585"/>
      <c r="BN61" s="1131"/>
    </row>
    <row r="62" spans="1:66">
      <c r="B62" s="477"/>
      <c r="S62" s="2549">
        <f>-'G-3.05,5.02 PF NE Labor'!CD41</f>
        <v>-581873.95729859988</v>
      </c>
      <c r="V62" s="2538"/>
      <c r="W62" s="2538"/>
      <c r="AR62" s="2566" t="s">
        <v>3420</v>
      </c>
      <c r="AS62" s="2576"/>
      <c r="AT62" s="2576"/>
      <c r="AU62" s="2567"/>
      <c r="AZ62" s="182">
        <v>512000</v>
      </c>
      <c r="BA62" s="875">
        <v>968.0999999999998</v>
      </c>
      <c r="BB62" s="875">
        <v>9.67</v>
      </c>
      <c r="BC62" s="875">
        <v>575908.72000000009</v>
      </c>
      <c r="BD62" s="875">
        <v>576886.49000000011</v>
      </c>
      <c r="BE62" s="2585">
        <f t="shared" si="35"/>
        <v>0.99830509118006905</v>
      </c>
      <c r="BF62" s="1131">
        <f t="shared" si="36"/>
        <v>1.6949088199309514E-3</v>
      </c>
      <c r="BM62" s="2585"/>
      <c r="BN62" s="1131"/>
    </row>
    <row r="63" spans="1:66">
      <c r="B63" s="477"/>
      <c r="S63" s="2549"/>
      <c r="V63" s="2538"/>
      <c r="W63" s="2538"/>
      <c r="AE63" s="1401" t="s">
        <v>3423</v>
      </c>
      <c r="AS63" s="2576"/>
      <c r="AT63" s="2573" t="str">
        <f>"59/365="</f>
        <v>59/365=</v>
      </c>
      <c r="AU63" s="2572">
        <f>ROUND(59/365,3)</f>
        <v>0.16200000000000001</v>
      </c>
      <c r="AZ63" s="182">
        <v>541000</v>
      </c>
      <c r="BA63" s="875">
        <v>389012.5300000002</v>
      </c>
      <c r="BB63" s="875">
        <v>7607.2999999999993</v>
      </c>
      <c r="BC63" s="875">
        <v>105854.40999999999</v>
      </c>
      <c r="BD63" s="875">
        <v>502474.24000000017</v>
      </c>
      <c r="BE63" s="2585">
        <f t="shared" si="35"/>
        <v>0.21066634182082639</v>
      </c>
      <c r="BF63" s="1131">
        <f t="shared" si="36"/>
        <v>0.78933365817917367</v>
      </c>
      <c r="BM63" s="2585"/>
      <c r="BN63" s="1131"/>
    </row>
    <row r="64" spans="1:66">
      <c r="B64" s="477"/>
      <c r="AE64" s="2537" t="s">
        <v>19</v>
      </c>
      <c r="AF64" s="2547">
        <f>Z61+AF61</f>
        <v>565340.66276473214</v>
      </c>
      <c r="AG64" s="2547">
        <f>AA61+AG61</f>
        <v>753325.67916110705</v>
      </c>
      <c r="AH64" s="2547">
        <f>AB61+AH61</f>
        <v>543567.7576640948</v>
      </c>
      <c r="AI64" s="2547">
        <f>AC61+AI61</f>
        <v>587682.05385955144</v>
      </c>
      <c r="AS64" s="2576"/>
      <c r="AT64" s="2573"/>
      <c r="AU64" s="2567">
        <f>+AU63*AU56</f>
        <v>4.8599999999999997E-3</v>
      </c>
      <c r="AZ64" s="182">
        <v>549000</v>
      </c>
      <c r="BA64" s="875">
        <v>42956.000000000022</v>
      </c>
      <c r="BB64" s="875">
        <v>4377.1899999999996</v>
      </c>
      <c r="BC64" s="875">
        <v>18058.580000000002</v>
      </c>
      <c r="BD64" s="875">
        <v>65391.770000000026</v>
      </c>
      <c r="BE64" s="2585">
        <f t="shared" si="35"/>
        <v>0.276159828675688</v>
      </c>
      <c r="BF64" s="1131">
        <f t="shared" si="36"/>
        <v>0.723840171324312</v>
      </c>
      <c r="BM64" s="2585"/>
      <c r="BN64" s="1131"/>
    </row>
    <row r="65" spans="1:66">
      <c r="B65" s="477"/>
      <c r="L65" s="1197"/>
      <c r="M65" s="1197"/>
      <c r="AH65" s="2548">
        <v>2025</v>
      </c>
      <c r="AI65" s="2548">
        <v>2026</v>
      </c>
      <c r="AR65" s="2566" t="s">
        <v>2293</v>
      </c>
      <c r="AS65" s="2576"/>
      <c r="AT65" s="2576"/>
      <c r="AU65" s="3684">
        <v>0.03</v>
      </c>
      <c r="AZ65" s="182">
        <v>597000</v>
      </c>
      <c r="BA65" s="875">
        <v>-32.140000000000015</v>
      </c>
      <c r="BB65" s="875"/>
      <c r="BC65" s="875">
        <v>34306.689999999988</v>
      </c>
      <c r="BD65" s="875">
        <v>34274.549999999988</v>
      </c>
      <c r="BE65" s="2585">
        <f t="shared" si="35"/>
        <v>1.0009377220123969</v>
      </c>
      <c r="BF65" s="1131">
        <f t="shared" si="36"/>
        <v>-9.3772201239694652E-4</v>
      </c>
      <c r="BM65" s="2585"/>
      <c r="BN65" s="1131"/>
    </row>
    <row r="66" spans="1:66">
      <c r="B66" s="477"/>
      <c r="AG66" s="2537" t="s">
        <v>198</v>
      </c>
      <c r="AH66" s="2547">
        <f>AF64+AG64+AH64</f>
        <v>1862234.0995899341</v>
      </c>
      <c r="AI66" s="2547">
        <f>AI64</f>
        <v>587682.05385955144</v>
      </c>
      <c r="AR66" s="2566" t="s">
        <v>3421</v>
      </c>
      <c r="AU66" s="2574"/>
      <c r="AZ66" s="182">
        <v>546000</v>
      </c>
      <c r="BA66" s="875">
        <v>199815.17999999996</v>
      </c>
      <c r="BB66" s="875">
        <v>39933.540000000008</v>
      </c>
      <c r="BC66" s="875"/>
      <c r="BD66" s="875">
        <v>239748.71999999997</v>
      </c>
      <c r="BE66" s="2585">
        <f t="shared" si="35"/>
        <v>0</v>
      </c>
      <c r="BF66" s="1131">
        <f t="shared" si="36"/>
        <v>1</v>
      </c>
      <c r="BM66" s="2585"/>
      <c r="BN66" s="1131"/>
    </row>
    <row r="67" spans="1:66">
      <c r="A67" s="2545"/>
      <c r="B67" s="2546" t="s">
        <v>739</v>
      </c>
      <c r="C67" s="2546" t="s">
        <v>763</v>
      </c>
      <c r="D67" s="2546" t="s">
        <v>683</v>
      </c>
      <c r="E67" s="2546" t="s">
        <v>198</v>
      </c>
      <c r="AG67" s="3688" t="s">
        <v>3424</v>
      </c>
      <c r="AH67" s="3689">
        <f>AH66-AH81</f>
        <v>37143.375590754207</v>
      </c>
      <c r="AI67" s="3689">
        <f>AI66-AI81</f>
        <v>-147153.76676920382</v>
      </c>
      <c r="AT67" s="2573" t="str">
        <f>"306/365="</f>
        <v>306/365=</v>
      </c>
      <c r="AU67" s="2572">
        <f>ROUND(306/365,3)</f>
        <v>0.83799999999999997</v>
      </c>
      <c r="AV67" s="2566" t="s">
        <v>2292</v>
      </c>
      <c r="AZ67" s="182">
        <v>502000</v>
      </c>
      <c r="BA67" s="875">
        <v>6149.08</v>
      </c>
      <c r="BB67" s="875"/>
      <c r="BC67" s="875">
        <v>504465.18000000046</v>
      </c>
      <c r="BD67" s="875">
        <v>510614.26000000047</v>
      </c>
      <c r="BE67" s="2585">
        <f t="shared" si="35"/>
        <v>0.98795748477529788</v>
      </c>
      <c r="BF67" s="1131">
        <f t="shared" si="36"/>
        <v>1.2042515224702122E-2</v>
      </c>
      <c r="BM67" s="2585"/>
      <c r="BN67" s="1131"/>
    </row>
    <row r="68" spans="1:66">
      <c r="A68" s="2545"/>
      <c r="B68" s="2544"/>
      <c r="C68" s="2544"/>
      <c r="D68" s="2544"/>
      <c r="E68" s="2544"/>
      <c r="AE68" s="2543" t="s">
        <v>2258</v>
      </c>
      <c r="AT68" s="2573"/>
      <c r="AU68" s="2567">
        <f>+AU67*AU65</f>
        <v>2.5139999999999999E-2</v>
      </c>
      <c r="AZ68" s="182">
        <v>545300</v>
      </c>
      <c r="BA68" s="875">
        <v>-15.44</v>
      </c>
      <c r="BB68" s="875">
        <v>17.16</v>
      </c>
      <c r="BC68" s="875"/>
      <c r="BD68" s="875">
        <v>1.7200000000000006</v>
      </c>
      <c r="BE68" s="2585">
        <f t="shared" si="35"/>
        <v>0</v>
      </c>
      <c r="BF68" s="1131">
        <f t="shared" si="36"/>
        <v>1</v>
      </c>
      <c r="BM68" s="2585"/>
      <c r="BN68" s="1131"/>
    </row>
    <row r="69" spans="1:66" ht="13.5" thickBot="1">
      <c r="A69" s="2542" t="s">
        <v>2257</v>
      </c>
      <c r="B69" s="2542">
        <v>2</v>
      </c>
      <c r="C69" s="2541">
        <v>0.65400999999999998</v>
      </c>
      <c r="D69" s="2541">
        <v>0.34599000000000002</v>
      </c>
      <c r="E69" s="2540">
        <f>C69+D69</f>
        <v>1</v>
      </c>
      <c r="F69" s="477" t="s">
        <v>2256</v>
      </c>
      <c r="AE69" s="1401"/>
      <c r="AR69" s="2571" t="s">
        <v>3422</v>
      </c>
      <c r="AS69" s="2569"/>
      <c r="AT69" s="2569"/>
      <c r="AU69" s="3687">
        <f>ROUND(AU68+AU64,5)</f>
        <v>0.03</v>
      </c>
      <c r="AV69" s="2569" t="s">
        <v>2291</v>
      </c>
      <c r="AZ69" s="182">
        <v>909000</v>
      </c>
      <c r="BA69" s="875">
        <v>19660.400000000001</v>
      </c>
      <c r="BB69" s="875"/>
      <c r="BC69" s="875"/>
      <c r="BD69" s="875">
        <v>19660.400000000001</v>
      </c>
      <c r="BE69" s="2585">
        <f t="shared" si="35"/>
        <v>0</v>
      </c>
      <c r="BF69" s="1131">
        <f t="shared" si="36"/>
        <v>1</v>
      </c>
      <c r="BM69" s="2585"/>
      <c r="BN69" s="1131"/>
    </row>
    <row r="70" spans="1:66" ht="13.5" thickTop="1">
      <c r="A70" s="2542" t="s">
        <v>2255</v>
      </c>
      <c r="B70" s="2542">
        <v>3</v>
      </c>
      <c r="C70" s="2541">
        <v>0.71040000000000003</v>
      </c>
      <c r="D70" s="2541">
        <v>0.28960000000000002</v>
      </c>
      <c r="E70" s="2540">
        <f>C70+D70</f>
        <v>1</v>
      </c>
      <c r="F70" s="477" t="s">
        <v>2251</v>
      </c>
      <c r="AE70" s="477" t="s">
        <v>671</v>
      </c>
      <c r="AG70" s="477" t="s">
        <v>2252</v>
      </c>
      <c r="AH70" s="2539">
        <f>SUM(Z28:AB28)+SUM(AF28:AH28)</f>
        <v>63267.738629905711</v>
      </c>
      <c r="AI70" s="2539">
        <f>+AC28+AI28</f>
        <v>19351.397527521167</v>
      </c>
      <c r="AJ70" s="2538">
        <f t="shared" ref="AJ70:AJ75" si="39">AH70/$AH$76</f>
        <v>3.3974105964356113E-2</v>
      </c>
      <c r="AK70" s="1069"/>
      <c r="AZ70" s="182">
        <v>513000</v>
      </c>
      <c r="BA70" s="875">
        <v>3171.53</v>
      </c>
      <c r="BB70" s="875"/>
      <c r="BC70" s="875">
        <v>94673.13999999997</v>
      </c>
      <c r="BD70" s="875">
        <v>97844.669999999969</v>
      </c>
      <c r="BE70" s="2585">
        <f t="shared" si="35"/>
        <v>0.96758607290514653</v>
      </c>
      <c r="BF70" s="1131">
        <f t="shared" si="36"/>
        <v>3.2413927094853467E-2</v>
      </c>
      <c r="BM70" s="2585"/>
      <c r="BN70" s="1131"/>
    </row>
    <row r="71" spans="1:66">
      <c r="A71" s="2542" t="s">
        <v>2254</v>
      </c>
      <c r="B71" s="2542">
        <v>4</v>
      </c>
      <c r="C71" s="2541">
        <v>0.71745999999999999</v>
      </c>
      <c r="D71" s="2541">
        <v>0.28254000000000001</v>
      </c>
      <c r="E71" s="2540">
        <f>C71+D71</f>
        <v>1</v>
      </c>
      <c r="F71" s="477" t="s">
        <v>2244</v>
      </c>
      <c r="AE71" s="477" t="s">
        <v>41</v>
      </c>
      <c r="AG71" s="477" t="s">
        <v>2250</v>
      </c>
      <c r="AH71" s="2539">
        <v>0</v>
      </c>
      <c r="AI71" s="2539">
        <v>0</v>
      </c>
      <c r="AJ71" s="2538">
        <f t="shared" si="39"/>
        <v>0</v>
      </c>
      <c r="AZ71" s="182">
        <v>537000</v>
      </c>
      <c r="BA71" s="875">
        <v>377149.6</v>
      </c>
      <c r="BB71" s="875">
        <v>37895.519999999997</v>
      </c>
      <c r="BC71" s="875">
        <v>75047.710000000006</v>
      </c>
      <c r="BD71" s="875">
        <v>490092.83</v>
      </c>
      <c r="BE71" s="2585">
        <f t="shared" si="35"/>
        <v>0.15312958159375645</v>
      </c>
      <c r="BF71" s="1131">
        <f t="shared" si="36"/>
        <v>0.84687041840624355</v>
      </c>
      <c r="BM71" s="2585"/>
      <c r="BN71" s="1131"/>
    </row>
    <row r="72" spans="1:66">
      <c r="A72" s="2542" t="s">
        <v>2253</v>
      </c>
      <c r="B72" s="2542">
        <v>10</v>
      </c>
      <c r="C72" s="2541">
        <v>0.67015999999999998</v>
      </c>
      <c r="D72" s="2541">
        <v>0.32984000000000002</v>
      </c>
      <c r="E72" s="2540">
        <f>C72+D72</f>
        <v>1</v>
      </c>
      <c r="F72" s="477" t="s">
        <v>2252</v>
      </c>
      <c r="AE72" s="477" t="s">
        <v>45</v>
      </c>
      <c r="AG72" s="477" t="s">
        <v>2251</v>
      </c>
      <c r="AH72" s="2539">
        <f>SUM(Z29:AB44)+SUM(AF29:AH44)</f>
        <v>903188.27184670034</v>
      </c>
      <c r="AI72" s="2539">
        <f>SUM(AC29:AC44,AI29:AI44)</f>
        <v>291613.35579004406</v>
      </c>
      <c r="AJ72" s="2538">
        <f t="shared" si="39"/>
        <v>0.48500254186387387</v>
      </c>
      <c r="AZ72" s="182">
        <v>506000</v>
      </c>
      <c r="BA72" s="875">
        <v>16624.36</v>
      </c>
      <c r="BB72" s="875">
        <v>86585.56</v>
      </c>
      <c r="BC72" s="875">
        <v>92137.349999999991</v>
      </c>
      <c r="BD72" s="875">
        <v>195347.27</v>
      </c>
      <c r="BE72" s="2585">
        <f t="shared" si="35"/>
        <v>0.47165926608546921</v>
      </c>
      <c r="BF72" s="1131">
        <f t="shared" si="36"/>
        <v>0.52834073391453074</v>
      </c>
      <c r="BM72" s="2585"/>
      <c r="BN72" s="1131"/>
    </row>
    <row r="73" spans="1:66">
      <c r="A73" s="2542" t="s">
        <v>779</v>
      </c>
      <c r="B73" s="2542">
        <v>1</v>
      </c>
      <c r="C73" s="2541">
        <v>0.6845</v>
      </c>
      <c r="D73" s="2541">
        <v>0.3155</v>
      </c>
      <c r="E73" s="2540">
        <f>C73+D73</f>
        <v>1</v>
      </c>
      <c r="F73" s="477" t="s">
        <v>2250</v>
      </c>
      <c r="AE73" s="477" t="s">
        <v>2249</v>
      </c>
      <c r="AG73" s="477" t="s">
        <v>2248</v>
      </c>
      <c r="AH73" s="2539">
        <f>SUM(Z45:AB48)+SUM(AF45:AH48)</f>
        <v>260847.04092060914</v>
      </c>
      <c r="AI73" s="2539">
        <f>SUM(AC45:AC48,AI45:AI48)</f>
        <v>80621.748287338531</v>
      </c>
      <c r="AJ73" s="2538">
        <f t="shared" si="39"/>
        <v>0.14007209994599926</v>
      </c>
      <c r="AZ73" s="182">
        <v>910000</v>
      </c>
      <c r="BA73" s="875">
        <v>39479.839999999997</v>
      </c>
      <c r="BB73" s="875"/>
      <c r="BC73" s="875"/>
      <c r="BD73" s="875">
        <v>39479.839999999997</v>
      </c>
      <c r="BE73" s="2585">
        <f t="shared" si="35"/>
        <v>0</v>
      </c>
      <c r="BF73" s="1131">
        <f t="shared" si="36"/>
        <v>1</v>
      </c>
      <c r="BM73" s="2585"/>
      <c r="BN73" s="1131"/>
    </row>
    <row r="74" spans="1:66">
      <c r="B74" s="477"/>
      <c r="AE74" s="477" t="s">
        <v>2247</v>
      </c>
      <c r="AG74" s="477" t="s">
        <v>2246</v>
      </c>
      <c r="AH74" s="2539">
        <f>SUM(Z49:AB51)+SUM(AF49:AH51)</f>
        <v>18158.108950104859</v>
      </c>
      <c r="AI74" s="2539">
        <f>SUM(AC49:AC51,AI49:AI51)</f>
        <v>5553.9330510451473</v>
      </c>
      <c r="AJ74" s="2538">
        <f t="shared" si="39"/>
        <v>9.7507123052377222E-3</v>
      </c>
      <c r="AZ74" s="182">
        <v>552000</v>
      </c>
      <c r="BA74" s="875">
        <v>0</v>
      </c>
      <c r="BB74" s="875">
        <v>510.01</v>
      </c>
      <c r="BC74" s="875">
        <v>27443.129999999997</v>
      </c>
      <c r="BD74" s="875">
        <v>27953.139999999996</v>
      </c>
      <c r="BE74" s="2585">
        <f t="shared" si="35"/>
        <v>0.98175482253514279</v>
      </c>
      <c r="BF74" s="1131">
        <f t="shared" si="36"/>
        <v>1.824517746485721E-2</v>
      </c>
      <c r="BM74" s="2585"/>
      <c r="BN74" s="1131"/>
    </row>
    <row r="75" spans="1:66">
      <c r="B75" s="477"/>
      <c r="AE75" s="477" t="s">
        <v>2245</v>
      </c>
      <c r="AG75" s="477" t="s">
        <v>2244</v>
      </c>
      <c r="AH75" s="2539">
        <f>SUM(Z52:AB60)+SUM(AF52:AH60)</f>
        <v>616772.93924261397</v>
      </c>
      <c r="AI75" s="2539">
        <f>+SUM(AC52:AC60,AI52:AI60)</f>
        <v>190541.61920360252</v>
      </c>
      <c r="AJ75" s="2538">
        <f t="shared" si="39"/>
        <v>0.33120053992053311</v>
      </c>
      <c r="AZ75" s="182">
        <v>561310</v>
      </c>
      <c r="BA75" s="875">
        <v>220489.90000000002</v>
      </c>
      <c r="BB75" s="875">
        <v>607620.43999999971</v>
      </c>
      <c r="BC75" s="875">
        <v>13106.160000000007</v>
      </c>
      <c r="BD75" s="875">
        <v>841216.49999999977</v>
      </c>
      <c r="BE75" s="2585">
        <f t="shared" si="35"/>
        <v>1.5580008238069524E-2</v>
      </c>
      <c r="BF75" s="1131">
        <f t="shared" si="36"/>
        <v>0.98441999176193051</v>
      </c>
      <c r="BM75" s="2585"/>
      <c r="BN75" s="1131"/>
    </row>
    <row r="76" spans="1:66">
      <c r="B76" s="477"/>
      <c r="AG76" s="2537"/>
      <c r="AH76" s="2536">
        <f>SUM(AH70:AH75)</f>
        <v>1862234.0995899339</v>
      </c>
      <c r="AI76" s="2536">
        <f>SUM(AI70:AI75)</f>
        <v>587682.05385955144</v>
      </c>
      <c r="AZ76" s="182">
        <v>554000</v>
      </c>
      <c r="BA76" s="875">
        <v>22.889999999999986</v>
      </c>
      <c r="BB76" s="875">
        <v>5742</v>
      </c>
      <c r="BC76" s="875">
        <v>161874.35</v>
      </c>
      <c r="BD76" s="875">
        <v>167639.24000000002</v>
      </c>
      <c r="BE76" s="2585">
        <f t="shared" si="35"/>
        <v>0.96561133300294122</v>
      </c>
      <c r="BF76" s="1131">
        <f t="shared" si="36"/>
        <v>3.4388666997058781E-2</v>
      </c>
      <c r="BM76" s="2585"/>
      <c r="BN76" s="1131"/>
    </row>
    <row r="77" spans="1:66">
      <c r="B77" s="477"/>
      <c r="AZ77" s="182">
        <v>556000</v>
      </c>
      <c r="BA77" s="875">
        <v>2102.08</v>
      </c>
      <c r="BB77" s="875">
        <v>209668.67999999996</v>
      </c>
      <c r="BC77" s="875"/>
      <c r="BD77" s="875">
        <v>211770.75999999995</v>
      </c>
      <c r="BE77" s="2585">
        <f t="shared" ref="BE77:BE91" si="40">BC77/BD77</f>
        <v>0</v>
      </c>
      <c r="BF77" s="1131">
        <f t="shared" ref="BF77:BF91" si="41">1-BE77</f>
        <v>1</v>
      </c>
      <c r="BM77" s="2585"/>
      <c r="BN77" s="1131"/>
    </row>
    <row r="78" spans="1:66">
      <c r="B78" s="477"/>
      <c r="AE78" s="1401" t="s">
        <v>3425</v>
      </c>
      <c r="AZ78" s="182">
        <v>500000</v>
      </c>
      <c r="BA78" s="875">
        <v>129205.94000000003</v>
      </c>
      <c r="BB78" s="875">
        <v>637.22</v>
      </c>
      <c r="BC78" s="875"/>
      <c r="BD78" s="875">
        <v>129843.16000000003</v>
      </c>
      <c r="BE78" s="2585">
        <f t="shared" si="40"/>
        <v>0</v>
      </c>
      <c r="BF78" s="1131">
        <f t="shared" si="41"/>
        <v>1</v>
      </c>
      <c r="BM78" s="2585"/>
      <c r="BN78" s="1131"/>
    </row>
    <row r="79" spans="1:66">
      <c r="B79" s="477"/>
      <c r="AE79" s="2537" t="s">
        <v>19</v>
      </c>
      <c r="AF79" s="2547">
        <v>565340.66276473203</v>
      </c>
      <c r="AG79" s="2547">
        <v>684445.81817937701</v>
      </c>
      <c r="AH79" s="2547">
        <v>575304.24305507506</v>
      </c>
      <c r="AI79" s="2547">
        <v>734835.82062875503</v>
      </c>
      <c r="AZ79" s="182">
        <v>553000</v>
      </c>
      <c r="BA79" s="875">
        <v>360.8</v>
      </c>
      <c r="BB79" s="875"/>
      <c r="BC79" s="875">
        <v>428606.9499999999</v>
      </c>
      <c r="BD79" s="875">
        <v>428967.74999999988</v>
      </c>
      <c r="BE79" s="2585">
        <f t="shared" si="40"/>
        <v>0.99915891113026567</v>
      </c>
      <c r="BF79" s="1131">
        <f t="shared" si="41"/>
        <v>8.4108886973432995E-4</v>
      </c>
      <c r="BM79" s="2585"/>
      <c r="BN79" s="1131"/>
    </row>
    <row r="80" spans="1:66">
      <c r="B80" s="477"/>
      <c r="AH80" s="2548">
        <v>2025</v>
      </c>
      <c r="AI80" s="2548">
        <v>2026</v>
      </c>
      <c r="AZ80" s="182">
        <v>561110</v>
      </c>
      <c r="BA80" s="875">
        <v>21360.839999999993</v>
      </c>
      <c r="BB80" s="875">
        <v>418.65</v>
      </c>
      <c r="BC80" s="875"/>
      <c r="BD80" s="875">
        <v>21779.489999999994</v>
      </c>
      <c r="BE80" s="2585">
        <f t="shared" si="40"/>
        <v>0</v>
      </c>
      <c r="BF80" s="1131">
        <f t="shared" si="41"/>
        <v>1</v>
      </c>
      <c r="BM80" s="2585"/>
      <c r="BN80" s="1131"/>
    </row>
    <row r="81" spans="2:66">
      <c r="B81" s="477"/>
      <c r="AG81" s="2537" t="s">
        <v>198</v>
      </c>
      <c r="AH81" s="2547">
        <v>1825090.7239991799</v>
      </c>
      <c r="AI81" s="2547">
        <v>734835.82062875526</v>
      </c>
      <c r="AZ81" s="182">
        <v>573000</v>
      </c>
      <c r="BA81" s="875">
        <v>893.29000000000008</v>
      </c>
      <c r="BB81" s="875"/>
      <c r="BC81" s="875">
        <v>10231.690000000004</v>
      </c>
      <c r="BD81" s="875">
        <v>11124.980000000005</v>
      </c>
      <c r="BE81" s="2585">
        <f t="shared" si="40"/>
        <v>0.91970412531078705</v>
      </c>
      <c r="BF81" s="1131">
        <f t="shared" si="41"/>
        <v>8.0295874689212954E-2</v>
      </c>
      <c r="BM81" s="2585"/>
      <c r="BN81" s="1131"/>
    </row>
    <row r="82" spans="2:66">
      <c r="AZ82" s="182">
        <v>931000</v>
      </c>
      <c r="BA82" s="875">
        <v>675.81</v>
      </c>
      <c r="BB82" s="875"/>
      <c r="BC82" s="875"/>
      <c r="BD82" s="875">
        <v>675.81</v>
      </c>
      <c r="BE82" s="2585">
        <f t="shared" si="40"/>
        <v>0</v>
      </c>
      <c r="BF82" s="1131">
        <f t="shared" si="41"/>
        <v>1</v>
      </c>
      <c r="BM82" s="2585"/>
      <c r="BN82" s="1131"/>
    </row>
    <row r="83" spans="2:66">
      <c r="AE83" s="2543" t="s">
        <v>2258</v>
      </c>
      <c r="AZ83" s="182">
        <v>510000</v>
      </c>
      <c r="BA83" s="875">
        <v>101834.89</v>
      </c>
      <c r="BB83" s="875"/>
      <c r="BC83" s="875"/>
      <c r="BD83" s="875">
        <v>101834.89</v>
      </c>
      <c r="BE83" s="2585">
        <f t="shared" si="40"/>
        <v>0</v>
      </c>
      <c r="BF83" s="1131">
        <f t="shared" si="41"/>
        <v>1</v>
      </c>
      <c r="BM83" s="2585"/>
      <c r="BN83" s="1131"/>
    </row>
    <row r="84" spans="2:66">
      <c r="AE84" s="1401"/>
      <c r="AZ84" s="182">
        <v>551000</v>
      </c>
      <c r="BA84" s="875">
        <v>167157.31999999998</v>
      </c>
      <c r="BB84" s="875">
        <v>56290.630000000005</v>
      </c>
      <c r="BC84" s="875">
        <v>60362.350000000006</v>
      </c>
      <c r="BD84" s="875">
        <v>283810.3</v>
      </c>
      <c r="BE84" s="2585">
        <f t="shared" si="40"/>
        <v>0.21268555087676524</v>
      </c>
      <c r="BF84" s="1131">
        <f t="shared" si="41"/>
        <v>0.78731444912323478</v>
      </c>
      <c r="BM84" s="2585"/>
      <c r="BN84" s="1131"/>
    </row>
    <row r="85" spans="2:66">
      <c r="AE85" s="477" t="s">
        <v>671</v>
      </c>
      <c r="AG85" s="477" t="s">
        <v>2252</v>
      </c>
      <c r="AH85" s="2539">
        <v>68540.667572314473</v>
      </c>
      <c r="AI85" s="2539">
        <v>26012.780527724572</v>
      </c>
      <c r="AJ85" s="2538">
        <v>3.7554663267438247E-2</v>
      </c>
      <c r="AZ85" s="182">
        <v>514000</v>
      </c>
      <c r="BA85" s="875"/>
      <c r="BB85" s="875"/>
      <c r="BC85" s="875">
        <v>96897.400000000023</v>
      </c>
      <c r="BD85" s="875">
        <v>96897.400000000023</v>
      </c>
      <c r="BE85" s="2585">
        <f t="shared" si="40"/>
        <v>1</v>
      </c>
      <c r="BF85" s="1131">
        <f t="shared" si="41"/>
        <v>0</v>
      </c>
      <c r="BM85" s="2585"/>
      <c r="BN85" s="1131"/>
    </row>
    <row r="86" spans="2:66">
      <c r="AE86" s="477" t="s">
        <v>41</v>
      </c>
      <c r="AG86" s="477" t="s">
        <v>2250</v>
      </c>
      <c r="AH86" s="2539">
        <v>0</v>
      </c>
      <c r="AI86" s="2539">
        <v>0</v>
      </c>
      <c r="AJ86" s="2538">
        <v>0</v>
      </c>
      <c r="AZ86" s="182">
        <v>561210</v>
      </c>
      <c r="BA86" s="875">
        <v>66524.930000000008</v>
      </c>
      <c r="BB86" s="875">
        <v>641552.60000000009</v>
      </c>
      <c r="BC86" s="875"/>
      <c r="BD86" s="875">
        <v>708077.53000000014</v>
      </c>
      <c r="BE86" s="2585">
        <f t="shared" si="40"/>
        <v>0</v>
      </c>
      <c r="BF86" s="1131">
        <f t="shared" si="41"/>
        <v>1</v>
      </c>
      <c r="BM86" s="2585"/>
      <c r="BN86" s="1131"/>
    </row>
    <row r="87" spans="2:66">
      <c r="AE87" s="477" t="s">
        <v>45</v>
      </c>
      <c r="AG87" s="477" t="s">
        <v>2251</v>
      </c>
      <c r="AH87" s="2539">
        <v>815143.27745967661</v>
      </c>
      <c r="AI87" s="2539">
        <v>345172.92403378739</v>
      </c>
      <c r="AJ87" s="2538">
        <v>0.44663164780845194</v>
      </c>
      <c r="AZ87" s="182">
        <v>901000</v>
      </c>
      <c r="BA87" s="875">
        <v>103669.52999999998</v>
      </c>
      <c r="BB87" s="875"/>
      <c r="BC87" s="875"/>
      <c r="BD87" s="875">
        <v>103669.52999999998</v>
      </c>
      <c r="BE87" s="2585">
        <f t="shared" si="40"/>
        <v>0</v>
      </c>
      <c r="BF87" s="1131">
        <f t="shared" si="41"/>
        <v>1</v>
      </c>
      <c r="BM87" s="2585"/>
      <c r="BN87" s="1131"/>
    </row>
    <row r="88" spans="2:66">
      <c r="AE88" s="477" t="s">
        <v>2249</v>
      </c>
      <c r="AG88" s="477" t="s">
        <v>2248</v>
      </c>
      <c r="AH88" s="2539">
        <v>273679.22618608602</v>
      </c>
      <c r="AI88" s="2539">
        <v>105820.59747500755</v>
      </c>
      <c r="AJ88" s="2538">
        <v>0.14995376535934235</v>
      </c>
      <c r="AZ88" s="182">
        <v>511000</v>
      </c>
      <c r="BA88" s="875">
        <v>379.99</v>
      </c>
      <c r="BB88" s="875"/>
      <c r="BC88" s="875">
        <v>11372.949999999999</v>
      </c>
      <c r="BD88" s="875">
        <v>11752.939999999999</v>
      </c>
      <c r="BE88" s="2585">
        <f t="shared" si="40"/>
        <v>0.96766851528213371</v>
      </c>
      <c r="BF88" s="1131">
        <f t="shared" si="41"/>
        <v>3.2331484717866288E-2</v>
      </c>
      <c r="BM88" s="2585"/>
      <c r="BN88" s="1131"/>
    </row>
    <row r="89" spans="2:66">
      <c r="AE89" s="477" t="s">
        <v>2247</v>
      </c>
      <c r="AG89" s="477" t="s">
        <v>2246</v>
      </c>
      <c r="AH89" s="2539">
        <v>19671.461889467882</v>
      </c>
      <c r="AI89" s="2539">
        <v>7465.7781856347174</v>
      </c>
      <c r="AJ89" s="2538">
        <v>1.0778347416266123E-2</v>
      </c>
      <c r="AZ89" s="182">
        <v>572000</v>
      </c>
      <c r="BA89" s="875"/>
      <c r="BB89" s="875"/>
      <c r="BC89" s="875">
        <v>697.2</v>
      </c>
      <c r="BD89" s="875">
        <v>697.2</v>
      </c>
      <c r="BE89" s="2585">
        <f t="shared" si="40"/>
        <v>1</v>
      </c>
      <c r="BF89" s="1131">
        <f t="shared" si="41"/>
        <v>0</v>
      </c>
      <c r="BM89" s="2585"/>
      <c r="BN89" s="1131"/>
    </row>
    <row r="90" spans="2:66">
      <c r="AE90" s="477" t="s">
        <v>2245</v>
      </c>
      <c r="AG90" s="477" t="s">
        <v>2244</v>
      </c>
      <c r="AH90" s="2539">
        <v>648056.09089163993</v>
      </c>
      <c r="AI90" s="2539">
        <v>250363.74040660114</v>
      </c>
      <c r="AJ90" s="2538">
        <v>0.35508157614850128</v>
      </c>
      <c r="AZ90" s="182">
        <v>925100</v>
      </c>
      <c r="BA90" s="875">
        <v>73.819999999999993</v>
      </c>
      <c r="BB90" s="875"/>
      <c r="BC90" s="875"/>
      <c r="BD90" s="875">
        <v>73.819999999999993</v>
      </c>
      <c r="BE90" s="2585">
        <f t="shared" si="40"/>
        <v>0</v>
      </c>
      <c r="BF90" s="1131">
        <f t="shared" si="41"/>
        <v>1</v>
      </c>
      <c r="BM90" s="2585"/>
      <c r="BN90" s="1131"/>
    </row>
    <row r="91" spans="2:66">
      <c r="AG91" s="2537"/>
      <c r="AH91" s="2536">
        <v>1825090.723999185</v>
      </c>
      <c r="AI91" s="2536">
        <v>734835.82062875538</v>
      </c>
      <c r="AZ91" s="182">
        <v>585000</v>
      </c>
      <c r="BA91" s="875">
        <v>772.82</v>
      </c>
      <c r="BB91" s="875">
        <v>58.44</v>
      </c>
      <c r="BC91" s="875"/>
      <c r="BD91" s="875">
        <v>831.26</v>
      </c>
      <c r="BE91" s="2585">
        <f t="shared" si="40"/>
        <v>0</v>
      </c>
      <c r="BF91" s="1131">
        <f t="shared" si="41"/>
        <v>1</v>
      </c>
      <c r="BM91" s="2585"/>
      <c r="BN91" s="1131"/>
    </row>
    <row r="92" spans="2:66">
      <c r="AZ92" s="1476" t="s">
        <v>978</v>
      </c>
      <c r="BA92" s="1477">
        <v>33318139.789999984</v>
      </c>
      <c r="BB92" s="1477">
        <v>14026145.169999994</v>
      </c>
      <c r="BC92" s="1477">
        <v>28977979.06000001</v>
      </c>
      <c r="BD92" s="1477">
        <v>76322264.019999981</v>
      </c>
      <c r="BE92" s="2585"/>
      <c r="BF92" s="1131"/>
      <c r="BM92" s="2585"/>
      <c r="BN92" s="1131"/>
    </row>
    <row r="93" spans="2:66">
      <c r="Y93" s="477" t="s">
        <v>3426</v>
      </c>
      <c r="AE93" s="477" t="s">
        <v>3427</v>
      </c>
      <c r="BA93" s="477"/>
      <c r="BE93" s="2585"/>
      <c r="BF93" s="1131"/>
      <c r="BM93" s="2585"/>
      <c r="BN93" s="1131"/>
    </row>
    <row r="94" spans="2:66">
      <c r="Y94" s="2592">
        <v>9830339.0094921514</v>
      </c>
      <c r="Z94" s="2592">
        <v>392820.34681930649</v>
      </c>
      <c r="AA94" s="2592">
        <v>408926.37425245839</v>
      </c>
      <c r="AB94" s="2592">
        <v>356387.51368850243</v>
      </c>
      <c r="AC94" s="2592">
        <v>439538.92977009667</v>
      </c>
      <c r="AD94" s="2592"/>
      <c r="AE94" s="3690">
        <v>6715465.782227546</v>
      </c>
      <c r="AF94" s="3690">
        <v>172520.31594542568</v>
      </c>
      <c r="AG94" s="3690">
        <v>275519.44392691884</v>
      </c>
      <c r="AH94" s="3690">
        <v>218916.72936657257</v>
      </c>
      <c r="AI94" s="3690">
        <v>295296.89085865853</v>
      </c>
      <c r="BA94" s="477"/>
      <c r="BE94" s="2585"/>
      <c r="BF94" s="1131"/>
      <c r="BM94" s="2585"/>
      <c r="BN94" s="1131"/>
    </row>
    <row r="95" spans="2:66">
      <c r="AE95" s="2535"/>
      <c r="AF95" s="2535"/>
      <c r="AG95" s="2535"/>
      <c r="AH95" s="2535"/>
      <c r="AI95" s="2535"/>
      <c r="BA95" s="477"/>
      <c r="BE95" s="2585"/>
      <c r="BF95" s="1131"/>
      <c r="BM95" s="2585"/>
      <c r="BN95" s="1131"/>
    </row>
    <row r="96" spans="2:66">
      <c r="X96" s="877" t="s">
        <v>3424</v>
      </c>
      <c r="Y96" s="1069">
        <f>Y61-Y94</f>
        <v>0</v>
      </c>
      <c r="Z96" s="1069">
        <f>Z61-Z94</f>
        <v>0</v>
      </c>
      <c r="AA96" s="1069">
        <f>AA61-AA94</f>
        <v>0</v>
      </c>
      <c r="AB96" s="1069">
        <f>AB61-AB94</f>
        <v>-89096.878422125592</v>
      </c>
      <c r="AC96" s="1069">
        <f>AC61-AC94</f>
        <v>-112557.63879518793</v>
      </c>
      <c r="AE96" s="1069">
        <f>AE61-AE94</f>
        <v>0</v>
      </c>
      <c r="AF96" s="1069">
        <f>AF61-AF94</f>
        <v>0</v>
      </c>
      <c r="AG96" s="1069">
        <f>AG61-AG94</f>
        <v>68879.860981729813</v>
      </c>
      <c r="AH96" s="1069">
        <f>AH61-AH94</f>
        <v>57360.393031145388</v>
      </c>
      <c r="AI96" s="1069">
        <f>AI61-AI94</f>
        <v>-34596.127974015893</v>
      </c>
      <c r="BA96" s="477"/>
    </row>
    <row r="97" spans="53:56">
      <c r="BA97" s="477"/>
      <c r="BB97" s="477" t="s">
        <v>194</v>
      </c>
      <c r="BC97" s="477" t="s">
        <v>1759</v>
      </c>
      <c r="BD97" s="2586">
        <f>CA22</f>
        <v>2616002.5900000003</v>
      </c>
    </row>
    <row r="98" spans="53:56">
      <c r="BA98" s="477"/>
      <c r="BC98" s="477" t="s">
        <v>2325</v>
      </c>
      <c r="BD98" s="2589">
        <v>13519389.250000007</v>
      </c>
    </row>
    <row r="99" spans="53:56">
      <c r="BA99" s="477"/>
      <c r="BD99" s="2586">
        <f>SUM(BD97:BD98)+BD92</f>
        <v>92457655.859999985</v>
      </c>
    </row>
    <row r="100" spans="53:56">
      <c r="BA100" s="477"/>
      <c r="BD100" s="2586"/>
    </row>
    <row r="101" spans="53:56">
      <c r="BA101" s="477"/>
      <c r="BC101" s="477" t="s">
        <v>2327</v>
      </c>
      <c r="BD101" s="2588">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sheetPr>
    <tabColor rgb="FFFFC000"/>
  </sheetPr>
  <dimension ref="A1:AD208"/>
  <sheetViews>
    <sheetView workbookViewId="0"/>
  </sheetViews>
  <sheetFormatPr defaultColWidth="8.81640625" defaultRowHeight="12.5"/>
  <cols>
    <col min="1" max="1" width="8" style="477" customWidth="1"/>
    <col min="2" max="2" width="3" style="477" customWidth="1"/>
    <col min="3" max="3" width="3.54296875" style="477" customWidth="1"/>
    <col min="4" max="7" width="18.81640625" style="477" customWidth="1"/>
    <col min="8" max="8" width="4.453125" style="477" customWidth="1"/>
    <col min="9" max="9" width="12.453125" style="477" bestFit="1" customWidth="1"/>
    <col min="10" max="10" width="12.453125" style="477" customWidth="1"/>
    <col min="11" max="11" width="4.453125" style="477" customWidth="1"/>
    <col min="12" max="13" width="12.453125" style="477" customWidth="1"/>
    <col min="14" max="14" width="4.453125" style="477" customWidth="1"/>
    <col min="15" max="16" width="12.453125" style="477" customWidth="1"/>
    <col min="17" max="17" width="13.453125" style="477" bestFit="1" customWidth="1"/>
    <col min="18" max="18" width="1.7265625" style="995" customWidth="1"/>
    <col min="19" max="19" width="8.81640625" style="477"/>
    <col min="20" max="20" width="23.453125" style="2612" bestFit="1" customWidth="1"/>
    <col min="21" max="21" width="15.1796875" style="2664" bestFit="1" customWidth="1"/>
    <col min="22" max="22" width="11" style="2612" bestFit="1" customWidth="1"/>
    <col min="23" max="23" width="9.54296875" style="2612" bestFit="1" customWidth="1"/>
    <col min="24" max="24" width="11" style="2612" bestFit="1" customWidth="1"/>
    <col min="25" max="25" width="6.54296875" style="2612" customWidth="1"/>
    <col min="26" max="26" width="23.453125" style="2612" bestFit="1" customWidth="1"/>
    <col min="27" max="27" width="15.54296875" style="2612" bestFit="1" customWidth="1"/>
    <col min="28" max="28" width="23.453125" style="2613" bestFit="1" customWidth="1"/>
    <col min="29" max="29" width="15.54296875" style="2612" bestFit="1" customWidth="1"/>
    <col min="30" max="30" width="11" style="2612" bestFit="1" customWidth="1"/>
    <col min="31" max="16384" width="8.81640625" style="477"/>
  </cols>
  <sheetData>
    <row r="1" spans="1:30" ht="14.5">
      <c r="A1" s="2609" t="s">
        <v>1204</v>
      </c>
      <c r="B1" s="2609"/>
      <c r="C1" s="2610"/>
      <c r="D1" s="2611"/>
      <c r="E1" s="2611"/>
      <c r="F1" s="3678" t="s">
        <v>3432</v>
      </c>
      <c r="G1" s="2611"/>
      <c r="H1" s="2611"/>
      <c r="I1" s="2611"/>
      <c r="J1" s="2611"/>
      <c r="K1" s="2611"/>
      <c r="L1" s="2611"/>
      <c r="T1" s="477"/>
      <c r="U1" s="477"/>
      <c r="Z1" s="477"/>
      <c r="AA1" s="477"/>
    </row>
    <row r="2" spans="1:30" ht="14.5">
      <c r="A2" s="2609" t="s">
        <v>2344</v>
      </c>
      <c r="B2" s="2609"/>
      <c r="C2" s="2609"/>
      <c r="D2" s="2611"/>
      <c r="E2" s="2611"/>
      <c r="F2" s="2611"/>
      <c r="G2" s="2611"/>
      <c r="H2" s="2611"/>
      <c r="I2" s="2611"/>
      <c r="J2" s="2611"/>
      <c r="K2" s="2611"/>
      <c r="L2" s="2611"/>
      <c r="T2" s="1556" t="s">
        <v>679</v>
      </c>
      <c r="U2" s="1556" t="s">
        <v>1701</v>
      </c>
      <c r="Z2" s="1556" t="s">
        <v>679</v>
      </c>
      <c r="AA2" s="1556" t="s">
        <v>1701</v>
      </c>
      <c r="AB2" s="2612"/>
    </row>
    <row r="3" spans="1:30" ht="14.5">
      <c r="B3" s="2610"/>
      <c r="C3" s="2610"/>
      <c r="D3" s="2611"/>
      <c r="E3" s="2611"/>
      <c r="F3" s="2611"/>
      <c r="G3" s="2611"/>
      <c r="H3" s="2611"/>
      <c r="I3" s="2611"/>
      <c r="J3" s="2611"/>
      <c r="K3" s="2611"/>
      <c r="L3" s="2611"/>
      <c r="T3" s="1556" t="s">
        <v>2277</v>
      </c>
      <c r="U3" s="1556" t="s">
        <v>2276</v>
      </c>
      <c r="Z3" s="1556" t="s">
        <v>2277</v>
      </c>
      <c r="AA3" s="1556" t="s">
        <v>2276</v>
      </c>
      <c r="AB3" s="2612"/>
    </row>
    <row r="4" spans="1:30" ht="14.5">
      <c r="A4" s="2614"/>
      <c r="B4" s="2614"/>
      <c r="C4" s="2614"/>
      <c r="E4" s="2615" t="s">
        <v>2345</v>
      </c>
      <c r="F4" s="2615" t="s">
        <v>2271</v>
      </c>
      <c r="G4" s="2615" t="s">
        <v>24</v>
      </c>
      <c r="H4" s="2616"/>
      <c r="I4" s="2617" t="s">
        <v>1183</v>
      </c>
      <c r="J4" s="2618"/>
      <c r="K4" s="2616"/>
      <c r="L4" s="2617" t="s">
        <v>772</v>
      </c>
      <c r="M4" s="2618"/>
      <c r="N4" s="3693"/>
      <c r="O4" s="3693"/>
      <c r="P4" s="3693"/>
      <c r="T4" s="1557" t="s">
        <v>2330</v>
      </c>
      <c r="U4" s="1557" t="s">
        <v>1759</v>
      </c>
      <c r="Z4" s="1557" t="s">
        <v>2330</v>
      </c>
      <c r="AA4" s="1557" t="s">
        <v>1759</v>
      </c>
      <c r="AB4" s="2612"/>
    </row>
    <row r="5" spans="1:30" ht="29">
      <c r="A5" s="2619" t="s">
        <v>432</v>
      </c>
      <c r="B5" s="2620"/>
      <c r="C5" s="2620"/>
      <c r="D5" s="2621"/>
      <c r="E5" s="2622" t="s">
        <v>2346</v>
      </c>
      <c r="F5" s="2623" t="s">
        <v>2347</v>
      </c>
      <c r="G5" s="2624" t="s">
        <v>2348</v>
      </c>
      <c r="H5" s="2625"/>
      <c r="I5" s="2626" t="s">
        <v>2349</v>
      </c>
      <c r="J5" s="2627" t="s">
        <v>444</v>
      </c>
      <c r="K5" s="2625"/>
      <c r="L5" s="2626" t="s">
        <v>2349</v>
      </c>
      <c r="M5" s="2627" t="s">
        <v>444</v>
      </c>
      <c r="N5" s="3694"/>
      <c r="O5" s="3694"/>
      <c r="P5" s="3694"/>
      <c r="Q5" s="2621"/>
      <c r="U5" s="2612"/>
      <c r="AB5" s="2612"/>
    </row>
    <row r="6" spans="1:30" ht="14.5">
      <c r="A6" s="2628" t="s">
        <v>2350</v>
      </c>
      <c r="B6" s="2628"/>
      <c r="C6" s="2629"/>
      <c r="E6" s="2630">
        <f>VLOOKUP(A6,'G-3.06 PF Exec Labor'!$T$8:$X$23,5,FALSE)</f>
        <v>867670.25</v>
      </c>
      <c r="F6" s="2630">
        <f>VLOOKUP(A6,'G-3.06 PF Exec Labor'!$T$8:$W$23,4,FALSE)</f>
        <v>164042.01</v>
      </c>
      <c r="G6" s="2630">
        <f t="shared" ref="G6:G20" si="0">E6-F6</f>
        <v>703628.24</v>
      </c>
      <c r="H6" s="2611"/>
      <c r="I6" s="2631">
        <f>VLOOKUP(A6,'G-3.06 PF Exec Labor'!$T$8:$V$25,3,FALSE)</f>
        <v>702624.08</v>
      </c>
      <c r="J6" s="2631">
        <f>VLOOKUP(A6,'G-3.06 PF Exec Labor'!$T$8:$U$25,2,FALSE)</f>
        <v>1004.16</v>
      </c>
      <c r="K6" s="2611"/>
      <c r="L6" s="2632">
        <f t="shared" ref="L6:L20" si="1">I6/G6</f>
        <v>0.99857288274842404</v>
      </c>
      <c r="M6" s="2632">
        <f t="shared" ref="M6:M20" si="2">J6/G6</f>
        <v>1.4271172515759173E-3</v>
      </c>
      <c r="N6" s="2632"/>
      <c r="O6" s="2632"/>
      <c r="P6" s="2632"/>
      <c r="T6" s="2633" t="s">
        <v>1251</v>
      </c>
      <c r="U6" s="2633" t="s">
        <v>1252</v>
      </c>
      <c r="V6" s="2633"/>
      <c r="W6" s="2633"/>
      <c r="X6" s="2633"/>
      <c r="Y6" s="477"/>
      <c r="Z6" s="2633" t="s">
        <v>1251</v>
      </c>
      <c r="AA6" s="2633" t="s">
        <v>1252</v>
      </c>
      <c r="AB6" s="2633"/>
      <c r="AC6" s="2633"/>
      <c r="AD6" s="2633"/>
    </row>
    <row r="7" spans="1:30" ht="14.5">
      <c r="A7" s="2628" t="s">
        <v>2351</v>
      </c>
      <c r="B7" s="2628"/>
      <c r="C7" s="2629"/>
      <c r="E7" s="2630">
        <f>VLOOKUP(A7,'G-3.06 PF Exec Labor'!$T$8:$X$23,5,FALSE)</f>
        <v>482015.07</v>
      </c>
      <c r="F7" s="2630">
        <f>VLOOKUP(A7,'G-3.06 PF Exec Labor'!$T$8:$W$23,4,FALSE)</f>
        <v>121856.96000000001</v>
      </c>
      <c r="G7" s="2630">
        <f t="shared" si="0"/>
        <v>360158.11</v>
      </c>
      <c r="H7" s="2611"/>
      <c r="I7" s="2631">
        <f>VLOOKUP(A7,'G-3.06 PF Exec Labor'!$T$8:$V$25,3,FALSE)</f>
        <v>339141.5</v>
      </c>
      <c r="J7" s="2631">
        <f>VLOOKUP(A7,'G-3.06 PF Exec Labor'!$T$8:$U$25,2,FALSE)</f>
        <v>21016.61</v>
      </c>
      <c r="K7" s="2611"/>
      <c r="L7" s="2632">
        <f t="shared" si="1"/>
        <v>0.94164615646167182</v>
      </c>
      <c r="M7" s="2632">
        <f t="shared" si="2"/>
        <v>5.8353843538328211E-2</v>
      </c>
      <c r="N7" s="2632"/>
      <c r="O7" s="2632"/>
      <c r="P7" s="2632"/>
      <c r="T7" s="2634" t="s">
        <v>1170</v>
      </c>
      <c r="U7" s="2634" t="s">
        <v>1744</v>
      </c>
      <c r="V7" s="2634" t="s">
        <v>1745</v>
      </c>
      <c r="W7" s="2634" t="s">
        <v>377</v>
      </c>
      <c r="X7" s="2634" t="s">
        <v>978</v>
      </c>
      <c r="Y7" s="477"/>
      <c r="Z7" s="2634" t="s">
        <v>1170</v>
      </c>
      <c r="AA7" s="2634" t="s">
        <v>1744</v>
      </c>
      <c r="AB7" s="2634" t="s">
        <v>1745</v>
      </c>
      <c r="AC7" s="2634" t="s">
        <v>377</v>
      </c>
      <c r="AD7" s="2634" t="s">
        <v>978</v>
      </c>
    </row>
    <row r="8" spans="1:30" ht="14.5">
      <c r="A8" s="2628" t="s">
        <v>2352</v>
      </c>
      <c r="B8" s="2628"/>
      <c r="C8" s="2629"/>
      <c r="E8" s="2630">
        <f>VLOOKUP(A8,'G-3.06 PF Exec Labor'!$T$8:$X$23,5,FALSE)</f>
        <v>373224.79</v>
      </c>
      <c r="F8" s="2630">
        <f>VLOOKUP(A8,'G-3.06 PF Exec Labor'!$T$8:$W$23,4,FALSE)</f>
        <v>74901.19</v>
      </c>
      <c r="G8" s="2630">
        <f t="shared" si="0"/>
        <v>298323.59999999998</v>
      </c>
      <c r="H8" s="2611"/>
      <c r="I8" s="2631">
        <f>VLOOKUP(A8,'G-3.06 PF Exec Labor'!$T$8:$V$25,3,FALSE)</f>
        <v>292996.76</v>
      </c>
      <c r="J8" s="2631">
        <f>VLOOKUP(A8,'G-3.06 PF Exec Labor'!$T$8:$U$25,2,FALSE)</f>
        <v>5326.84</v>
      </c>
      <c r="K8" s="2611"/>
      <c r="L8" s="2632">
        <f t="shared" si="1"/>
        <v>0.98214408782945783</v>
      </c>
      <c r="M8" s="2632">
        <f t="shared" si="2"/>
        <v>1.7855912170542325E-2</v>
      </c>
      <c r="N8" s="2632"/>
      <c r="O8" s="2632"/>
      <c r="P8" s="2632"/>
      <c r="T8" s="182" t="s">
        <v>2350</v>
      </c>
      <c r="U8" s="911">
        <v>1004.16</v>
      </c>
      <c r="V8" s="1069">
        <v>702624.08</v>
      </c>
      <c r="W8" s="1069">
        <v>164042.01</v>
      </c>
      <c r="X8" s="1069">
        <v>867670.25</v>
      </c>
      <c r="Y8" s="477"/>
      <c r="Z8" s="182" t="s">
        <v>2353</v>
      </c>
      <c r="AA8" s="1069">
        <v>302820.78000000003</v>
      </c>
      <c r="AB8" s="1069">
        <v>3811638.22</v>
      </c>
      <c r="AC8" s="1069">
        <v>23893.16</v>
      </c>
      <c r="AD8" s="1069">
        <v>4138352.16</v>
      </c>
    </row>
    <row r="9" spans="1:30" ht="14.5">
      <c r="A9" s="2628" t="s">
        <v>2354</v>
      </c>
      <c r="B9" s="2628"/>
      <c r="C9" s="2629"/>
      <c r="E9" s="2630">
        <f>VLOOKUP(A9,'G-3.06 PF Exec Labor'!$T$8:$X$23,5,FALSE)</f>
        <v>407033.13</v>
      </c>
      <c r="F9" s="2630">
        <f>VLOOKUP(A9,'G-3.06 PF Exec Labor'!$T$8:$W$23,4,FALSE)</f>
        <v>63990.87</v>
      </c>
      <c r="G9" s="2630">
        <f t="shared" si="0"/>
        <v>343042.26</v>
      </c>
      <c r="H9" s="2611"/>
      <c r="I9" s="2631">
        <f>VLOOKUP(A9,'G-3.06 PF Exec Labor'!$T$8:$V$25,3,FALSE)</f>
        <v>342985.17</v>
      </c>
      <c r="J9" s="2631">
        <f>VLOOKUP(A9,'G-3.06 PF Exec Labor'!$T$8:$U$25,2,FALSE)</f>
        <v>57.09</v>
      </c>
      <c r="K9" s="2611"/>
      <c r="L9" s="2632">
        <f t="shared" si="1"/>
        <v>0.99983357735574607</v>
      </c>
      <c r="M9" s="2632">
        <f t="shared" si="2"/>
        <v>1.6642264425380127E-4</v>
      </c>
      <c r="N9" s="2632"/>
      <c r="O9" s="2632"/>
      <c r="P9" s="2632"/>
      <c r="T9" s="182" t="s">
        <v>2351</v>
      </c>
      <c r="U9" s="911">
        <v>21016.61</v>
      </c>
      <c r="V9" s="1069">
        <v>339141.5</v>
      </c>
      <c r="W9" s="1069">
        <v>121856.96000000001</v>
      </c>
      <c r="X9" s="1069">
        <v>482015.07</v>
      </c>
      <c r="Y9" s="477"/>
      <c r="Z9" s="182" t="s">
        <v>2355</v>
      </c>
      <c r="AA9" s="1069"/>
      <c r="AB9" s="1069"/>
      <c r="AC9" s="1069">
        <v>609049.88</v>
      </c>
      <c r="AD9" s="1069">
        <v>609049.88</v>
      </c>
    </row>
    <row r="10" spans="1:30" ht="14.5">
      <c r="A10" s="2628" t="s">
        <v>2356</v>
      </c>
      <c r="B10" s="2628"/>
      <c r="C10" s="2629"/>
      <c r="E10" s="2630">
        <f>VLOOKUP(A10,'G-3.06 PF Exec Labor'!$T$8:$X$23,5,FALSE)</f>
        <v>364061.41</v>
      </c>
      <c r="F10" s="2630">
        <f>VLOOKUP(A10,'G-3.06 PF Exec Labor'!$T$8:$W$23,4,FALSE)</f>
        <v>59830.75</v>
      </c>
      <c r="G10" s="2630">
        <f t="shared" si="0"/>
        <v>304230.65999999997</v>
      </c>
      <c r="H10" s="2611"/>
      <c r="I10" s="2631">
        <f>VLOOKUP(A10,'G-3.06 PF Exec Labor'!$T$8:$V$25,3,FALSE)</f>
        <v>299475.77</v>
      </c>
      <c r="J10" s="2631">
        <f>VLOOKUP(A10,'G-3.06 PF Exec Labor'!$T$8:$U$25,2,FALSE)</f>
        <v>4754.8900000000003</v>
      </c>
      <c r="K10" s="2611"/>
      <c r="L10" s="2632">
        <f t="shared" si="1"/>
        <v>0.98437077314955712</v>
      </c>
      <c r="M10" s="2632">
        <f t="shared" si="2"/>
        <v>1.5629226850443018E-2</v>
      </c>
      <c r="N10" s="2632"/>
      <c r="O10" s="2632"/>
      <c r="P10" s="2632"/>
      <c r="T10" s="182" t="s">
        <v>2354</v>
      </c>
      <c r="U10" s="911">
        <v>57.09</v>
      </c>
      <c r="V10" s="1069">
        <v>342985.17</v>
      </c>
      <c r="W10" s="1069">
        <v>63990.87</v>
      </c>
      <c r="X10" s="1069">
        <v>407033.13</v>
      </c>
      <c r="Y10" s="477"/>
      <c r="Z10" s="182" t="s">
        <v>2357</v>
      </c>
      <c r="AA10" s="1069"/>
      <c r="AB10" s="1069"/>
      <c r="AC10" s="1069">
        <v>1826.92</v>
      </c>
      <c r="AD10" s="1069">
        <v>1826.92</v>
      </c>
    </row>
    <row r="11" spans="1:30" ht="14.5">
      <c r="A11" s="2628" t="s">
        <v>2358</v>
      </c>
      <c r="B11" s="2628"/>
      <c r="C11" s="2629"/>
      <c r="E11" s="2630">
        <f>VLOOKUP(A11,'G-3.06 PF Exec Labor'!$T$8:$X$23,5,FALSE)</f>
        <v>350731.69</v>
      </c>
      <c r="F11" s="2630">
        <f>VLOOKUP(A11,'G-3.06 PF Exec Labor'!$T$8:$W$23,4,FALSE)</f>
        <v>57808.18</v>
      </c>
      <c r="G11" s="2630">
        <f t="shared" si="0"/>
        <v>292923.51</v>
      </c>
      <c r="H11" s="2611"/>
      <c r="I11" s="2631">
        <f>VLOOKUP(A11,'G-3.06 PF Exec Labor'!$T$8:$V$25,3,FALSE)</f>
        <v>292923.51</v>
      </c>
      <c r="J11" s="2631">
        <f>VLOOKUP(A11,'G-3.06 PF Exec Labor'!$T$8:$U$25,2,FALSE)</f>
        <v>0</v>
      </c>
      <c r="K11" s="2611"/>
      <c r="L11" s="2632">
        <f t="shared" si="1"/>
        <v>1</v>
      </c>
      <c r="M11" s="2632">
        <f t="shared" si="2"/>
        <v>0</v>
      </c>
      <c r="N11" s="2632"/>
      <c r="O11" s="2632"/>
      <c r="P11" s="2632"/>
      <c r="T11" s="182" t="s">
        <v>2359</v>
      </c>
      <c r="U11" s="911">
        <v>21310.07</v>
      </c>
      <c r="V11" s="1069">
        <v>322477.02</v>
      </c>
      <c r="W11" s="1069">
        <v>39180.699999999997</v>
      </c>
      <c r="X11" s="1069">
        <v>382967.79</v>
      </c>
      <c r="Y11" s="477"/>
      <c r="Z11" s="182" t="s">
        <v>2360</v>
      </c>
      <c r="AA11" s="1069"/>
      <c r="AB11" s="1069"/>
      <c r="AC11" s="1069">
        <v>160359.56</v>
      </c>
      <c r="AD11" s="1069">
        <v>160359.56</v>
      </c>
    </row>
    <row r="12" spans="1:30" ht="14.5">
      <c r="A12" s="2628" t="s">
        <v>2361</v>
      </c>
      <c r="B12" s="2628"/>
      <c r="C12" s="2629"/>
      <c r="E12" s="2630">
        <f>VLOOKUP(A12,'G-3.06 PF Exec Labor'!$T$8:$X$23,5,FALSE)</f>
        <v>349085.53</v>
      </c>
      <c r="F12" s="2630">
        <f>VLOOKUP(A12,'G-3.06 PF Exec Labor'!$T$8:$W$23,4,FALSE)</f>
        <v>60309.27</v>
      </c>
      <c r="G12" s="2630">
        <f t="shared" si="0"/>
        <v>288776.26</v>
      </c>
      <c r="H12" s="2611"/>
      <c r="I12" s="2631">
        <f>VLOOKUP(A12,'G-3.06 PF Exec Labor'!$T$8:$V$25,3,FALSE)</f>
        <v>288776.26</v>
      </c>
      <c r="J12" s="2631">
        <f>VLOOKUP(A12,'G-3.06 PF Exec Labor'!$T$8:$U$25,2,FALSE)</f>
        <v>0</v>
      </c>
      <c r="K12" s="2611"/>
      <c r="L12" s="2632">
        <f t="shared" si="1"/>
        <v>1</v>
      </c>
      <c r="M12" s="2632">
        <f t="shared" si="2"/>
        <v>0</v>
      </c>
      <c r="N12" s="2632"/>
      <c r="O12" s="2632"/>
      <c r="P12" s="2632"/>
      <c r="T12" s="182" t="s">
        <v>2352</v>
      </c>
      <c r="U12" s="911">
        <v>5326.84</v>
      </c>
      <c r="V12" s="1069">
        <v>292996.76</v>
      </c>
      <c r="W12" s="1069">
        <v>74901.19</v>
      </c>
      <c r="X12" s="1069">
        <v>373224.79</v>
      </c>
      <c r="Y12" s="477"/>
      <c r="Z12" s="182" t="s">
        <v>2362</v>
      </c>
      <c r="AA12" s="1069"/>
      <c r="AB12" s="1069"/>
      <c r="AC12" s="1069">
        <v>50342.44</v>
      </c>
      <c r="AD12" s="1069">
        <v>50342.44</v>
      </c>
    </row>
    <row r="13" spans="1:30" ht="14.5">
      <c r="A13" s="2628" t="s">
        <v>2363</v>
      </c>
      <c r="B13" s="2628"/>
      <c r="C13" s="2629"/>
      <c r="E13" s="2630">
        <f>VLOOKUP(A13,'G-3.06 PF Exec Labor'!$T$8:$X$23,5,FALSE)</f>
        <v>342463.75</v>
      </c>
      <c r="F13" s="2630">
        <f>VLOOKUP(A13,'G-3.06 PF Exec Labor'!$T$8:$W$23,4,FALSE)</f>
        <v>54522.99</v>
      </c>
      <c r="G13" s="2630">
        <f t="shared" si="0"/>
        <v>287940.76</v>
      </c>
      <c r="H13" s="2611"/>
      <c r="I13" s="2631">
        <f>VLOOKUP(A13,'G-3.06 PF Exec Labor'!$T$8:$V$25,3,FALSE)</f>
        <v>287711.03999999998</v>
      </c>
      <c r="J13" s="2631">
        <f>VLOOKUP(A13,'G-3.06 PF Exec Labor'!$T$8:$U$25,2,FALSE)</f>
        <v>229.72</v>
      </c>
      <c r="K13" s="2611"/>
      <c r="L13" s="2632">
        <f t="shared" si="1"/>
        <v>0.99920219700746771</v>
      </c>
      <c r="M13" s="2632">
        <f t="shared" si="2"/>
        <v>7.9780299253221388E-4</v>
      </c>
      <c r="N13" s="2632"/>
      <c r="O13" s="2632"/>
      <c r="P13" s="2632"/>
      <c r="T13" s="182" t="s">
        <v>2356</v>
      </c>
      <c r="U13" s="911">
        <v>4754.8900000000003</v>
      </c>
      <c r="V13" s="1069">
        <v>299475.77</v>
      </c>
      <c r="W13" s="1069">
        <v>59830.75</v>
      </c>
      <c r="X13" s="1069">
        <v>364061.41</v>
      </c>
      <c r="Y13" s="477"/>
      <c r="Z13" s="182" t="s">
        <v>2364</v>
      </c>
      <c r="AA13" s="1069"/>
      <c r="AB13" s="1069">
        <v>2449.92</v>
      </c>
      <c r="AC13" s="1069">
        <v>4586.43</v>
      </c>
      <c r="AD13" s="1069">
        <v>7036.35</v>
      </c>
    </row>
    <row r="14" spans="1:30" ht="14.5">
      <c r="A14" s="2628" t="s">
        <v>2365</v>
      </c>
      <c r="B14" s="2628"/>
      <c r="C14" s="2629"/>
      <c r="E14" s="2630">
        <f>VLOOKUP(A14,'G-3.06 PF Exec Labor'!$T$8:$X$23,5,FALSE)</f>
        <v>271702.27</v>
      </c>
      <c r="F14" s="2630">
        <f>VLOOKUP(A14,'G-3.06 PF Exec Labor'!$T$8:$W$23,4,FALSE)</f>
        <v>42713.47</v>
      </c>
      <c r="G14" s="2630">
        <f t="shared" si="0"/>
        <v>228988.80000000002</v>
      </c>
      <c r="H14" s="2611"/>
      <c r="I14" s="2631">
        <f>VLOOKUP(A14,'G-3.06 PF Exec Labor'!$T$8:$V$25,3,FALSE)</f>
        <v>214931.81</v>
      </c>
      <c r="J14" s="2631">
        <f>VLOOKUP(A14,'G-3.06 PF Exec Labor'!$T$8:$U$25,2,FALSE)</f>
        <v>14056.99</v>
      </c>
      <c r="K14" s="2611"/>
      <c r="L14" s="2632">
        <f t="shared" si="1"/>
        <v>0.93861276184686748</v>
      </c>
      <c r="M14" s="2632">
        <f t="shared" si="2"/>
        <v>6.1387238153132372E-2</v>
      </c>
      <c r="N14" s="2632"/>
      <c r="O14" s="2632"/>
      <c r="P14" s="2632"/>
      <c r="T14" s="182" t="s">
        <v>2358</v>
      </c>
      <c r="U14" s="911"/>
      <c r="V14" s="1069">
        <v>292923.51</v>
      </c>
      <c r="W14" s="1069">
        <v>57808.18</v>
      </c>
      <c r="X14" s="1069">
        <v>350731.69</v>
      </c>
      <c r="Y14" s="477"/>
      <c r="Z14" s="182" t="s">
        <v>2366</v>
      </c>
      <c r="AA14" s="1069"/>
      <c r="AB14" s="1069"/>
      <c r="AC14" s="1069">
        <v>762.73</v>
      </c>
      <c r="AD14" s="1069">
        <v>762.73</v>
      </c>
    </row>
    <row r="15" spans="1:30" ht="14.5">
      <c r="A15" s="2628" t="s">
        <v>2359</v>
      </c>
      <c r="B15" s="2628"/>
      <c r="C15" s="2629"/>
      <c r="E15" s="2630">
        <f>VLOOKUP(A15,'G-3.06 PF Exec Labor'!$T$8:$X$23,5,FALSE)</f>
        <v>382967.79</v>
      </c>
      <c r="F15" s="2630">
        <f>VLOOKUP(A15,'G-3.06 PF Exec Labor'!$T$8:$W$23,4,FALSE)</f>
        <v>39180.699999999997</v>
      </c>
      <c r="G15" s="2630">
        <f t="shared" si="0"/>
        <v>343787.08999999997</v>
      </c>
      <c r="H15" s="2611"/>
      <c r="I15" s="2631">
        <f>VLOOKUP(A15,'G-3.06 PF Exec Labor'!$T$8:$V$25,3,FALSE)</f>
        <v>322477.02</v>
      </c>
      <c r="J15" s="2631">
        <f>VLOOKUP(A15,'G-3.06 PF Exec Labor'!$T$8:$U$25,2,FALSE)</f>
        <v>21310.07</v>
      </c>
      <c r="K15" s="2611"/>
      <c r="L15" s="2632">
        <f t="shared" si="1"/>
        <v>0.93801375729379499</v>
      </c>
      <c r="M15" s="2632">
        <f t="shared" si="2"/>
        <v>6.1986242706205175E-2</v>
      </c>
      <c r="N15" s="2632"/>
      <c r="O15" s="2632"/>
      <c r="P15" s="2632"/>
      <c r="T15" s="182" t="s">
        <v>2361</v>
      </c>
      <c r="U15" s="911"/>
      <c r="V15" s="1069">
        <v>288776.26</v>
      </c>
      <c r="W15" s="1069">
        <v>60309.27</v>
      </c>
      <c r="X15" s="1069">
        <v>349085.53</v>
      </c>
      <c r="Y15" s="477"/>
      <c r="Z15" s="182" t="s">
        <v>2367</v>
      </c>
      <c r="AA15" s="1069"/>
      <c r="AB15" s="1069"/>
      <c r="AC15" s="1069">
        <v>57861.54</v>
      </c>
      <c r="AD15" s="1069">
        <v>57861.54</v>
      </c>
    </row>
    <row r="16" spans="1:30" ht="14.5">
      <c r="A16" s="2628" t="s">
        <v>2368</v>
      </c>
      <c r="B16" s="2628"/>
      <c r="C16" s="2629"/>
      <c r="E16" s="2630">
        <f>VLOOKUP(A16,'G-3.06 PF Exec Labor'!$T$8:$X$23,5,FALSE)</f>
        <v>229894.75</v>
      </c>
      <c r="F16" s="2630">
        <f>VLOOKUP(A16,'G-3.06 PF Exec Labor'!$T$8:$W$23,4,FALSE)</f>
        <v>51601.919999999998</v>
      </c>
      <c r="G16" s="2630">
        <f t="shared" si="0"/>
        <v>178292.83000000002</v>
      </c>
      <c r="H16" s="2611"/>
      <c r="I16" s="2631">
        <f>VLOOKUP(A16,'G-3.06 PF Exec Labor'!$T$8:$V$25,3,FALSE)</f>
        <v>48003.42</v>
      </c>
      <c r="J16" s="2631">
        <f>VLOOKUP(A16,'G-3.06 PF Exec Labor'!$T$8:$U$25,2,FALSE)</f>
        <v>130289.41</v>
      </c>
      <c r="K16" s="2611"/>
      <c r="L16" s="2632">
        <f t="shared" si="1"/>
        <v>0.26923920608585322</v>
      </c>
      <c r="M16" s="2632">
        <f t="shared" si="2"/>
        <v>0.73076079391414672</v>
      </c>
      <c r="N16" s="2632"/>
      <c r="O16" s="2632"/>
      <c r="P16" s="2632"/>
      <c r="T16" s="182" t="s">
        <v>2363</v>
      </c>
      <c r="U16" s="911">
        <v>229.72</v>
      </c>
      <c r="V16" s="1069">
        <v>287711.03999999998</v>
      </c>
      <c r="W16" s="1069">
        <v>54522.99</v>
      </c>
      <c r="X16" s="1069">
        <v>342463.75</v>
      </c>
      <c r="Y16" s="477"/>
      <c r="Z16" s="182" t="s">
        <v>2369</v>
      </c>
      <c r="AA16" s="1069"/>
      <c r="AB16" s="1069"/>
      <c r="AC16" s="1069">
        <v>3313.7</v>
      </c>
      <c r="AD16" s="1069">
        <v>3313.7</v>
      </c>
    </row>
    <row r="17" spans="1:30" ht="14.5">
      <c r="A17" s="2635" t="s">
        <v>2370</v>
      </c>
      <c r="B17" s="2628"/>
      <c r="C17" s="2629"/>
      <c r="E17" s="2630">
        <f>VLOOKUP(A17,'G-3.06 PF Exec Labor'!$T$8:$X$23,5,FALSE)</f>
        <v>228566.13</v>
      </c>
      <c r="F17" s="2630">
        <f>VLOOKUP(A17,'G-3.06 PF Exec Labor'!$T$8:$W$23,4,FALSE)</f>
        <v>37897.4</v>
      </c>
      <c r="G17" s="2630">
        <f t="shared" si="0"/>
        <v>190668.73</v>
      </c>
      <c r="H17" s="2611"/>
      <c r="I17" s="2631">
        <f>VLOOKUP(A17,'G-3.06 PF Exec Labor'!$T$8:$V$25,3,FALSE)</f>
        <v>190668.73</v>
      </c>
      <c r="J17" s="2631">
        <f>VLOOKUP(A17,'G-3.06 PF Exec Labor'!$T$8:$U$25,2,FALSE)</f>
        <v>0</v>
      </c>
      <c r="K17" s="2611"/>
      <c r="L17" s="2632">
        <f t="shared" si="1"/>
        <v>1</v>
      </c>
      <c r="M17" s="2632">
        <f t="shared" si="2"/>
        <v>0</v>
      </c>
      <c r="N17" s="2632"/>
      <c r="O17" s="2632"/>
      <c r="P17" s="2632"/>
      <c r="T17" s="182" t="s">
        <v>2365</v>
      </c>
      <c r="U17" s="911">
        <v>14056.99</v>
      </c>
      <c r="V17" s="1069">
        <v>214931.81</v>
      </c>
      <c r="W17" s="1069">
        <v>42713.47</v>
      </c>
      <c r="X17" s="1069">
        <v>271702.27</v>
      </c>
      <c r="Y17" s="477"/>
      <c r="Z17" s="182" t="s">
        <v>2371</v>
      </c>
      <c r="AA17" s="1069">
        <v>100000</v>
      </c>
      <c r="AB17" s="1069">
        <v>0</v>
      </c>
      <c r="AC17" s="1069"/>
      <c r="AD17" s="1069">
        <v>100000</v>
      </c>
    </row>
    <row r="18" spans="1:30" ht="14.5">
      <c r="A18" s="2635" t="s">
        <v>2372</v>
      </c>
      <c r="C18" s="2629"/>
      <c r="E18" s="2630">
        <f>VLOOKUP(A18,'G-3.06 PF Exec Labor'!$T$8:$X$23,5,FALSE)</f>
        <v>199186.14</v>
      </c>
      <c r="F18" s="2630">
        <f>VLOOKUP(A18,'G-3.06 PF Exec Labor'!$T$8:$W$23,4,FALSE)</f>
        <v>31898.84</v>
      </c>
      <c r="G18" s="2630">
        <f t="shared" si="0"/>
        <v>167287.30000000002</v>
      </c>
      <c r="I18" s="2631">
        <f>VLOOKUP(A18,'G-3.06 PF Exec Labor'!$T$8:$V$25,3,FALSE)</f>
        <v>167287.29999999999</v>
      </c>
      <c r="J18" s="2631">
        <f>VLOOKUP(A18,'G-3.06 PF Exec Labor'!$T$8:$U$25,2,FALSE)</f>
        <v>0</v>
      </c>
      <c r="L18" s="2632">
        <f t="shared" si="1"/>
        <v>0.99999999999999978</v>
      </c>
      <c r="M18" s="2632">
        <f t="shared" si="2"/>
        <v>0</v>
      </c>
      <c r="N18" s="2632"/>
      <c r="O18" s="2632"/>
      <c r="P18" s="2632"/>
      <c r="T18" s="182" t="s">
        <v>2368</v>
      </c>
      <c r="U18" s="911">
        <v>130289.41</v>
      </c>
      <c r="V18" s="1069">
        <v>48003.42</v>
      </c>
      <c r="W18" s="1069">
        <v>51601.919999999998</v>
      </c>
      <c r="X18" s="1069">
        <v>229894.75</v>
      </c>
      <c r="Z18" s="2636" t="s">
        <v>978</v>
      </c>
      <c r="AA18" s="2637">
        <v>402820.78</v>
      </c>
      <c r="AB18" s="2637">
        <v>3814088.14</v>
      </c>
      <c r="AC18" s="2638">
        <v>911996.36</v>
      </c>
      <c r="AD18" s="2637">
        <v>5128905.28</v>
      </c>
    </row>
    <row r="19" spans="1:30" ht="14.5">
      <c r="A19" s="2635" t="s">
        <v>2373</v>
      </c>
      <c r="B19" s="2628"/>
      <c r="C19" s="2629"/>
      <c r="E19" s="2630">
        <f>VLOOKUP(A19,'G-3.06 PF Exec Labor'!$T$8:$X$23,5,FALSE)</f>
        <v>163687.14000000001</v>
      </c>
      <c r="F19" s="2630">
        <f>VLOOKUP(A19,'G-3.06 PF Exec Labor'!$T$8:$W$23,4,FALSE)</f>
        <v>51441.81</v>
      </c>
      <c r="G19" s="2630">
        <f t="shared" si="0"/>
        <v>112245.33000000002</v>
      </c>
      <c r="H19" s="2611"/>
      <c r="I19" s="2631">
        <f>VLOOKUP(A19,'G-3.06 PF Exec Labor'!$T$8:$V$25,3,FALSE)</f>
        <v>7470.33</v>
      </c>
      <c r="J19" s="2631">
        <f>VLOOKUP(A19,'G-3.06 PF Exec Labor'!$T$8:$U$25,2,FALSE)</f>
        <v>104775</v>
      </c>
      <c r="K19" s="2611"/>
      <c r="L19" s="2632">
        <f t="shared" si="1"/>
        <v>6.6553592920079604E-2</v>
      </c>
      <c r="M19" s="2632">
        <f t="shared" si="2"/>
        <v>0.93344640707992022</v>
      </c>
      <c r="N19" s="2632"/>
      <c r="O19" s="2632"/>
      <c r="P19" s="2632"/>
      <c r="T19" s="182" t="s">
        <v>2370</v>
      </c>
      <c r="U19" s="911"/>
      <c r="V19" s="1069">
        <v>190668.73</v>
      </c>
      <c r="W19" s="1069">
        <v>37897.4</v>
      </c>
      <c r="X19" s="1069">
        <v>228566.13</v>
      </c>
      <c r="Z19" s="477"/>
      <c r="AA19" s="477"/>
      <c r="AB19" s="477"/>
      <c r="AC19" s="477"/>
      <c r="AD19" s="477"/>
    </row>
    <row r="20" spans="1:30" ht="14.5">
      <c r="A20" s="2635" t="s">
        <v>2374</v>
      </c>
      <c r="B20" s="2628"/>
      <c r="C20" s="2629"/>
      <c r="E20" s="2630">
        <f>VLOOKUP(A20,'G-3.06 PF Exec Labor'!$T$8:$X$23,5,FALSE)</f>
        <v>116615.44</v>
      </c>
      <c r="F20" s="2630">
        <f>VLOOKUP(A20,'G-3.06 PF Exec Labor'!$T$8:$W$23,4,FALSE)</f>
        <v>0</v>
      </c>
      <c r="G20" s="2630">
        <f t="shared" si="0"/>
        <v>116615.44</v>
      </c>
      <c r="H20" s="2611"/>
      <c r="I20" s="2631">
        <f>VLOOKUP(A20,'G-3.06 PF Exec Labor'!$T$8:$V$25,3,FALSE)</f>
        <v>16615.439999999999</v>
      </c>
      <c r="J20" s="2631">
        <f>VLOOKUP(A20,'G-3.06 PF Exec Labor'!$T$8:$U$25,2,FALSE)</f>
        <v>100000</v>
      </c>
      <c r="K20" s="2611"/>
      <c r="L20" s="2632">
        <f t="shared" si="1"/>
        <v>0.14248061834693587</v>
      </c>
      <c r="M20" s="2632">
        <f t="shared" si="2"/>
        <v>0.85751938165306407</v>
      </c>
      <c r="N20" s="2632"/>
      <c r="O20" s="2632"/>
      <c r="P20" s="2632"/>
      <c r="T20" s="182" t="s">
        <v>2372</v>
      </c>
      <c r="U20" s="911"/>
      <c r="V20" s="1069">
        <v>167287.29999999999</v>
      </c>
      <c r="W20" s="1069">
        <v>31898.84</v>
      </c>
      <c r="X20" s="1069">
        <v>199186.14</v>
      </c>
      <c r="Z20" s="477"/>
      <c r="AA20" s="477"/>
      <c r="AB20" s="477"/>
      <c r="AC20" s="477"/>
      <c r="AD20" s="477"/>
    </row>
    <row r="21" spans="1:30" ht="14.5">
      <c r="A21" s="2611"/>
      <c r="B21" s="2611"/>
      <c r="C21" s="2611"/>
      <c r="E21" s="2611"/>
      <c r="F21" s="2611"/>
      <c r="G21" s="2611"/>
      <c r="H21" s="2611"/>
      <c r="I21" s="2611"/>
      <c r="J21" s="2611"/>
      <c r="K21" s="2611"/>
      <c r="L21" s="2632"/>
      <c r="M21" s="2632"/>
      <c r="N21" s="2632"/>
      <c r="O21" s="2632"/>
      <c r="P21" s="2632"/>
      <c r="T21" s="182" t="s">
        <v>2373</v>
      </c>
      <c r="U21" s="911">
        <v>104775</v>
      </c>
      <c r="V21" s="1069">
        <v>7470.33</v>
      </c>
      <c r="W21" s="1069">
        <v>51441.81</v>
      </c>
      <c r="X21" s="1069">
        <v>163687.14000000001</v>
      </c>
      <c r="Z21" s="477"/>
      <c r="AA21" s="477"/>
      <c r="AB21" s="477"/>
      <c r="AC21" s="477"/>
      <c r="AD21" s="477"/>
    </row>
    <row r="22" spans="1:30" ht="14.5">
      <c r="A22" s="2628"/>
      <c r="B22" s="2628"/>
      <c r="C22" s="2628"/>
      <c r="E22" s="2639">
        <f>SUM(E6:E20)</f>
        <v>5128905.2799999993</v>
      </c>
      <c r="F22" s="2640">
        <f>SUM(F6:F20)</f>
        <v>911996.3600000001</v>
      </c>
      <c r="G22" s="2640">
        <f>SUM(G6:G20)</f>
        <v>4216908.919999999</v>
      </c>
      <c r="H22" s="2611"/>
      <c r="I22" s="2640">
        <f>SUM(I6:I21)</f>
        <v>3814088.1399999997</v>
      </c>
      <c r="J22" s="2640">
        <f>SUM(J6:J21)</f>
        <v>402820.78</v>
      </c>
      <c r="K22" s="2611"/>
      <c r="L22" s="2641">
        <f>I22/G22</f>
        <v>0.90447486828812051</v>
      </c>
      <c r="M22" s="2641">
        <f>J22/G22</f>
        <v>9.5525131711879638E-2</v>
      </c>
      <c r="N22" s="2632"/>
      <c r="O22" s="2632"/>
      <c r="P22" s="2632"/>
      <c r="Q22" s="866"/>
      <c r="T22" s="182" t="s">
        <v>2374</v>
      </c>
      <c r="U22" s="911">
        <v>100000</v>
      </c>
      <c r="V22" s="1069">
        <v>16615.439999999999</v>
      </c>
      <c r="W22" s="1069"/>
      <c r="X22" s="1069">
        <v>116615.44</v>
      </c>
    </row>
    <row r="23" spans="1:30" ht="14.5">
      <c r="A23" s="2642">
        <f>COUNTA(A6:A20)</f>
        <v>15</v>
      </c>
      <c r="B23" s="2642"/>
      <c r="C23" s="2642"/>
      <c r="E23" s="2643">
        <f>AD18</f>
        <v>5128905.28</v>
      </c>
      <c r="F23" s="3739">
        <f>F22/E22</f>
        <v>0.17781501318737558</v>
      </c>
      <c r="G23" s="2642"/>
      <c r="H23" s="2611"/>
      <c r="I23" s="2644">
        <f>AB18</f>
        <v>3814088.14</v>
      </c>
      <c r="J23" s="2644">
        <f>AA18</f>
        <v>402820.78</v>
      </c>
      <c r="K23" s="2611"/>
      <c r="L23" s="2611"/>
      <c r="M23" s="2611"/>
      <c r="N23" s="2611"/>
      <c r="O23" s="2611"/>
      <c r="P23" s="2611"/>
      <c r="Q23" s="866"/>
      <c r="T23" s="2636" t="s">
        <v>978</v>
      </c>
      <c r="U23" s="2638">
        <v>402821</v>
      </c>
      <c r="V23" s="2638">
        <v>3814088.14</v>
      </c>
      <c r="W23" s="2638">
        <v>911996.36</v>
      </c>
      <c r="X23" s="2638">
        <v>5128905.28</v>
      </c>
    </row>
    <row r="24" spans="1:30" ht="15" thickBot="1">
      <c r="A24" s="2642"/>
      <c r="B24" s="2642"/>
      <c r="C24" s="2642"/>
      <c r="D24" s="2642"/>
      <c r="E24" s="2642"/>
      <c r="F24" s="2642"/>
      <c r="G24" s="2642"/>
      <c r="H24" s="2611"/>
      <c r="I24" s="2611"/>
      <c r="J24" s="2611"/>
      <c r="K24" s="2611"/>
      <c r="L24" s="2611"/>
      <c r="M24" s="2611"/>
      <c r="N24" s="2611"/>
      <c r="O24" s="2611"/>
      <c r="P24" s="2611"/>
      <c r="T24" s="182"/>
      <c r="U24" s="911"/>
      <c r="V24" s="1069"/>
      <c r="W24" s="1069"/>
      <c r="X24" s="1069"/>
    </row>
    <row r="25" spans="1:30" ht="15" thickBot="1">
      <c r="A25" s="2645" t="s">
        <v>2375</v>
      </c>
      <c r="B25" s="2646"/>
      <c r="C25" s="2646"/>
      <c r="D25" s="2646"/>
      <c r="E25" s="2646"/>
      <c r="F25" s="2646"/>
      <c r="G25" s="2646"/>
      <c r="H25" s="2646"/>
      <c r="I25" s="2646"/>
      <c r="J25" s="2646"/>
      <c r="K25" s="2646"/>
      <c r="L25" s="2646"/>
      <c r="M25" s="2647"/>
      <c r="N25" s="3695"/>
      <c r="O25" s="3695"/>
      <c r="P25" s="3695"/>
      <c r="T25" s="182"/>
      <c r="U25" s="911"/>
      <c r="V25" s="1069"/>
      <c r="W25" s="1069"/>
      <c r="X25" s="1069"/>
    </row>
    <row r="26" spans="1:30" ht="14.5">
      <c r="A26" s="2642"/>
      <c r="B26" s="2642"/>
      <c r="C26" s="2642"/>
      <c r="D26" s="2642"/>
      <c r="E26" s="3691">
        <v>0.04</v>
      </c>
      <c r="F26" s="3692" t="s">
        <v>3423</v>
      </c>
      <c r="G26" s="2642"/>
      <c r="H26" s="2611"/>
      <c r="I26" s="2611"/>
      <c r="J26" s="2611"/>
      <c r="K26" s="2611"/>
      <c r="L26" s="2611"/>
      <c r="M26" s="2611"/>
      <c r="N26" s="2611"/>
      <c r="O26" s="2611"/>
      <c r="P26" s="2611"/>
      <c r="T26" s="1556" t="s">
        <v>679</v>
      </c>
      <c r="U26" s="1556" t="s">
        <v>1701</v>
      </c>
    </row>
    <row r="27" spans="1:30" ht="30" customHeight="1">
      <c r="A27" s="2614"/>
      <c r="B27" s="2614"/>
      <c r="C27" s="2614"/>
      <c r="D27" s="2648" t="s">
        <v>2376</v>
      </c>
      <c r="E27" s="2648" t="s">
        <v>2377</v>
      </c>
      <c r="F27" s="2615" t="s">
        <v>2378</v>
      </c>
      <c r="G27" s="2615" t="s">
        <v>123</v>
      </c>
      <c r="H27" s="2611"/>
      <c r="I27" s="2649" t="s">
        <v>1183</v>
      </c>
      <c r="J27" s="2650"/>
      <c r="K27" s="2611"/>
      <c r="L27" s="3994" t="s">
        <v>3428</v>
      </c>
      <c r="M27" s="3995"/>
      <c r="N27" s="3696"/>
      <c r="O27" s="3994" t="s">
        <v>3429</v>
      </c>
      <c r="P27" s="3995"/>
      <c r="T27" s="1556" t="s">
        <v>2330</v>
      </c>
      <c r="U27" s="1556" t="s">
        <v>1759</v>
      </c>
      <c r="AB27" s="477"/>
      <c r="AC27" s="477"/>
    </row>
    <row r="28" spans="1:30" ht="29">
      <c r="A28" s="2614" t="s">
        <v>432</v>
      </c>
      <c r="B28" s="2614"/>
      <c r="C28" s="2614"/>
      <c r="D28" s="2648" t="s">
        <v>2379</v>
      </c>
      <c r="E28" s="2648" t="s">
        <v>2380</v>
      </c>
      <c r="F28" s="2651" t="s">
        <v>2347</v>
      </c>
      <c r="G28" s="2651" t="s">
        <v>2348</v>
      </c>
      <c r="H28" s="2611"/>
      <c r="I28" s="2626" t="s">
        <v>2349</v>
      </c>
      <c r="J28" s="2627" t="s">
        <v>444</v>
      </c>
      <c r="K28" s="2611"/>
      <c r="L28" s="2626" t="s">
        <v>2349</v>
      </c>
      <c r="M28" s="2627" t="s">
        <v>444</v>
      </c>
      <c r="N28" s="3694"/>
      <c r="O28" s="2626" t="s">
        <v>2349</v>
      </c>
      <c r="P28" s="2627" t="s">
        <v>444</v>
      </c>
      <c r="T28" s="1557" t="s">
        <v>1758</v>
      </c>
      <c r="U28" s="1557" t="s">
        <v>1745</v>
      </c>
      <c r="AB28" s="477"/>
      <c r="AC28" s="477"/>
    </row>
    <row r="29" spans="1:30" ht="14.5">
      <c r="A29" s="2628" t="str">
        <f t="shared" ref="A29:A43" si="3">+A6</f>
        <v>88740</v>
      </c>
      <c r="B29" s="2652"/>
      <c r="C29" s="2629"/>
      <c r="D29" s="2653">
        <v>884000</v>
      </c>
      <c r="E29" s="2653">
        <f>+D29*(1+$E$26)</f>
        <v>919360</v>
      </c>
      <c r="F29" s="4190">
        <f>((VLOOKUP(A29,$A$6:$F$20,6,FALSE))/(VLOOKUP(A29,$A$6:$E$20,5,FALSE)))*E29</f>
        <v>173814.49037073704</v>
      </c>
      <c r="G29" s="4190">
        <f>E29-F29</f>
        <v>745545.50962926296</v>
      </c>
      <c r="H29" s="4191"/>
      <c r="I29" s="2654">
        <f t="shared" ref="I29:I43" si="4">G29*L29</f>
        <v>700812.77905150712</v>
      </c>
      <c r="J29" s="3738">
        <f t="shared" ref="J29:J43" si="5">G29*M29</f>
        <v>44732.730577755778</v>
      </c>
      <c r="K29" s="2611"/>
      <c r="L29" s="3699">
        <v>0.94</v>
      </c>
      <c r="M29" s="3699">
        <v>0.06</v>
      </c>
      <c r="N29" s="2632"/>
      <c r="O29" s="3697">
        <f t="shared" ref="O29:O42" si="6">VLOOKUP(A29,$A$6:$L$20,12,FALSE)</f>
        <v>0.99857288274842404</v>
      </c>
      <c r="P29" s="3697">
        <f>ROUND(1-O29,3)</f>
        <v>1E-3</v>
      </c>
      <c r="U29" s="2612"/>
      <c r="AB29" s="477"/>
      <c r="AC29" s="477"/>
    </row>
    <row r="30" spans="1:30" ht="39.5">
      <c r="A30" s="2628" t="str">
        <f t="shared" si="3"/>
        <v>03512</v>
      </c>
      <c r="B30" s="2652"/>
      <c r="C30" s="2629"/>
      <c r="D30" s="2653">
        <v>495000</v>
      </c>
      <c r="E30" s="2653">
        <v>0</v>
      </c>
      <c r="F30" s="4190">
        <f t="shared" ref="F30:F42" si="7">((VLOOKUP(A30,$A$6:$F$20,6,FALSE))/(VLOOKUP(A30,$A$6:$E$20,5,FALSE)))*E30</f>
        <v>0</v>
      </c>
      <c r="G30" s="4190">
        <f t="shared" ref="G30:G43" si="8">E30-F30</f>
        <v>0</v>
      </c>
      <c r="H30" s="4191"/>
      <c r="I30" s="2654">
        <f t="shared" si="4"/>
        <v>0</v>
      </c>
      <c r="J30" s="3738">
        <f t="shared" si="5"/>
        <v>0</v>
      </c>
      <c r="K30" s="2611"/>
      <c r="L30" s="3697"/>
      <c r="M30" s="3697"/>
      <c r="N30" s="2632"/>
      <c r="O30" s="3697">
        <f t="shared" si="6"/>
        <v>0.94164615646167182</v>
      </c>
      <c r="P30" s="3697">
        <f t="shared" ref="P30:P43" si="9">ROUND(1-O30,3)</f>
        <v>5.8000000000000003E-2</v>
      </c>
      <c r="T30" s="2634" t="s">
        <v>1170</v>
      </c>
      <c r="U30" s="2655" t="s">
        <v>2322</v>
      </c>
      <c r="V30" s="2655" t="s">
        <v>2274</v>
      </c>
      <c r="W30" s="2655" t="s">
        <v>2381</v>
      </c>
      <c r="X30" s="2655" t="s">
        <v>1251</v>
      </c>
      <c r="AB30" s="2612"/>
    </row>
    <row r="31" spans="1:30" ht="14.5">
      <c r="A31" s="2628" t="str">
        <f t="shared" si="3"/>
        <v>85931</v>
      </c>
      <c r="B31" s="2652"/>
      <c r="C31" s="2629"/>
      <c r="D31" s="2653">
        <v>392000</v>
      </c>
      <c r="E31" s="2653">
        <f t="shared" ref="E31:E34" si="10">+D31*(1+$E$26)</f>
        <v>407680</v>
      </c>
      <c r="F31" s="4190">
        <f t="shared" si="7"/>
        <v>81815.886718564434</v>
      </c>
      <c r="G31" s="4190">
        <f t="shared" si="8"/>
        <v>325864.11328143557</v>
      </c>
      <c r="H31" s="4191"/>
      <c r="I31" s="2654">
        <f t="shared" si="4"/>
        <v>306312.26648454944</v>
      </c>
      <c r="J31" s="3738">
        <f t="shared" si="5"/>
        <v>19551.846796886133</v>
      </c>
      <c r="K31" s="2611"/>
      <c r="L31" s="3699">
        <v>0.94</v>
      </c>
      <c r="M31" s="3699">
        <v>0.06</v>
      </c>
      <c r="N31" s="2632"/>
      <c r="O31" s="3697">
        <f t="shared" si="6"/>
        <v>0.98214408782945783</v>
      </c>
      <c r="P31" s="3697">
        <f t="shared" si="9"/>
        <v>1.7999999999999999E-2</v>
      </c>
      <c r="T31" s="182">
        <v>880000</v>
      </c>
      <c r="U31" s="1069"/>
      <c r="V31" s="1069">
        <v>416</v>
      </c>
      <c r="W31" s="1069">
        <v>187</v>
      </c>
      <c r="X31" s="1069">
        <v>602.77</v>
      </c>
      <c r="AB31" s="477"/>
      <c r="AC31" s="477"/>
      <c r="AD31" s="477"/>
    </row>
    <row r="32" spans="1:30" ht="14.5">
      <c r="A32" s="2628" t="str">
        <f t="shared" si="3"/>
        <v>05320</v>
      </c>
      <c r="B32" s="2652"/>
      <c r="C32" s="2629"/>
      <c r="D32" s="2653">
        <v>500000</v>
      </c>
      <c r="E32" s="2653">
        <f t="shared" si="10"/>
        <v>520000</v>
      </c>
      <c r="F32" s="4190">
        <f t="shared" si="7"/>
        <v>81750.722355204853</v>
      </c>
      <c r="G32" s="4190">
        <f t="shared" si="8"/>
        <v>438249.27764479513</v>
      </c>
      <c r="H32" s="4191"/>
      <c r="I32" s="2654">
        <f t="shared" si="4"/>
        <v>411954.3209861074</v>
      </c>
      <c r="J32" s="3738">
        <f t="shared" si="5"/>
        <v>26294.956658687708</v>
      </c>
      <c r="K32" s="2611"/>
      <c r="L32" s="3699">
        <v>0.94</v>
      </c>
      <c r="M32" s="3699">
        <v>0.06</v>
      </c>
      <c r="N32" s="2632"/>
      <c r="O32" s="3697">
        <f t="shared" si="6"/>
        <v>0.99983357735574607</v>
      </c>
      <c r="P32" s="3697">
        <f t="shared" si="9"/>
        <v>0</v>
      </c>
      <c r="T32" s="182">
        <v>920000</v>
      </c>
      <c r="U32" s="1069">
        <v>2176015</v>
      </c>
      <c r="V32" s="1069">
        <v>632915</v>
      </c>
      <c r="W32" s="1069">
        <v>282222</v>
      </c>
      <c r="X32" s="1069">
        <v>3091151.89</v>
      </c>
      <c r="AB32" s="477"/>
      <c r="AC32" s="477"/>
      <c r="AD32" s="477"/>
    </row>
    <row r="33" spans="1:30" ht="14.5">
      <c r="A33" s="2628" t="str">
        <f t="shared" si="3"/>
        <v>02552</v>
      </c>
      <c r="B33" s="2652"/>
      <c r="C33" s="2629"/>
      <c r="D33" s="2653">
        <v>400000</v>
      </c>
      <c r="E33" s="2653">
        <f t="shared" si="10"/>
        <v>416000</v>
      </c>
      <c r="F33" s="4190">
        <f t="shared" si="7"/>
        <v>68366.465976165957</v>
      </c>
      <c r="G33" s="4190">
        <f t="shared" si="8"/>
        <v>347633.53402383404</v>
      </c>
      <c r="H33" s="4191"/>
      <c r="I33" s="2654">
        <f>G33*L33</f>
        <v>326775.521982404</v>
      </c>
      <c r="J33" s="3738">
        <f t="shared" si="5"/>
        <v>20858.012041430044</v>
      </c>
      <c r="K33" s="2611"/>
      <c r="L33" s="3699">
        <v>0.94</v>
      </c>
      <c r="M33" s="3699">
        <v>0.06</v>
      </c>
      <c r="N33" s="2632"/>
      <c r="O33" s="3697">
        <f t="shared" si="6"/>
        <v>0.98437077314955712</v>
      </c>
      <c r="P33" s="3697">
        <f t="shared" si="9"/>
        <v>1.6E-2</v>
      </c>
      <c r="T33" s="182">
        <v>928000</v>
      </c>
      <c r="U33" s="1069">
        <v>74050</v>
      </c>
      <c r="V33" s="1069">
        <v>20599</v>
      </c>
      <c r="W33" s="1069">
        <v>12183</v>
      </c>
      <c r="X33" s="1069">
        <v>106831.52</v>
      </c>
      <c r="AB33" s="477"/>
      <c r="AC33" s="477"/>
      <c r="AD33" s="477"/>
    </row>
    <row r="34" spans="1:30" ht="14.5">
      <c r="A34" s="2628" t="str">
        <f t="shared" si="3"/>
        <v>00365</v>
      </c>
      <c r="B34" s="2652"/>
      <c r="C34" s="2629"/>
      <c r="D34" s="2653">
        <v>336000</v>
      </c>
      <c r="E34" s="2653">
        <f t="shared" si="10"/>
        <v>349440</v>
      </c>
      <c r="F34" s="4190">
        <f t="shared" si="7"/>
        <v>57595.281507639076</v>
      </c>
      <c r="G34" s="4190">
        <f t="shared" si="8"/>
        <v>291844.7184923609</v>
      </c>
      <c r="H34" s="4191"/>
      <c r="I34" s="2654">
        <f t="shared" si="4"/>
        <v>291844.7184923609</v>
      </c>
      <c r="J34" s="3738">
        <f t="shared" si="5"/>
        <v>0</v>
      </c>
      <c r="K34" s="2611"/>
      <c r="L34" s="3697">
        <v>1</v>
      </c>
      <c r="M34" s="3697">
        <v>0</v>
      </c>
      <c r="N34" s="2632"/>
      <c r="O34" s="3697">
        <f t="shared" si="6"/>
        <v>1</v>
      </c>
      <c r="P34" s="3697">
        <f t="shared" si="9"/>
        <v>0</v>
      </c>
      <c r="T34" s="182">
        <v>921000</v>
      </c>
      <c r="U34" s="1069">
        <v>1732</v>
      </c>
      <c r="V34" s="1069">
        <v>496</v>
      </c>
      <c r="W34" s="1069">
        <v>222</v>
      </c>
      <c r="X34" s="1069">
        <v>2449.92</v>
      </c>
      <c r="AB34" s="477"/>
      <c r="AC34" s="477"/>
      <c r="AD34" s="477"/>
    </row>
    <row r="35" spans="1:30" ht="14.5">
      <c r="A35" s="2628" t="str">
        <f t="shared" si="3"/>
        <v>45464</v>
      </c>
      <c r="B35" s="2652"/>
      <c r="C35" s="2629"/>
      <c r="D35" s="2653">
        <v>340000</v>
      </c>
      <c r="E35" s="2653">
        <v>0</v>
      </c>
      <c r="F35" s="4190">
        <f t="shared" si="7"/>
        <v>0</v>
      </c>
      <c r="G35" s="4190">
        <f t="shared" si="8"/>
        <v>0</v>
      </c>
      <c r="H35" s="4191"/>
      <c r="I35" s="2654">
        <f t="shared" si="4"/>
        <v>0</v>
      </c>
      <c r="J35" s="3738">
        <f t="shared" si="5"/>
        <v>0</v>
      </c>
      <c r="K35" s="2611"/>
      <c r="L35" s="3697"/>
      <c r="M35" s="3697"/>
      <c r="N35" s="2632"/>
      <c r="O35" s="3697">
        <f t="shared" si="6"/>
        <v>1</v>
      </c>
      <c r="P35" s="3697">
        <f t="shared" si="9"/>
        <v>0</v>
      </c>
      <c r="Q35" s="478" t="s">
        <v>2382</v>
      </c>
      <c r="T35" s="182">
        <v>557000</v>
      </c>
      <c r="U35" s="1069">
        <v>275588</v>
      </c>
      <c r="V35" s="1069"/>
      <c r="W35" s="1069"/>
      <c r="X35" s="1069">
        <v>275587.59000000003</v>
      </c>
      <c r="AB35" s="477"/>
      <c r="AC35" s="477"/>
      <c r="AD35" s="477"/>
    </row>
    <row r="36" spans="1:30" ht="14.5">
      <c r="A36" s="2628" t="str">
        <f t="shared" si="3"/>
        <v>00107</v>
      </c>
      <c r="B36" s="2652"/>
      <c r="C36" s="2629"/>
      <c r="D36" s="2653">
        <v>360000</v>
      </c>
      <c r="E36" s="2653">
        <f t="shared" ref="E36:E43" si="11">+D36*(1+$E$26)</f>
        <v>374400</v>
      </c>
      <c r="F36" s="4190">
        <f t="shared" si="7"/>
        <v>59607.498475386084</v>
      </c>
      <c r="G36" s="4190">
        <f t="shared" si="8"/>
        <v>314792.50152461394</v>
      </c>
      <c r="H36" s="4191"/>
      <c r="I36" s="2654">
        <f t="shared" si="4"/>
        <v>314792.50152461394</v>
      </c>
      <c r="J36" s="3738">
        <f t="shared" si="5"/>
        <v>0</v>
      </c>
      <c r="K36" s="2611"/>
      <c r="L36" s="3697">
        <v>1</v>
      </c>
      <c r="M36" s="3697">
        <v>0</v>
      </c>
      <c r="N36" s="2632"/>
      <c r="O36" s="3697">
        <f t="shared" si="6"/>
        <v>0.99920219700746771</v>
      </c>
      <c r="P36" s="3697">
        <f t="shared" si="9"/>
        <v>1E-3</v>
      </c>
      <c r="T36" s="182">
        <v>535000</v>
      </c>
      <c r="U36" s="1069">
        <v>2659</v>
      </c>
      <c r="V36" s="1069"/>
      <c r="W36" s="1069"/>
      <c r="X36" s="1069">
        <v>2658.65</v>
      </c>
      <c r="AB36" s="477"/>
      <c r="AC36" s="477"/>
      <c r="AD36" s="477"/>
    </row>
    <row r="37" spans="1:30" ht="14.5">
      <c r="A37" s="2628" t="str">
        <f t="shared" si="3"/>
        <v>01750</v>
      </c>
      <c r="B37" s="2652"/>
      <c r="C37" s="2629"/>
      <c r="D37" s="2653">
        <v>277000</v>
      </c>
      <c r="E37" s="2653">
        <f t="shared" si="11"/>
        <v>288080</v>
      </c>
      <c r="F37" s="4190">
        <f t="shared" si="7"/>
        <v>45288.162066514938</v>
      </c>
      <c r="G37" s="4190">
        <f t="shared" si="8"/>
        <v>242791.83793348505</v>
      </c>
      <c r="H37" s="4191"/>
      <c r="I37" s="2654">
        <f t="shared" si="4"/>
        <v>228224.32765747592</v>
      </c>
      <c r="J37" s="3738">
        <f t="shared" si="5"/>
        <v>14567.510276009103</v>
      </c>
      <c r="K37" s="2611"/>
      <c r="L37" s="3697">
        <v>0.94</v>
      </c>
      <c r="M37" s="3697">
        <v>0.06</v>
      </c>
      <c r="N37" s="2632"/>
      <c r="O37" s="3697">
        <f t="shared" si="6"/>
        <v>0.93861276184686748</v>
      </c>
      <c r="P37" s="3697">
        <f t="shared" si="9"/>
        <v>6.0999999999999999E-2</v>
      </c>
      <c r="T37" s="182">
        <v>813000</v>
      </c>
      <c r="U37" s="1069"/>
      <c r="V37" s="1069">
        <v>132562</v>
      </c>
      <c r="W37" s="1069">
        <v>59838</v>
      </c>
      <c r="X37" s="1069">
        <v>192400.04</v>
      </c>
      <c r="AB37" s="477"/>
      <c r="AC37" s="477"/>
      <c r="AD37" s="477"/>
    </row>
    <row r="38" spans="1:30" ht="14.5">
      <c r="A38" s="2628" t="str">
        <f t="shared" si="3"/>
        <v>04682</v>
      </c>
      <c r="B38" s="2652"/>
      <c r="C38" s="2629"/>
      <c r="D38" s="2653">
        <v>411000</v>
      </c>
      <c r="E38" s="2653">
        <f t="shared" si="11"/>
        <v>427440</v>
      </c>
      <c r="F38" s="4190">
        <f t="shared" si="7"/>
        <v>43730.56650012263</v>
      </c>
      <c r="G38" s="4190">
        <f t="shared" si="8"/>
        <v>383709.43349987734</v>
      </c>
      <c r="H38" s="4191"/>
      <c r="I38" s="2654">
        <f t="shared" si="4"/>
        <v>360686.86748988467</v>
      </c>
      <c r="J38" s="3738">
        <f t="shared" si="5"/>
        <v>23022.566009992639</v>
      </c>
      <c r="K38" s="2611"/>
      <c r="L38" s="3697">
        <v>0.94</v>
      </c>
      <c r="M38" s="3697">
        <v>0.06</v>
      </c>
      <c r="N38" s="2632"/>
      <c r="O38" s="3697">
        <f t="shared" si="6"/>
        <v>0.93801375729379499</v>
      </c>
      <c r="P38" s="3697">
        <f t="shared" si="9"/>
        <v>6.2E-2</v>
      </c>
      <c r="T38" s="182">
        <v>930200</v>
      </c>
      <c r="U38" s="1069">
        <v>28951</v>
      </c>
      <c r="V38" s="1069">
        <v>8417</v>
      </c>
      <c r="W38" s="1069">
        <v>3754</v>
      </c>
      <c r="X38" s="1069">
        <v>41121.620000000003</v>
      </c>
      <c r="AB38" s="477"/>
      <c r="AC38" s="477"/>
      <c r="AD38" s="477"/>
    </row>
    <row r="39" spans="1:30" ht="14.5">
      <c r="A39" s="2628" t="str">
        <f t="shared" si="3"/>
        <v>02284</v>
      </c>
      <c r="B39" s="2652"/>
      <c r="C39" s="2629"/>
      <c r="D39" s="2653">
        <v>335000</v>
      </c>
      <c r="E39" s="2653">
        <f t="shared" si="11"/>
        <v>348400</v>
      </c>
      <c r="F39" s="4190">
        <f t="shared" si="7"/>
        <v>78201.476667040028</v>
      </c>
      <c r="G39" s="4190">
        <f t="shared" si="8"/>
        <v>270198.52333295997</v>
      </c>
      <c r="H39" s="4191"/>
      <c r="I39" s="2654">
        <f t="shared" si="4"/>
        <v>259390.58239964157</v>
      </c>
      <c r="J39" s="3738">
        <f t="shared" si="5"/>
        <v>10807.940933318399</v>
      </c>
      <c r="K39" s="2611"/>
      <c r="L39" s="3699">
        <v>0.96</v>
      </c>
      <c r="M39" s="3699">
        <v>0.04</v>
      </c>
      <c r="N39" s="2632"/>
      <c r="O39" s="3697">
        <f t="shared" si="6"/>
        <v>0.26923920608585322</v>
      </c>
      <c r="P39" s="3697">
        <f t="shared" si="9"/>
        <v>0.73099999999999998</v>
      </c>
      <c r="T39" s="182">
        <v>560000</v>
      </c>
      <c r="U39" s="1069">
        <v>1688</v>
      </c>
      <c r="V39" s="1069"/>
      <c r="W39" s="1069"/>
      <c r="X39" s="1069">
        <v>1687.69</v>
      </c>
      <c r="AB39" s="477"/>
      <c r="AC39" s="477"/>
      <c r="AD39" s="477"/>
    </row>
    <row r="40" spans="1:30" ht="14.5">
      <c r="A40" s="2628" t="str">
        <f t="shared" si="3"/>
        <v>00655</v>
      </c>
      <c r="B40" s="2652"/>
      <c r="C40" s="2629"/>
      <c r="D40" s="2653">
        <v>290000</v>
      </c>
      <c r="E40" s="2653">
        <f t="shared" si="11"/>
        <v>301600</v>
      </c>
      <c r="F40" s="4190">
        <f t="shared" si="7"/>
        <v>50006.778519634565</v>
      </c>
      <c r="G40" s="4190">
        <f t="shared" si="8"/>
        <v>251593.22148036544</v>
      </c>
      <c r="H40" s="4191"/>
      <c r="I40" s="2654">
        <f t="shared" si="4"/>
        <v>251593.22148036544</v>
      </c>
      <c r="J40" s="2654">
        <f t="shared" si="5"/>
        <v>0</v>
      </c>
      <c r="K40" s="2611"/>
      <c r="L40" s="3697">
        <v>1</v>
      </c>
      <c r="M40" s="3697">
        <v>0</v>
      </c>
      <c r="N40" s="2632"/>
      <c r="O40" s="3697">
        <f t="shared" si="6"/>
        <v>1</v>
      </c>
      <c r="P40" s="3697">
        <f t="shared" si="9"/>
        <v>0</v>
      </c>
      <c r="T40" s="182">
        <v>580000</v>
      </c>
      <c r="U40" s="1069">
        <v>54213</v>
      </c>
      <c r="V40" s="1069"/>
      <c r="W40" s="1069"/>
      <c r="X40" s="1069">
        <v>54212.67</v>
      </c>
      <c r="AB40" s="477"/>
      <c r="AC40" s="477"/>
      <c r="AD40" s="477"/>
    </row>
    <row r="41" spans="1:30" ht="14.5">
      <c r="A41" s="2628" t="str">
        <f t="shared" si="3"/>
        <v>02749</v>
      </c>
      <c r="B41" s="2652"/>
      <c r="C41" s="2629"/>
      <c r="D41" s="2653">
        <v>255000</v>
      </c>
      <c r="E41" s="2653">
        <f t="shared" si="11"/>
        <v>265200</v>
      </c>
      <c r="F41" s="4190">
        <f t="shared" si="7"/>
        <v>42470.687809904841</v>
      </c>
      <c r="G41" s="4190">
        <f t="shared" si="8"/>
        <v>222729.31219009517</v>
      </c>
      <c r="H41" s="4191"/>
      <c r="I41" s="2654">
        <f t="shared" si="4"/>
        <v>222729.31219009517</v>
      </c>
      <c r="J41" s="2654">
        <f t="shared" si="5"/>
        <v>0</v>
      </c>
      <c r="K41" s="2611"/>
      <c r="L41" s="3697">
        <v>1</v>
      </c>
      <c r="M41" s="3697">
        <v>0</v>
      </c>
      <c r="N41" s="2632"/>
      <c r="O41" s="3697">
        <f t="shared" si="6"/>
        <v>0.99999999999999978</v>
      </c>
      <c r="P41" s="3697">
        <f t="shared" si="9"/>
        <v>0</v>
      </c>
      <c r="T41" s="182">
        <v>870000</v>
      </c>
      <c r="U41" s="1069"/>
      <c r="V41" s="1069">
        <v>30172</v>
      </c>
      <c r="W41" s="1069">
        <v>13631</v>
      </c>
      <c r="X41" s="1069">
        <v>43803.01</v>
      </c>
      <c r="Y41" s="477"/>
      <c r="Z41" s="477"/>
      <c r="AA41" s="477"/>
      <c r="AB41" s="477"/>
      <c r="AC41" s="477"/>
      <c r="AD41" s="477"/>
    </row>
    <row r="42" spans="1:30" ht="14.5">
      <c r="A42" s="2628" t="str">
        <f t="shared" si="3"/>
        <v>76183</v>
      </c>
      <c r="B42" s="2652"/>
      <c r="C42" s="2629"/>
      <c r="D42" s="2653">
        <v>0</v>
      </c>
      <c r="E42" s="2653">
        <f t="shared" si="11"/>
        <v>0</v>
      </c>
      <c r="F42" s="2630">
        <f t="shared" si="7"/>
        <v>0</v>
      </c>
      <c r="G42" s="2630">
        <f t="shared" si="8"/>
        <v>0</v>
      </c>
      <c r="H42" s="2611"/>
      <c r="I42" s="2654">
        <f t="shared" si="4"/>
        <v>0</v>
      </c>
      <c r="J42" s="2654">
        <f t="shared" si="5"/>
        <v>0</v>
      </c>
      <c r="K42" s="2611"/>
      <c r="L42" s="3697"/>
      <c r="M42" s="3697"/>
      <c r="N42" s="2632"/>
      <c r="O42" s="3697">
        <f t="shared" si="6"/>
        <v>6.6553592920079604E-2</v>
      </c>
      <c r="P42" s="3697">
        <f t="shared" si="9"/>
        <v>0.93300000000000005</v>
      </c>
      <c r="T42" s="182">
        <v>926100</v>
      </c>
      <c r="U42" s="1069">
        <v>1108</v>
      </c>
      <c r="V42" s="1069">
        <v>327</v>
      </c>
      <c r="W42" s="1069">
        <v>145</v>
      </c>
      <c r="X42" s="1069">
        <v>1580.77</v>
      </c>
      <c r="Y42" s="477"/>
      <c r="Z42" s="477"/>
      <c r="AA42" s="477"/>
      <c r="AB42" s="477"/>
      <c r="AC42" s="477"/>
      <c r="AD42" s="477"/>
    </row>
    <row r="43" spans="1:30" ht="14.5">
      <c r="A43" s="2628" t="str">
        <f t="shared" si="3"/>
        <v>06271</v>
      </c>
      <c r="B43" s="2652"/>
      <c r="C43" s="2629"/>
      <c r="D43" s="2653">
        <v>360000</v>
      </c>
      <c r="E43" s="2653">
        <f t="shared" si="11"/>
        <v>374400</v>
      </c>
      <c r="F43" s="2630">
        <f>((VLOOKUP(A43,$A$6:$F$20,6,FALSE))/(VLOOKUP(A43,$A$6:$E$20,5,FALSE)))*E43</f>
        <v>0</v>
      </c>
      <c r="G43" s="2630">
        <f t="shared" si="8"/>
        <v>374400</v>
      </c>
      <c r="H43" s="2611"/>
      <c r="I43" s="2654">
        <f t="shared" si="4"/>
        <v>374400</v>
      </c>
      <c r="J43" s="2654">
        <f t="shared" si="5"/>
        <v>0</v>
      </c>
      <c r="K43" s="2611"/>
      <c r="L43" s="3697">
        <v>1</v>
      </c>
      <c r="M43" s="3697">
        <v>0</v>
      </c>
      <c r="N43" s="2632"/>
      <c r="O43" s="3697">
        <v>1</v>
      </c>
      <c r="P43" s="3697">
        <f t="shared" si="9"/>
        <v>0</v>
      </c>
      <c r="Q43" s="478" t="s">
        <v>2383</v>
      </c>
      <c r="T43" s="2636" t="s">
        <v>978</v>
      </c>
      <c r="U43" s="2638">
        <v>2616003</v>
      </c>
      <c r="V43" s="2638">
        <v>825902</v>
      </c>
      <c r="W43" s="2638">
        <v>372183</v>
      </c>
      <c r="X43" s="2638">
        <v>3814088.14</v>
      </c>
      <c r="Y43" s="477"/>
      <c r="Z43" s="477"/>
      <c r="AA43" s="477"/>
      <c r="AB43" s="477"/>
      <c r="AC43" s="477"/>
      <c r="AD43" s="477"/>
    </row>
    <row r="44" spans="1:30" ht="14.5">
      <c r="A44" s="2628"/>
      <c r="B44" s="2652"/>
      <c r="C44" s="2629"/>
      <c r="D44" s="2611"/>
      <c r="E44" s="2611"/>
      <c r="F44" s="2611"/>
      <c r="G44" s="2611"/>
      <c r="H44" s="2611"/>
      <c r="I44" s="2611"/>
      <c r="J44" s="2611"/>
      <c r="K44" s="2611"/>
      <c r="L44" s="2632"/>
      <c r="M44" s="2632"/>
      <c r="N44" s="2632"/>
      <c r="O44" s="3697"/>
      <c r="P44" s="3697"/>
      <c r="T44" s="182"/>
      <c r="U44" s="1069"/>
      <c r="V44" s="1069"/>
      <c r="W44" s="1069"/>
      <c r="X44" s="1069"/>
      <c r="Y44" s="477"/>
      <c r="Z44" s="477"/>
      <c r="AA44" s="477"/>
      <c r="AB44" s="477"/>
      <c r="AC44" s="477"/>
      <c r="AD44" s="477"/>
    </row>
    <row r="45" spans="1:30" ht="14.5">
      <c r="A45" s="2628"/>
      <c r="B45" s="2628"/>
      <c r="C45" s="2628"/>
      <c r="D45" s="2640">
        <f>SUM(D29:D43)</f>
        <v>5635000</v>
      </c>
      <c r="E45" s="2640">
        <f>SUM(E29:E43)</f>
        <v>4992000</v>
      </c>
      <c r="F45" s="2640">
        <f>SUM(F29:F43)</f>
        <v>782648.01696691453</v>
      </c>
      <c r="G45" s="2640">
        <f>SUM(G29:G43)</f>
        <v>4209351.9830330852</v>
      </c>
      <c r="H45" s="2611"/>
      <c r="I45" s="2640">
        <f>SUM(I29:I43)</f>
        <v>4049516.4197390052</v>
      </c>
      <c r="J45" s="3737">
        <f>SUM(J29:J43)</f>
        <v>159835.56329407982</v>
      </c>
      <c r="K45" s="2611"/>
      <c r="L45" s="2641">
        <f>I45/G45</f>
        <v>0.96202846330305947</v>
      </c>
      <c r="M45" s="2641">
        <f>J45/G45</f>
        <v>3.7971536696940443E-2</v>
      </c>
      <c r="N45" s="2632"/>
      <c r="O45" s="3698">
        <v>0.94</v>
      </c>
      <c r="P45" s="3698">
        <v>0.06</v>
      </c>
      <c r="Q45" s="1117"/>
      <c r="T45" s="477"/>
      <c r="U45" s="477"/>
      <c r="Y45" s="477"/>
      <c r="Z45" s="477"/>
      <c r="AA45" s="477"/>
      <c r="AB45" s="477"/>
      <c r="AC45" s="477"/>
      <c r="AD45" s="477"/>
    </row>
    <row r="46" spans="1:30" ht="14.5">
      <c r="A46" s="2628"/>
      <c r="B46" s="2628"/>
      <c r="C46" s="2628"/>
      <c r="D46" s="2611"/>
      <c r="E46" s="2611"/>
      <c r="F46" s="2656">
        <f>F45/E45</f>
        <v>0.15678045211676975</v>
      </c>
      <c r="G46" s="2611"/>
      <c r="H46" s="2656"/>
      <c r="I46" s="2611"/>
      <c r="J46" s="2611"/>
      <c r="K46" s="2611"/>
      <c r="L46" s="2632"/>
      <c r="M46" s="2632"/>
      <c r="N46" s="2632"/>
      <c r="O46" s="2632"/>
      <c r="P46" s="2632"/>
      <c r="T46" s="1556" t="s">
        <v>679</v>
      </c>
      <c r="U46" s="1556" t="s">
        <v>1701</v>
      </c>
      <c r="Y46" s="477"/>
      <c r="Z46" s="477"/>
      <c r="AA46" s="477"/>
      <c r="AB46" s="477"/>
      <c r="AC46" s="477"/>
      <c r="AD46" s="477"/>
    </row>
    <row r="47" spans="1:30" ht="15" thickBot="1">
      <c r="A47" s="2611"/>
      <c r="B47" s="2611"/>
      <c r="C47" s="2611"/>
      <c r="D47" s="2616" t="s">
        <v>2384</v>
      </c>
      <c r="E47" s="2616"/>
      <c r="F47" s="2616"/>
      <c r="G47" s="2657">
        <f>I45-I22</f>
        <v>235428.27973900549</v>
      </c>
      <c r="J47" s="2611"/>
      <c r="K47" s="2611"/>
      <c r="L47" s="2611"/>
      <c r="M47" s="2611"/>
      <c r="N47" s="2611"/>
      <c r="O47" s="2611"/>
      <c r="P47" s="2611"/>
      <c r="T47" s="1557" t="s">
        <v>2330</v>
      </c>
      <c r="U47" s="1557" t="s">
        <v>1759</v>
      </c>
      <c r="Y47" s="477"/>
      <c r="Z47" s="477"/>
      <c r="AA47" s="477"/>
      <c r="AB47" s="477"/>
      <c r="AC47" s="477"/>
      <c r="AD47" s="477"/>
    </row>
    <row r="48" spans="1:30" ht="15.5" thickTop="1" thickBot="1">
      <c r="A48" s="2658"/>
      <c r="B48" s="2658"/>
      <c r="C48" s="2611"/>
      <c r="D48" s="2611"/>
      <c r="E48" s="2611"/>
      <c r="F48" s="2611"/>
      <c r="G48" s="2611"/>
      <c r="J48" s="2611"/>
      <c r="K48" s="2611"/>
      <c r="L48" s="2611"/>
      <c r="M48" s="2611"/>
      <c r="N48" s="2611"/>
      <c r="O48" s="2611"/>
      <c r="P48" s="2611"/>
      <c r="U48" s="2612"/>
      <c r="Y48" s="477"/>
      <c r="Z48" s="477"/>
      <c r="AA48" s="477"/>
      <c r="AB48" s="477"/>
      <c r="AC48" s="477"/>
      <c r="AD48" s="477"/>
    </row>
    <row r="49" spans="1:30" ht="26.25" customHeight="1">
      <c r="A49" s="2658"/>
      <c r="B49" s="2658"/>
      <c r="C49" s="2611"/>
      <c r="D49" s="2659" t="s">
        <v>2385</v>
      </c>
      <c r="E49" s="2611"/>
      <c r="F49" s="3700" t="s">
        <v>3423</v>
      </c>
      <c r="G49" s="2611"/>
      <c r="H49" s="1337"/>
      <c r="I49" s="3701" t="s">
        <v>3430</v>
      </c>
      <c r="J49" s="3996" t="s">
        <v>3431</v>
      </c>
      <c r="K49" s="3997"/>
      <c r="L49" s="2611"/>
      <c r="Q49" s="974" t="s">
        <v>2386</v>
      </c>
      <c r="T49" s="2633" t="s">
        <v>1251</v>
      </c>
      <c r="U49" s="2633" t="s">
        <v>1252</v>
      </c>
      <c r="V49" s="2633"/>
      <c r="W49" s="2633"/>
      <c r="X49" s="2633"/>
      <c r="Y49" s="477"/>
      <c r="Z49" s="477"/>
      <c r="AA49" s="477"/>
      <c r="AB49" s="477"/>
      <c r="AC49" s="477"/>
      <c r="AD49" s="477"/>
    </row>
    <row r="50" spans="1:30" ht="15" thickBot="1">
      <c r="A50" s="2658"/>
      <c r="B50" s="2658"/>
      <c r="C50" s="2611"/>
      <c r="D50" s="2660">
        <v>0.70111999999999997</v>
      </c>
      <c r="E50" s="2661" t="s">
        <v>2387</v>
      </c>
      <c r="F50" s="2661"/>
      <c r="G50" s="2611"/>
      <c r="H50" s="1340"/>
      <c r="J50" s="2611"/>
      <c r="K50" s="3702"/>
      <c r="L50" s="2611"/>
      <c r="T50" s="2634" t="s">
        <v>1170</v>
      </c>
      <c r="U50" s="2634" t="s">
        <v>1744</v>
      </c>
      <c r="V50" s="2634" t="s">
        <v>1745</v>
      </c>
      <c r="W50" s="2634" t="s">
        <v>377</v>
      </c>
      <c r="X50" s="2634" t="s">
        <v>978</v>
      </c>
      <c r="Y50" s="477"/>
      <c r="Z50" s="477"/>
      <c r="AA50" s="477"/>
      <c r="AB50" s="477"/>
      <c r="AC50" s="477"/>
      <c r="AD50" s="477"/>
    </row>
    <row r="51" spans="1:30" ht="15.5" thickTop="1" thickBot="1">
      <c r="A51" s="2658"/>
      <c r="B51" s="2658"/>
      <c r="C51" s="2611"/>
      <c r="D51" s="2662">
        <v>0.66942999999999997</v>
      </c>
      <c r="E51" s="2661" t="s">
        <v>2388</v>
      </c>
      <c r="F51" s="2743">
        <f>G47*D50*D51</f>
        <v>110498.44239768006</v>
      </c>
      <c r="G51" s="2663" t="s">
        <v>2389</v>
      </c>
      <c r="H51" s="1340"/>
      <c r="I51" s="3703">
        <v>60037</v>
      </c>
      <c r="J51" s="3704">
        <f>F51-I51</f>
        <v>50461.442397680061</v>
      </c>
      <c r="K51" s="3702"/>
      <c r="Q51" s="2611">
        <f>I45*D50*D51</f>
        <v>1900643.6157162071</v>
      </c>
      <c r="T51" s="182" t="s">
        <v>2284</v>
      </c>
      <c r="U51" s="1069"/>
      <c r="V51" s="1069"/>
      <c r="W51" s="1069">
        <v>883516.77</v>
      </c>
      <c r="X51" s="1069">
        <v>883516.77</v>
      </c>
      <c r="Y51" s="477"/>
      <c r="Z51" s="477"/>
      <c r="AA51" s="477"/>
      <c r="AB51" s="477"/>
      <c r="AC51" s="477"/>
      <c r="AD51" s="477"/>
    </row>
    <row r="52" spans="1:30" ht="15" thickTop="1">
      <c r="A52" s="2658"/>
      <c r="B52" s="2658"/>
      <c r="C52" s="2611"/>
      <c r="D52" s="2661"/>
      <c r="E52" s="2661"/>
      <c r="F52" s="2661"/>
      <c r="G52" s="2611"/>
      <c r="H52" s="1340"/>
      <c r="I52" s="2661"/>
      <c r="J52" s="2611"/>
      <c r="K52" s="3702"/>
      <c r="Q52" s="2611"/>
      <c r="T52" s="182" t="s">
        <v>2282</v>
      </c>
      <c r="U52" s="1069">
        <v>402820.78</v>
      </c>
      <c r="V52" s="1069">
        <v>3814088.14</v>
      </c>
      <c r="W52" s="1069">
        <v>28479.59</v>
      </c>
      <c r="X52" s="1069">
        <v>4245388.51</v>
      </c>
      <c r="Y52" s="477"/>
      <c r="Z52" s="477"/>
      <c r="AA52" s="477"/>
      <c r="AB52" s="477"/>
      <c r="AC52" s="477"/>
      <c r="AD52" s="477"/>
    </row>
    <row r="53" spans="1:30" ht="14.5">
      <c r="A53" s="2658"/>
      <c r="B53" s="2658"/>
      <c r="C53" s="2611"/>
      <c r="D53" s="2659" t="s">
        <v>2390</v>
      </c>
      <c r="E53" s="2661"/>
      <c r="F53" s="2661"/>
      <c r="G53" s="2611"/>
      <c r="H53" s="1340"/>
      <c r="I53" s="2661"/>
      <c r="J53" s="2611"/>
      <c r="K53" s="3702"/>
      <c r="Q53" s="2611"/>
      <c r="T53" s="2636" t="s">
        <v>978</v>
      </c>
      <c r="U53" s="2638">
        <v>402820.78</v>
      </c>
      <c r="V53" s="2638">
        <v>3814088.14</v>
      </c>
      <c r="W53" s="2638">
        <v>911996.36</v>
      </c>
      <c r="X53" s="2638">
        <v>5128905.28</v>
      </c>
      <c r="Y53" s="477"/>
      <c r="Z53" s="477"/>
      <c r="AA53" s="477"/>
      <c r="AB53" s="477"/>
      <c r="AC53" s="477"/>
      <c r="AD53" s="477"/>
    </row>
    <row r="54" spans="1:30" ht="15" thickBot="1">
      <c r="A54" s="2658"/>
      <c r="B54" s="2658"/>
      <c r="C54" s="2611"/>
      <c r="D54" s="2660">
        <v>0.20707999999999999</v>
      </c>
      <c r="E54" s="2661" t="s">
        <v>2387</v>
      </c>
      <c r="F54" s="2661"/>
      <c r="G54" s="2611"/>
      <c r="H54" s="1340"/>
      <c r="I54" s="2661"/>
      <c r="J54" s="2611"/>
      <c r="K54" s="3702"/>
      <c r="Q54" s="2611"/>
      <c r="T54" s="477"/>
      <c r="U54" s="477"/>
      <c r="V54" s="477"/>
      <c r="W54" s="477"/>
      <c r="X54" s="477"/>
      <c r="Y54" s="477"/>
      <c r="Z54" s="477"/>
      <c r="AA54" s="477"/>
      <c r="AB54" s="477"/>
      <c r="AC54" s="477"/>
      <c r="AD54" s="477"/>
    </row>
    <row r="55" spans="1:30" ht="15.5" thickTop="1" thickBot="1">
      <c r="A55" s="2658"/>
      <c r="B55" s="2658"/>
      <c r="C55" s="2611"/>
      <c r="D55" s="2660">
        <v>0.71745999999999999</v>
      </c>
      <c r="E55" s="2661" t="s">
        <v>2388</v>
      </c>
      <c r="F55" s="2743">
        <f>G47*D54*D55</f>
        <v>34977.960161266725</v>
      </c>
      <c r="G55" s="2663" t="s">
        <v>2389</v>
      </c>
      <c r="H55" s="1340"/>
      <c r="I55" s="2745">
        <v>19005</v>
      </c>
      <c r="J55" s="3704">
        <f>F55-I55</f>
        <v>15972.960161266725</v>
      </c>
      <c r="K55" s="3702"/>
      <c r="Q55" s="2611">
        <f>I45*D54*D55</f>
        <v>601643.20173877128</v>
      </c>
      <c r="T55" s="477"/>
      <c r="U55" s="477"/>
      <c r="V55" s="477"/>
      <c r="W55" s="477"/>
      <c r="X55" s="477"/>
      <c r="Y55" s="477"/>
      <c r="Z55" s="477"/>
      <c r="AA55" s="477"/>
      <c r="AB55" s="477"/>
      <c r="AC55" s="477"/>
      <c r="AD55" s="477"/>
    </row>
    <row r="56" spans="1:30" ht="15.5" thickTop="1" thickBot="1">
      <c r="A56" s="2658"/>
      <c r="B56" s="2658"/>
      <c r="C56" s="2611"/>
      <c r="D56" s="2661"/>
      <c r="E56" s="2661"/>
      <c r="F56" s="2611"/>
      <c r="G56" s="2611"/>
      <c r="H56" s="3705"/>
      <c r="I56" s="3706"/>
      <c r="J56" s="3706"/>
      <c r="K56" s="3707"/>
      <c r="Q56" s="2611"/>
      <c r="T56" s="477"/>
      <c r="U56" s="477"/>
      <c r="V56" s="477"/>
      <c r="W56" s="477"/>
      <c r="X56" s="477"/>
      <c r="Y56" s="477"/>
      <c r="Z56" s="477"/>
      <c r="AA56" s="477"/>
      <c r="AB56" s="477"/>
      <c r="AC56" s="477"/>
      <c r="AD56" s="477"/>
    </row>
    <row r="57" spans="1:30" ht="14.5">
      <c r="A57" s="2658"/>
      <c r="B57" s="2658"/>
      <c r="C57" s="2611"/>
      <c r="D57" s="2659"/>
      <c r="E57" s="2661"/>
      <c r="F57" s="2611"/>
      <c r="G57" s="2611"/>
      <c r="H57" s="2661"/>
      <c r="I57" s="2611"/>
      <c r="J57" s="2611"/>
      <c r="K57" s="2611"/>
      <c r="Q57" s="2611"/>
      <c r="T57" s="477"/>
      <c r="U57" s="477"/>
      <c r="V57" s="477"/>
      <c r="W57" s="477"/>
      <c r="X57" s="477"/>
      <c r="Y57" s="477"/>
      <c r="AB57" s="477"/>
      <c r="AC57" s="477"/>
      <c r="AD57" s="477"/>
    </row>
    <row r="58" spans="1:30" ht="14.5">
      <c r="A58" s="2658"/>
      <c r="B58" s="2658"/>
      <c r="C58" s="2611"/>
      <c r="D58" s="2660"/>
      <c r="E58" s="2661"/>
      <c r="F58" s="2611"/>
      <c r="G58" s="2611"/>
      <c r="H58" s="2661"/>
      <c r="I58" s="2611"/>
      <c r="J58" s="2611"/>
      <c r="K58" s="2611"/>
      <c r="Q58" s="2611"/>
      <c r="AB58" s="477"/>
      <c r="AC58" s="477"/>
      <c r="AD58" s="477"/>
    </row>
    <row r="59" spans="1:30" ht="14.5">
      <c r="A59" s="2658"/>
      <c r="B59" s="2658"/>
      <c r="C59" s="2611"/>
      <c r="D59" s="2662"/>
      <c r="E59" s="2661"/>
      <c r="F59" s="2611"/>
      <c r="G59" s="3708"/>
      <c r="H59" s="2665"/>
      <c r="I59" s="3708"/>
      <c r="J59" s="2611"/>
      <c r="K59" s="2611"/>
      <c r="Q59" s="2611"/>
      <c r="AB59" s="477"/>
      <c r="AC59" s="477"/>
      <c r="AD59" s="477"/>
    </row>
    <row r="60" spans="1:30" ht="14.5">
      <c r="A60" s="2658"/>
      <c r="B60" s="2658"/>
      <c r="C60" s="2611"/>
      <c r="D60" s="2661"/>
      <c r="E60" s="2661"/>
      <c r="F60" s="2611"/>
      <c r="G60" s="3708"/>
      <c r="H60" s="3709"/>
      <c r="I60" s="3708"/>
      <c r="J60" s="2611"/>
      <c r="K60" s="2611"/>
      <c r="Q60" s="2611"/>
      <c r="AB60" s="477"/>
      <c r="AC60" s="477"/>
      <c r="AD60" s="477"/>
    </row>
    <row r="61" spans="1:30" ht="14.5">
      <c r="A61" s="2611"/>
      <c r="B61" s="2611"/>
      <c r="C61" s="2611"/>
      <c r="D61" s="2659"/>
      <c r="E61" s="2661"/>
      <c r="F61" s="2611"/>
      <c r="G61" s="3708"/>
      <c r="H61" s="3709"/>
      <c r="I61" s="3708"/>
      <c r="J61" s="2611"/>
      <c r="K61" s="2611"/>
      <c r="Q61" s="2611"/>
      <c r="AB61" s="477"/>
      <c r="AC61" s="477"/>
      <c r="AD61" s="477"/>
    </row>
    <row r="62" spans="1:30" ht="14.5">
      <c r="A62" s="2611"/>
      <c r="B62" s="2611"/>
      <c r="C62" s="2611"/>
      <c r="D62" s="2660"/>
      <c r="E62" s="2661"/>
      <c r="F62" s="2611"/>
      <c r="G62" s="3708"/>
      <c r="H62" s="3709"/>
      <c r="I62" s="3708"/>
      <c r="J62" s="2611"/>
      <c r="K62" s="2611"/>
      <c r="Q62" s="2611"/>
      <c r="AB62" s="477"/>
      <c r="AC62" s="477"/>
      <c r="AD62" s="477"/>
    </row>
    <row r="63" spans="1:30" ht="14.5">
      <c r="A63" s="2611"/>
      <c r="B63" s="2611"/>
      <c r="C63" s="2611"/>
      <c r="D63" s="2660"/>
      <c r="E63" s="2661"/>
      <c r="F63" s="2611"/>
      <c r="G63" s="3708"/>
      <c r="H63" s="2665"/>
      <c r="I63" s="3708"/>
      <c r="J63" s="2611"/>
      <c r="K63" s="2611"/>
      <c r="Q63" s="2611"/>
      <c r="AB63" s="477"/>
      <c r="AC63" s="477"/>
      <c r="AD63" s="477"/>
    </row>
    <row r="64" spans="1:30" ht="14.5">
      <c r="A64" s="2611"/>
      <c r="B64" s="2611"/>
      <c r="C64" s="2611"/>
      <c r="D64" s="2660"/>
      <c r="E64" s="2661"/>
      <c r="F64" s="2611"/>
      <c r="G64" s="3708"/>
      <c r="H64" s="2665"/>
      <c r="I64" s="3708"/>
      <c r="J64" s="2611"/>
      <c r="K64" s="2611"/>
      <c r="Q64" s="2611"/>
      <c r="AB64" s="477"/>
      <c r="AC64" s="477"/>
      <c r="AD64" s="477"/>
    </row>
    <row r="65" spans="1:30" ht="14.5">
      <c r="A65" s="2611"/>
      <c r="B65" s="2611"/>
      <c r="C65" s="2611"/>
      <c r="D65" s="2659"/>
      <c r="E65" s="2661"/>
      <c r="F65" s="2611"/>
      <c r="G65" s="3708"/>
      <c r="H65" s="2665"/>
      <c r="I65" s="3708"/>
      <c r="J65" s="2611"/>
      <c r="K65" s="2611"/>
      <c r="Q65" s="2611"/>
      <c r="AB65" s="477"/>
      <c r="AC65" s="477"/>
      <c r="AD65" s="477"/>
    </row>
    <row r="66" spans="1:30" ht="14.5">
      <c r="A66" s="2611"/>
      <c r="B66" s="2611"/>
      <c r="C66" s="2611"/>
      <c r="D66" s="2660"/>
      <c r="E66" s="2661"/>
      <c r="F66" s="2611"/>
      <c r="G66" s="3708"/>
      <c r="H66" s="2665"/>
      <c r="I66" s="3708"/>
      <c r="J66" s="2611"/>
      <c r="K66" s="2611"/>
      <c r="Q66" s="2611"/>
      <c r="AB66" s="477"/>
      <c r="AC66" s="477"/>
      <c r="AD66" s="477"/>
    </row>
    <row r="67" spans="1:30" ht="14.5">
      <c r="A67" s="2611"/>
      <c r="B67" s="2611"/>
      <c r="C67" s="2611"/>
      <c r="D67" s="2611"/>
      <c r="E67" s="2611"/>
      <c r="F67" s="2611"/>
      <c r="G67" s="3708"/>
      <c r="H67" s="3708"/>
      <c r="I67" s="3708"/>
      <c r="J67" s="2611"/>
      <c r="K67" s="2611"/>
      <c r="Q67" s="2611"/>
      <c r="AB67" s="477"/>
      <c r="AC67" s="477"/>
      <c r="AD67" s="477"/>
    </row>
    <row r="68" spans="1:30" ht="14.5">
      <c r="A68" s="2611"/>
      <c r="B68" s="2611"/>
      <c r="C68" s="2611"/>
      <c r="D68" s="2611"/>
      <c r="E68" s="2611"/>
      <c r="F68" s="2611"/>
      <c r="G68" s="3708"/>
      <c r="H68" s="3708"/>
      <c r="I68" s="3708"/>
      <c r="J68" s="2611"/>
      <c r="K68" s="2611"/>
      <c r="Q68" s="2611"/>
      <c r="AB68" s="477"/>
      <c r="AC68" s="477"/>
      <c r="AD68" s="477"/>
    </row>
    <row r="69" spans="1:30" ht="14.5">
      <c r="A69" s="2611"/>
      <c r="B69" s="2611"/>
      <c r="C69" s="2611"/>
      <c r="D69" s="2611"/>
      <c r="E69" s="2611"/>
      <c r="F69" s="2611"/>
      <c r="G69" s="3708"/>
      <c r="H69" s="3708"/>
      <c r="I69" s="3708"/>
      <c r="J69" s="2611"/>
      <c r="K69" s="2611"/>
      <c r="Q69" s="2611"/>
      <c r="AB69" s="477"/>
      <c r="AC69" s="477"/>
      <c r="AD69" s="477"/>
    </row>
    <row r="70" spans="1:30" ht="14.5">
      <c r="A70" s="2611"/>
      <c r="B70" s="2611"/>
      <c r="C70" s="2611"/>
      <c r="D70" s="2611"/>
      <c r="E70" s="2611"/>
      <c r="F70" s="2611"/>
      <c r="G70" s="2611"/>
      <c r="H70" s="2611"/>
      <c r="I70" s="2611"/>
      <c r="J70" s="2611"/>
      <c r="K70" s="2611"/>
      <c r="Q70" s="2611"/>
      <c r="AB70" s="477"/>
      <c r="AC70" s="477"/>
      <c r="AD70" s="477"/>
    </row>
    <row r="71" spans="1:30">
      <c r="AB71" s="477"/>
      <c r="AC71" s="477"/>
      <c r="AD71" s="477"/>
    </row>
    <row r="72" spans="1:30">
      <c r="AB72" s="477"/>
      <c r="AC72" s="477"/>
      <c r="AD72" s="477"/>
    </row>
    <row r="73" spans="1:30">
      <c r="AB73" s="477"/>
      <c r="AC73" s="477"/>
      <c r="AD73" s="477"/>
    </row>
    <row r="74" spans="1:30">
      <c r="AB74" s="477"/>
      <c r="AC74" s="477"/>
      <c r="AD74" s="477"/>
    </row>
    <row r="75" spans="1:30">
      <c r="AB75" s="477"/>
      <c r="AC75" s="477"/>
      <c r="AD75" s="477"/>
    </row>
    <row r="76" spans="1:30">
      <c r="AB76" s="477"/>
      <c r="AC76" s="477"/>
      <c r="AD76" s="477"/>
    </row>
    <row r="77" spans="1:30">
      <c r="AB77" s="477"/>
      <c r="AC77" s="477"/>
      <c r="AD77" s="477"/>
    </row>
    <row r="78" spans="1:30">
      <c r="AB78" s="477"/>
      <c r="AC78" s="477"/>
      <c r="AD78" s="477"/>
    </row>
    <row r="79" spans="1:30">
      <c r="AB79" s="477"/>
      <c r="AC79" s="477"/>
      <c r="AD79" s="477"/>
    </row>
    <row r="80" spans="1:30">
      <c r="AB80" s="477"/>
      <c r="AC80" s="477"/>
      <c r="AD80" s="477"/>
    </row>
    <row r="81" spans="28:30">
      <c r="AB81" s="477"/>
      <c r="AC81" s="477"/>
      <c r="AD81" s="477"/>
    </row>
    <row r="82" spans="28:30">
      <c r="AB82" s="477"/>
      <c r="AC82" s="477"/>
      <c r="AD82" s="477"/>
    </row>
    <row r="83" spans="28:30">
      <c r="AB83" s="477"/>
      <c r="AC83" s="477"/>
      <c r="AD83" s="477"/>
    </row>
    <row r="84" spans="28:30">
      <c r="AB84" s="477"/>
      <c r="AC84" s="477"/>
      <c r="AD84" s="477"/>
    </row>
    <row r="85" spans="28:30">
      <c r="AB85" s="477"/>
      <c r="AC85" s="477"/>
      <c r="AD85" s="477"/>
    </row>
    <row r="86" spans="28:30">
      <c r="AB86" s="477"/>
      <c r="AC86" s="477"/>
      <c r="AD86" s="477"/>
    </row>
    <row r="87" spans="28:30">
      <c r="AB87" s="477"/>
      <c r="AC87" s="477"/>
      <c r="AD87" s="477"/>
    </row>
    <row r="88" spans="28:30">
      <c r="AB88" s="477"/>
      <c r="AC88" s="477"/>
      <c r="AD88" s="477"/>
    </row>
    <row r="89" spans="28:30">
      <c r="AB89" s="477"/>
      <c r="AC89" s="477"/>
      <c r="AD89" s="477"/>
    </row>
    <row r="90" spans="28:30">
      <c r="AB90" s="477"/>
      <c r="AC90" s="477"/>
      <c r="AD90" s="477"/>
    </row>
    <row r="91" spans="28:30">
      <c r="AB91" s="477"/>
      <c r="AC91" s="477"/>
      <c r="AD91" s="477"/>
    </row>
    <row r="92" spans="28:30">
      <c r="AB92" s="477"/>
      <c r="AC92" s="477"/>
      <c r="AD92" s="477"/>
    </row>
    <row r="93" spans="28:30">
      <c r="AB93" s="477"/>
      <c r="AC93" s="477"/>
      <c r="AD93" s="477"/>
    </row>
    <row r="94" spans="28:30">
      <c r="AB94" s="477"/>
      <c r="AC94" s="477"/>
      <c r="AD94" s="477"/>
    </row>
    <row r="95" spans="28:30">
      <c r="AB95" s="477"/>
      <c r="AC95" s="477"/>
      <c r="AD95" s="477"/>
    </row>
    <row r="96" spans="28:30">
      <c r="AB96" s="477"/>
      <c r="AC96" s="477"/>
      <c r="AD96" s="477"/>
    </row>
    <row r="97" spans="28:30">
      <c r="AB97" s="477"/>
      <c r="AC97" s="477"/>
      <c r="AD97" s="477"/>
    </row>
    <row r="98" spans="28:30">
      <c r="AB98" s="477"/>
      <c r="AC98" s="477"/>
      <c r="AD98" s="477"/>
    </row>
    <row r="99" spans="28:30">
      <c r="AB99" s="477"/>
      <c r="AC99" s="477"/>
      <c r="AD99" s="477"/>
    </row>
    <row r="100" spans="28:30">
      <c r="AB100" s="477"/>
      <c r="AC100" s="477"/>
      <c r="AD100" s="477"/>
    </row>
    <row r="101" spans="28:30">
      <c r="AB101" s="477"/>
      <c r="AC101" s="477"/>
      <c r="AD101" s="477"/>
    </row>
    <row r="102" spans="28:30">
      <c r="AB102" s="477"/>
      <c r="AC102" s="477"/>
      <c r="AD102" s="477"/>
    </row>
    <row r="103" spans="28:30">
      <c r="AB103" s="477"/>
      <c r="AC103" s="477"/>
      <c r="AD103" s="477"/>
    </row>
    <row r="104" spans="28:30">
      <c r="AB104" s="477"/>
      <c r="AC104" s="477"/>
      <c r="AD104" s="477"/>
    </row>
    <row r="105" spans="28:30">
      <c r="AB105" s="477"/>
      <c r="AC105" s="477"/>
      <c r="AD105" s="477"/>
    </row>
    <row r="106" spans="28:30">
      <c r="AB106" s="477"/>
      <c r="AC106" s="477"/>
      <c r="AD106" s="477"/>
    </row>
    <row r="107" spans="28:30">
      <c r="AB107" s="477"/>
      <c r="AC107" s="477"/>
      <c r="AD107" s="477"/>
    </row>
    <row r="108" spans="28:30">
      <c r="AB108" s="477"/>
      <c r="AC108" s="477"/>
      <c r="AD108" s="477"/>
    </row>
    <row r="109" spans="28:30">
      <c r="AB109" s="477"/>
      <c r="AC109" s="477"/>
      <c r="AD109" s="477"/>
    </row>
    <row r="110" spans="28:30">
      <c r="AB110" s="477"/>
      <c r="AC110" s="477"/>
      <c r="AD110" s="477"/>
    </row>
    <row r="111" spans="28:30">
      <c r="AB111" s="477"/>
      <c r="AC111" s="477"/>
      <c r="AD111" s="477"/>
    </row>
    <row r="112" spans="28:30">
      <c r="AB112" s="477"/>
      <c r="AC112" s="477"/>
      <c r="AD112" s="477"/>
    </row>
    <row r="113" spans="28:30">
      <c r="AB113" s="477"/>
      <c r="AC113" s="477"/>
      <c r="AD113" s="477"/>
    </row>
    <row r="114" spans="28:30">
      <c r="AB114" s="477"/>
      <c r="AC114" s="477"/>
      <c r="AD114" s="477"/>
    </row>
    <row r="115" spans="28:30">
      <c r="AB115" s="477"/>
      <c r="AC115" s="477"/>
      <c r="AD115" s="477"/>
    </row>
    <row r="116" spans="28:30">
      <c r="AB116" s="477"/>
      <c r="AC116" s="477"/>
      <c r="AD116" s="477"/>
    </row>
    <row r="117" spans="28:30">
      <c r="AB117" s="477"/>
      <c r="AC117" s="477"/>
      <c r="AD117" s="477"/>
    </row>
    <row r="118" spans="28:30">
      <c r="AB118" s="477"/>
      <c r="AC118" s="477"/>
      <c r="AD118" s="477"/>
    </row>
    <row r="119" spans="28:30">
      <c r="AB119" s="477"/>
      <c r="AC119" s="477"/>
      <c r="AD119" s="477"/>
    </row>
    <row r="120" spans="28:30">
      <c r="AB120" s="477"/>
      <c r="AC120" s="477"/>
      <c r="AD120" s="477"/>
    </row>
    <row r="121" spans="28:30">
      <c r="AB121" s="477"/>
      <c r="AC121" s="477"/>
      <c r="AD121" s="477"/>
    </row>
    <row r="122" spans="28:30">
      <c r="AB122" s="477"/>
      <c r="AC122" s="477"/>
      <c r="AD122" s="477"/>
    </row>
    <row r="123" spans="28:30">
      <c r="AB123" s="477"/>
      <c r="AC123" s="477"/>
      <c r="AD123" s="477"/>
    </row>
    <row r="124" spans="28:30">
      <c r="AB124" s="477"/>
      <c r="AC124" s="477"/>
      <c r="AD124" s="477"/>
    </row>
    <row r="125" spans="28:30">
      <c r="AB125" s="477"/>
      <c r="AC125" s="477"/>
      <c r="AD125" s="477"/>
    </row>
    <row r="126" spans="28:30">
      <c r="AB126" s="477"/>
      <c r="AC126" s="477"/>
      <c r="AD126" s="477"/>
    </row>
    <row r="127" spans="28:30">
      <c r="AB127" s="477"/>
      <c r="AC127" s="477"/>
      <c r="AD127" s="477"/>
    </row>
    <row r="128" spans="28:30">
      <c r="AB128" s="477"/>
      <c r="AC128" s="477"/>
      <c r="AD128" s="477"/>
    </row>
    <row r="129" spans="28:30">
      <c r="AB129" s="477"/>
      <c r="AC129" s="477"/>
      <c r="AD129" s="477"/>
    </row>
    <row r="130" spans="28:30">
      <c r="AB130" s="477"/>
      <c r="AC130" s="477"/>
      <c r="AD130" s="477"/>
    </row>
    <row r="131" spans="28:30">
      <c r="AB131" s="477"/>
      <c r="AC131" s="477"/>
      <c r="AD131" s="477"/>
    </row>
    <row r="132" spans="28:30">
      <c r="AB132" s="477"/>
      <c r="AC132" s="477"/>
      <c r="AD132" s="477"/>
    </row>
    <row r="133" spans="28:30">
      <c r="AB133" s="477"/>
      <c r="AC133" s="477"/>
      <c r="AD133" s="477"/>
    </row>
    <row r="134" spans="28:30">
      <c r="AB134" s="477"/>
      <c r="AC134" s="477"/>
      <c r="AD134" s="477"/>
    </row>
    <row r="135" spans="28:30">
      <c r="AB135" s="477"/>
      <c r="AC135" s="477"/>
      <c r="AD135" s="477"/>
    </row>
    <row r="136" spans="28:30">
      <c r="AB136" s="477"/>
      <c r="AC136" s="477"/>
      <c r="AD136" s="477"/>
    </row>
    <row r="137" spans="28:30">
      <c r="AB137" s="477"/>
      <c r="AC137" s="477"/>
      <c r="AD137" s="477"/>
    </row>
    <row r="138" spans="28:30">
      <c r="AB138" s="477"/>
      <c r="AC138" s="477"/>
      <c r="AD138" s="477"/>
    </row>
    <row r="139" spans="28:30">
      <c r="AB139" s="477"/>
      <c r="AC139" s="477"/>
      <c r="AD139" s="477"/>
    </row>
    <row r="140" spans="28:30">
      <c r="AB140" s="477"/>
      <c r="AC140" s="477"/>
      <c r="AD140" s="477"/>
    </row>
    <row r="141" spans="28:30">
      <c r="AB141" s="477"/>
      <c r="AC141" s="477"/>
      <c r="AD141" s="477"/>
    </row>
    <row r="142" spans="28:30">
      <c r="AB142" s="477"/>
      <c r="AC142" s="477"/>
      <c r="AD142" s="477"/>
    </row>
    <row r="143" spans="28:30">
      <c r="AB143" s="477"/>
      <c r="AC143" s="477"/>
      <c r="AD143" s="477"/>
    </row>
    <row r="144" spans="28:30">
      <c r="AB144" s="477"/>
      <c r="AC144" s="477"/>
      <c r="AD144" s="477"/>
    </row>
    <row r="145" spans="28:30">
      <c r="AB145" s="477"/>
      <c r="AC145" s="477"/>
      <c r="AD145" s="477"/>
    </row>
    <row r="146" spans="28:30">
      <c r="AB146" s="477"/>
      <c r="AC146" s="477"/>
      <c r="AD146" s="477"/>
    </row>
    <row r="147" spans="28:30">
      <c r="AB147" s="477"/>
      <c r="AC147" s="477"/>
      <c r="AD147" s="477"/>
    </row>
    <row r="148" spans="28:30">
      <c r="AB148" s="477"/>
      <c r="AC148" s="477"/>
      <c r="AD148" s="477"/>
    </row>
    <row r="149" spans="28:30">
      <c r="AB149" s="477"/>
      <c r="AC149" s="477"/>
      <c r="AD149" s="477"/>
    </row>
    <row r="150" spans="28:30">
      <c r="AB150" s="477"/>
      <c r="AC150" s="477"/>
      <c r="AD150" s="477"/>
    </row>
    <row r="151" spans="28:30">
      <c r="AB151" s="477"/>
      <c r="AC151" s="477"/>
      <c r="AD151" s="477"/>
    </row>
    <row r="152" spans="28:30">
      <c r="AB152" s="477"/>
      <c r="AC152" s="477"/>
      <c r="AD152" s="477"/>
    </row>
    <row r="153" spans="28:30">
      <c r="AB153" s="477"/>
      <c r="AC153" s="477"/>
      <c r="AD153" s="477"/>
    </row>
    <row r="154" spans="28:30">
      <c r="AB154" s="477"/>
      <c r="AC154" s="477"/>
      <c r="AD154" s="477"/>
    </row>
    <row r="155" spans="28:30">
      <c r="AB155" s="477"/>
      <c r="AC155" s="477"/>
      <c r="AD155" s="477"/>
    </row>
    <row r="156" spans="28:30">
      <c r="AB156" s="477"/>
      <c r="AC156" s="477"/>
      <c r="AD156" s="477"/>
    </row>
    <row r="157" spans="28:30">
      <c r="AB157" s="477"/>
      <c r="AC157" s="477"/>
      <c r="AD157" s="477"/>
    </row>
    <row r="158" spans="28:30">
      <c r="AB158" s="477"/>
      <c r="AC158" s="477"/>
      <c r="AD158" s="477"/>
    </row>
    <row r="159" spans="28:30">
      <c r="AB159" s="477"/>
      <c r="AC159" s="477"/>
      <c r="AD159" s="477"/>
    </row>
    <row r="160" spans="28:30">
      <c r="AB160" s="477"/>
      <c r="AC160" s="477"/>
      <c r="AD160" s="477"/>
    </row>
    <row r="161" spans="28:30">
      <c r="AB161" s="477"/>
      <c r="AC161" s="477"/>
      <c r="AD161" s="477"/>
    </row>
    <row r="162" spans="28:30">
      <c r="AB162" s="477"/>
      <c r="AC162" s="477"/>
      <c r="AD162" s="477"/>
    </row>
    <row r="163" spans="28:30">
      <c r="AB163" s="477"/>
      <c r="AC163" s="477"/>
      <c r="AD163" s="477"/>
    </row>
    <row r="164" spans="28:30">
      <c r="AB164" s="477"/>
      <c r="AC164" s="477"/>
      <c r="AD164" s="477"/>
    </row>
    <row r="165" spans="28:30">
      <c r="AB165" s="477"/>
      <c r="AC165" s="477"/>
      <c r="AD165" s="477"/>
    </row>
    <row r="166" spans="28:30">
      <c r="AB166" s="477"/>
      <c r="AC166" s="477"/>
      <c r="AD166" s="477"/>
    </row>
    <row r="167" spans="28:30">
      <c r="AB167" s="477"/>
      <c r="AC167" s="477"/>
      <c r="AD167" s="477"/>
    </row>
    <row r="168" spans="28:30">
      <c r="AB168" s="477"/>
      <c r="AC168" s="477"/>
      <c r="AD168" s="477"/>
    </row>
    <row r="169" spans="28:30">
      <c r="AB169" s="477"/>
      <c r="AC169" s="477"/>
      <c r="AD169" s="477"/>
    </row>
    <row r="170" spans="28:30">
      <c r="AB170" s="477"/>
      <c r="AC170" s="477"/>
      <c r="AD170" s="477"/>
    </row>
    <row r="171" spans="28:30">
      <c r="AB171" s="477"/>
      <c r="AC171" s="477"/>
      <c r="AD171" s="477"/>
    </row>
    <row r="172" spans="28:30">
      <c r="AB172" s="477"/>
      <c r="AC172" s="477"/>
      <c r="AD172" s="477"/>
    </row>
    <row r="173" spans="28:30">
      <c r="AB173" s="477"/>
      <c r="AC173" s="477"/>
      <c r="AD173" s="477"/>
    </row>
    <row r="174" spans="28:30">
      <c r="AB174" s="477"/>
      <c r="AC174" s="477"/>
      <c r="AD174" s="477"/>
    </row>
    <row r="175" spans="28:30">
      <c r="AB175" s="477"/>
      <c r="AC175" s="477"/>
      <c r="AD175" s="477"/>
    </row>
    <row r="176" spans="28:30">
      <c r="AB176" s="477"/>
      <c r="AC176" s="477"/>
      <c r="AD176" s="477"/>
    </row>
    <row r="177" spans="28:30">
      <c r="AB177" s="477"/>
      <c r="AC177" s="477"/>
      <c r="AD177" s="477"/>
    </row>
    <row r="178" spans="28:30">
      <c r="AB178" s="477"/>
      <c r="AC178" s="477"/>
      <c r="AD178" s="477"/>
    </row>
    <row r="179" spans="28:30">
      <c r="AB179" s="477"/>
      <c r="AC179" s="477"/>
      <c r="AD179" s="477"/>
    </row>
    <row r="180" spans="28:30">
      <c r="AB180" s="477"/>
      <c r="AC180" s="477"/>
      <c r="AD180" s="477"/>
    </row>
    <row r="181" spans="28:30">
      <c r="AB181" s="477"/>
      <c r="AC181" s="477"/>
      <c r="AD181" s="477"/>
    </row>
    <row r="182" spans="28:30">
      <c r="AB182" s="477"/>
      <c r="AC182" s="477"/>
      <c r="AD182" s="477"/>
    </row>
    <row r="183" spans="28:30">
      <c r="AB183" s="477"/>
      <c r="AC183" s="477"/>
      <c r="AD183" s="477"/>
    </row>
    <row r="184" spans="28:30">
      <c r="AB184" s="477"/>
      <c r="AC184" s="477"/>
      <c r="AD184" s="477"/>
    </row>
    <row r="185" spans="28:30">
      <c r="AB185" s="477"/>
      <c r="AC185" s="477"/>
      <c r="AD185" s="477"/>
    </row>
    <row r="186" spans="28:30">
      <c r="AB186" s="477"/>
      <c r="AC186" s="477"/>
      <c r="AD186" s="477"/>
    </row>
    <row r="187" spans="28:30">
      <c r="AB187" s="477"/>
      <c r="AC187" s="477"/>
      <c r="AD187" s="477"/>
    </row>
    <row r="188" spans="28:30">
      <c r="AB188" s="477"/>
      <c r="AC188" s="477"/>
      <c r="AD188" s="477"/>
    </row>
    <row r="189" spans="28:30">
      <c r="AB189" s="477"/>
      <c r="AC189" s="477"/>
      <c r="AD189" s="477"/>
    </row>
    <row r="190" spans="28:30">
      <c r="AB190" s="477"/>
      <c r="AC190" s="477"/>
      <c r="AD190" s="477"/>
    </row>
    <row r="191" spans="28:30">
      <c r="AB191" s="477"/>
      <c r="AC191" s="477"/>
      <c r="AD191" s="477"/>
    </row>
    <row r="192" spans="28:30">
      <c r="AB192" s="477"/>
      <c r="AC192" s="477"/>
      <c r="AD192" s="477"/>
    </row>
    <row r="193" spans="28:30">
      <c r="AB193" s="477"/>
      <c r="AC193" s="477"/>
      <c r="AD193" s="477"/>
    </row>
    <row r="194" spans="28:30">
      <c r="AB194" s="477"/>
      <c r="AC194" s="477"/>
      <c r="AD194" s="477"/>
    </row>
    <row r="195" spans="28:30">
      <c r="AB195" s="477"/>
      <c r="AC195" s="477"/>
      <c r="AD195" s="477"/>
    </row>
    <row r="196" spans="28:30">
      <c r="AB196" s="477"/>
      <c r="AC196" s="477"/>
      <c r="AD196" s="477"/>
    </row>
    <row r="197" spans="28:30">
      <c r="AB197" s="477"/>
      <c r="AC197" s="477"/>
      <c r="AD197" s="477"/>
    </row>
    <row r="198" spans="28:30">
      <c r="AB198" s="477"/>
      <c r="AC198" s="477"/>
      <c r="AD198" s="477"/>
    </row>
    <row r="199" spans="28:30">
      <c r="AB199" s="477"/>
      <c r="AC199" s="477"/>
      <c r="AD199" s="477"/>
    </row>
    <row r="200" spans="28:30">
      <c r="AB200" s="477"/>
      <c r="AC200" s="477"/>
      <c r="AD200" s="477"/>
    </row>
    <row r="201" spans="28:30">
      <c r="AB201" s="477"/>
      <c r="AC201" s="477"/>
      <c r="AD201" s="477"/>
    </row>
    <row r="202" spans="28:30">
      <c r="AB202" s="477"/>
      <c r="AC202" s="477"/>
      <c r="AD202" s="477"/>
    </row>
    <row r="203" spans="28:30">
      <c r="AB203" s="477"/>
      <c r="AC203" s="477"/>
      <c r="AD203" s="477"/>
    </row>
    <row r="204" spans="28:30">
      <c r="AB204" s="477"/>
      <c r="AC204" s="477"/>
      <c r="AD204" s="477"/>
    </row>
    <row r="205" spans="28:30">
      <c r="AB205" s="477"/>
      <c r="AC205" s="477"/>
      <c r="AD205" s="477"/>
    </row>
    <row r="206" spans="28:30">
      <c r="AB206" s="477"/>
      <c r="AC206" s="477"/>
      <c r="AD206" s="477"/>
    </row>
    <row r="207" spans="28:30">
      <c r="AB207" s="477"/>
      <c r="AC207" s="477"/>
      <c r="AD207" s="477"/>
    </row>
    <row r="208" spans="28:30">
      <c r="AB208" s="477"/>
      <c r="AC208" s="477"/>
      <c r="AD208" s="477"/>
    </row>
  </sheetData>
  <mergeCells count="3">
    <mergeCell ref="L27:M27"/>
    <mergeCell ref="O27:P27"/>
    <mergeCell ref="J49:K4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sheetPr>
    <tabColor rgb="FFFFC000"/>
  </sheetPr>
  <dimension ref="A1:AV70"/>
  <sheetViews>
    <sheetView workbookViewId="0">
      <selection sqref="A1:I1"/>
    </sheetView>
  </sheetViews>
  <sheetFormatPr defaultColWidth="8.81640625" defaultRowHeight="14.5"/>
  <cols>
    <col min="1" max="1" width="33.453125" style="2179" customWidth="1"/>
    <col min="2" max="2" width="7.54296875" style="2179" bestFit="1" customWidth="1"/>
    <col min="3" max="3" width="7.1796875" style="2179" customWidth="1"/>
    <col min="4" max="4" width="8" style="2179" customWidth="1"/>
    <col min="5" max="5" width="11.453125" style="2179" customWidth="1"/>
    <col min="6" max="6" width="16.26953125" style="2179" customWidth="1"/>
    <col min="7" max="7" width="15.453125" style="2179" customWidth="1"/>
    <col min="8" max="8" width="15.1796875" style="2179" customWidth="1"/>
    <col min="9" max="9" width="13.26953125" style="2179" bestFit="1" customWidth="1"/>
    <col min="10" max="10" width="14.26953125" style="2179" bestFit="1" customWidth="1"/>
    <col min="11" max="11" width="13.26953125" style="2179" bestFit="1" customWidth="1"/>
    <col min="12" max="12" width="4.1796875" style="2179" customWidth="1"/>
    <col min="13" max="13" width="24.54296875" style="2179" customWidth="1"/>
    <col min="14" max="14" width="11.7265625" style="2179" customWidth="1"/>
    <col min="15" max="15" width="13.81640625" style="2179" customWidth="1"/>
    <col min="16" max="16" width="13.1796875" style="2179" customWidth="1"/>
    <col min="17" max="17" width="1.7265625" style="2129" customWidth="1"/>
    <col min="18" max="18" width="8.81640625" style="2128"/>
    <col min="19" max="19" width="21.7265625" style="2128" customWidth="1"/>
    <col min="20" max="20" width="24.453125" style="2128" customWidth="1"/>
    <col min="21" max="21" width="15.1796875" style="2128" customWidth="1"/>
    <col min="22" max="25" width="13.7265625" style="2128" customWidth="1"/>
    <col min="26" max="26" width="12.7265625" style="2128" bestFit="1" customWidth="1"/>
    <col min="27" max="27" width="12.54296875" style="2128" customWidth="1"/>
    <col min="28" max="28" width="4.453125" style="2128" customWidth="1"/>
    <col min="29" max="29" width="25.7265625" style="2128" hidden="1" customWidth="1"/>
    <col min="30" max="31" width="14" style="2128" hidden="1" customWidth="1"/>
    <col min="32" max="32" width="12.26953125" style="2128" hidden="1" customWidth="1"/>
    <col min="33" max="33" width="8" style="2128" hidden="1" customWidth="1"/>
    <col min="34" max="34" width="9.81640625" style="2128" bestFit="1" customWidth="1"/>
    <col min="35" max="37" width="8.81640625" style="2128"/>
    <col min="38" max="38" width="1.7265625" style="2129" customWidth="1"/>
    <col min="39" max="39" width="8.81640625" style="2128"/>
    <col min="40" max="40" width="24.453125" style="2668" customWidth="1"/>
    <col min="41" max="41" width="11.81640625" style="2668" customWidth="1"/>
    <col min="42" max="42" width="13.26953125" style="2668" customWidth="1"/>
    <col min="43" max="45" width="11" style="2668" bestFit="1" customWidth="1"/>
    <col min="46" max="46" width="13.54296875" style="2668" customWidth="1"/>
    <col min="47" max="47" width="8.81640625" style="2128"/>
    <col min="48" max="48" width="1.7265625" style="2129" customWidth="1"/>
    <col min="49" max="16384" width="8.81640625" style="2128"/>
  </cols>
  <sheetData>
    <row r="1" spans="1:46" ht="15.5">
      <c r="A1" s="4003" t="s">
        <v>1204</v>
      </c>
      <c r="B1" s="4003"/>
      <c r="C1" s="4003"/>
      <c r="D1" s="4003"/>
      <c r="E1" s="4003"/>
      <c r="F1" s="4003"/>
      <c r="G1" s="4003"/>
      <c r="H1" s="4003"/>
      <c r="I1" s="4003"/>
      <c r="J1" s="2824" t="s">
        <v>3436</v>
      </c>
      <c r="S1" s="2666" t="s">
        <v>2394</v>
      </c>
      <c r="T1" s="2667"/>
      <c r="U1" s="2667"/>
      <c r="V1" s="2667"/>
      <c r="W1" s="2667"/>
      <c r="X1" s="2667"/>
      <c r="AN1" s="4004" t="s">
        <v>2395</v>
      </c>
      <c r="AO1" s="4004"/>
      <c r="AP1" s="4004"/>
      <c r="AQ1" s="4004"/>
      <c r="AR1" s="4004"/>
      <c r="AS1" s="4004"/>
      <c r="AT1" s="4004"/>
    </row>
    <row r="2" spans="1:46" ht="15.5">
      <c r="A2" s="4003" t="s">
        <v>2396</v>
      </c>
      <c r="B2" s="4003"/>
      <c r="C2" s="4003"/>
      <c r="D2" s="4003"/>
      <c r="E2" s="4003"/>
      <c r="F2" s="4003"/>
      <c r="G2" s="4003"/>
      <c r="H2" s="4003"/>
      <c r="I2" s="4003"/>
      <c r="S2" s="2667" t="s">
        <v>2396</v>
      </c>
      <c r="T2" s="2667"/>
      <c r="U2" s="2667"/>
      <c r="V2" s="2667"/>
      <c r="W2" s="2667"/>
      <c r="X2" s="2667"/>
    </row>
    <row r="3" spans="1:46" ht="15.5">
      <c r="A3" s="4003" t="s">
        <v>2397</v>
      </c>
      <c r="B3" s="4003"/>
      <c r="C3" s="4003"/>
      <c r="D3" s="4003"/>
      <c r="E3" s="4003"/>
      <c r="F3" s="4003"/>
      <c r="G3" s="4003"/>
      <c r="H3" s="4003"/>
      <c r="I3" s="4003"/>
      <c r="S3" s="2667" t="s">
        <v>2398</v>
      </c>
      <c r="T3" s="2667"/>
      <c r="U3" s="2667"/>
      <c r="V3" s="2667"/>
      <c r="W3" s="2667"/>
      <c r="X3" s="2667"/>
      <c r="AN3" s="2669" t="s">
        <v>2399</v>
      </c>
      <c r="AO3" s="2670"/>
      <c r="AP3" s="2670"/>
      <c r="AQ3" s="2670"/>
      <c r="AR3" s="2670"/>
      <c r="AS3" s="2670"/>
    </row>
    <row r="4" spans="1:46">
      <c r="A4" s="2671"/>
      <c r="B4" s="2671"/>
      <c r="S4" s="2667"/>
      <c r="T4" s="2667"/>
      <c r="U4" s="2667"/>
      <c r="V4" s="2667"/>
      <c r="W4" s="2667"/>
      <c r="X4" s="2667"/>
    </row>
    <row r="5" spans="1:46">
      <c r="A5" s="2671"/>
      <c r="B5" s="2671"/>
      <c r="S5" s="2667" t="s">
        <v>2400</v>
      </c>
      <c r="T5" s="2667"/>
      <c r="U5" s="2667"/>
      <c r="V5" s="2667"/>
      <c r="W5" s="2667"/>
      <c r="X5" s="2667"/>
      <c r="AN5" s="2672"/>
      <c r="AO5" s="2673"/>
      <c r="AP5" s="4005" t="s">
        <v>1059</v>
      </c>
      <c r="AQ5" s="4006"/>
      <c r="AR5" s="4006"/>
      <c r="AS5" s="4006"/>
      <c r="AT5" s="4007"/>
    </row>
    <row r="6" spans="1:46">
      <c r="A6" s="2671"/>
      <c r="B6" s="2671"/>
      <c r="S6" s="2667"/>
      <c r="T6" s="2667"/>
      <c r="U6" s="2667"/>
      <c r="V6" s="2667"/>
      <c r="W6" s="2667"/>
      <c r="X6" s="2667"/>
      <c r="AN6" s="2674" t="s">
        <v>2277</v>
      </c>
      <c r="AO6" s="2674" t="s">
        <v>2401</v>
      </c>
      <c r="AP6" s="2675" t="s">
        <v>1742</v>
      </c>
      <c r="AQ6" s="2675" t="s">
        <v>1744</v>
      </c>
      <c r="AR6" s="2675" t="s">
        <v>1745</v>
      </c>
      <c r="AS6" s="2675" t="s">
        <v>377</v>
      </c>
      <c r="AT6" s="2676" t="s">
        <v>24</v>
      </c>
    </row>
    <row r="7" spans="1:46">
      <c r="A7" s="2671"/>
      <c r="B7" s="2671"/>
      <c r="S7" s="2677" t="s">
        <v>2402</v>
      </c>
      <c r="T7" s="2678" t="s">
        <v>2403</v>
      </c>
      <c r="U7" s="2132"/>
      <c r="V7" s="2667"/>
      <c r="W7" s="2667"/>
      <c r="X7" s="2667"/>
      <c r="AN7" s="2679" t="s">
        <v>2404</v>
      </c>
      <c r="AO7" s="2679" t="s">
        <v>2405</v>
      </c>
      <c r="AP7" s="2680">
        <v>20636155</v>
      </c>
      <c r="AQ7" s="2680">
        <v>524277</v>
      </c>
      <c r="AR7" s="2680">
        <v>39770537</v>
      </c>
      <c r="AS7" s="2680">
        <v>6999094</v>
      </c>
      <c r="AT7" s="2680">
        <f>SUM(AP7:AS7)</f>
        <v>67930063</v>
      </c>
    </row>
    <row r="8" spans="1:46" ht="29.5" thickBot="1">
      <c r="A8" s="2671"/>
      <c r="B8" s="2671"/>
      <c r="S8" s="3742" t="s">
        <v>3434</v>
      </c>
      <c r="T8" s="2667"/>
      <c r="U8" s="2667"/>
      <c r="V8" s="2681" t="s">
        <v>2406</v>
      </c>
      <c r="W8" s="2681"/>
      <c r="X8" s="2681"/>
      <c r="Y8" s="2681" t="s">
        <v>2407</v>
      </c>
      <c r="Z8" s="2681" t="s">
        <v>2407</v>
      </c>
      <c r="AN8" s="2682" t="s">
        <v>24</v>
      </c>
      <c r="AO8" s="2683"/>
      <c r="AP8" s="2684">
        <f>SUM(AP7)</f>
        <v>20636155</v>
      </c>
      <c r="AQ8" s="2684">
        <f>SUM(AQ7)</f>
        <v>524277</v>
      </c>
      <c r="AR8" s="2684">
        <f>SUM(AR7)</f>
        <v>39770537</v>
      </c>
      <c r="AS8" s="2684">
        <f>SUM(AS7)</f>
        <v>6999094</v>
      </c>
      <c r="AT8" s="2684">
        <f>SUM(AT7)</f>
        <v>67930063</v>
      </c>
    </row>
    <row r="9" spans="1:46" ht="44" thickBot="1">
      <c r="A9" s="2671"/>
      <c r="B9" s="2671"/>
      <c r="S9" s="2678" t="s">
        <v>2408</v>
      </c>
      <c r="T9" s="2678" t="s">
        <v>2409</v>
      </c>
      <c r="U9" s="2678"/>
      <c r="V9" s="2685" t="s">
        <v>1251</v>
      </c>
      <c r="W9" s="2685" t="s">
        <v>2410</v>
      </c>
      <c r="X9" s="2685" t="s">
        <v>2411</v>
      </c>
      <c r="Y9" s="2686">
        <v>2025</v>
      </c>
      <c r="Z9" s="2686">
        <v>2026</v>
      </c>
      <c r="AD9" s="2687" t="s">
        <v>2412</v>
      </c>
      <c r="AE9" s="2688" t="s">
        <v>79</v>
      </c>
      <c r="AF9" s="2689" t="s">
        <v>2413</v>
      </c>
      <c r="AG9" s="2690" t="s">
        <v>2414</v>
      </c>
      <c r="AN9" s="2691"/>
      <c r="AO9" s="2692" t="s">
        <v>772</v>
      </c>
      <c r="AP9" s="2693">
        <f>AP8/$AT$8</f>
        <v>0.30378530636722656</v>
      </c>
      <c r="AQ9" s="2694">
        <f>AQ8/$AT$8</f>
        <v>7.7178936224451909E-3</v>
      </c>
      <c r="AR9" s="2695">
        <f>AR8/$AT$8</f>
        <v>0.58546297829872462</v>
      </c>
      <c r="AS9" s="2696">
        <f>AS8/$AT$8</f>
        <v>0.10303382171160359</v>
      </c>
      <c r="AT9" s="2693">
        <f>AT8/$AT$8</f>
        <v>1</v>
      </c>
    </row>
    <row r="10" spans="1:46">
      <c r="A10" s="2671"/>
      <c r="B10" s="2671"/>
      <c r="S10" s="2667" t="s">
        <v>2415</v>
      </c>
      <c r="T10" s="2667" t="s">
        <v>2416</v>
      </c>
      <c r="U10" s="2697" t="s">
        <v>2417</v>
      </c>
      <c r="V10" s="2698">
        <v>29140259</v>
      </c>
      <c r="W10" s="2698">
        <v>0</v>
      </c>
      <c r="X10" s="2698">
        <f t="shared" ref="X10:X16" si="0">SUM(V10:W10)</f>
        <v>29140259</v>
      </c>
      <c r="Y10" s="3740">
        <v>32500000</v>
      </c>
      <c r="Z10" s="3740">
        <v>33700000</v>
      </c>
      <c r="AA10" s="2699" t="s">
        <v>2418</v>
      </c>
      <c r="AD10" s="2700" t="s">
        <v>2419</v>
      </c>
      <c r="AE10" s="2177">
        <v>6522389</v>
      </c>
      <c r="AF10" s="2701">
        <v>3672757</v>
      </c>
      <c r="AG10" s="2702">
        <v>316224</v>
      </c>
      <c r="AR10" s="2703" t="s">
        <v>2417</v>
      </c>
    </row>
    <row r="11" spans="1:46" ht="15" thickBot="1">
      <c r="S11" s="2667" t="s">
        <v>2420</v>
      </c>
      <c r="T11" s="2667" t="s">
        <v>2421</v>
      </c>
      <c r="U11" s="2697" t="s">
        <v>2417</v>
      </c>
      <c r="V11" s="2698">
        <v>6352938</v>
      </c>
      <c r="W11" s="2698">
        <v>0</v>
      </c>
      <c r="X11" s="2698">
        <f t="shared" si="0"/>
        <v>6352938</v>
      </c>
      <c r="Y11" s="3741">
        <v>4551091</v>
      </c>
      <c r="Z11" s="3741">
        <v>4590865</v>
      </c>
      <c r="AA11" s="2699" t="s">
        <v>2418</v>
      </c>
      <c r="AD11" s="2704"/>
      <c r="AE11" s="2705">
        <f>SUM(AE10:AE10)</f>
        <v>6522389</v>
      </c>
      <c r="AF11" s="2706">
        <f>SUM(AF10:AF10)</f>
        <v>3672757</v>
      </c>
      <c r="AG11" s="2707">
        <f>SUM(AG10:AG10)</f>
        <v>316224</v>
      </c>
    </row>
    <row r="12" spans="1:46">
      <c r="S12" s="2667" t="s">
        <v>2422</v>
      </c>
      <c r="T12" s="2667" t="s">
        <v>2423</v>
      </c>
      <c r="U12" s="2697" t="s">
        <v>2417</v>
      </c>
      <c r="V12" s="2698">
        <v>11849246</v>
      </c>
      <c r="W12" s="2698">
        <v>0</v>
      </c>
      <c r="X12" s="2698">
        <f t="shared" si="0"/>
        <v>11849246</v>
      </c>
      <c r="Y12" s="3741">
        <f>X12*1.105</f>
        <v>13093416.83</v>
      </c>
      <c r="Z12" s="3741">
        <f>Y12*1.03</f>
        <v>13486219.334900001</v>
      </c>
      <c r="AA12" s="2699" t="s">
        <v>2418</v>
      </c>
      <c r="AC12" s="2708" t="s">
        <v>2424</v>
      </c>
      <c r="AF12" s="2709"/>
      <c r="AH12" s="2150"/>
    </row>
    <row r="13" spans="1:46">
      <c r="S13" s="2667" t="s">
        <v>2425</v>
      </c>
      <c r="T13" s="2667" t="s">
        <v>2426</v>
      </c>
      <c r="U13" s="2697" t="s">
        <v>2417</v>
      </c>
      <c r="V13" s="2698">
        <v>2052016</v>
      </c>
      <c r="W13" s="2698">
        <v>0</v>
      </c>
      <c r="X13" s="2698">
        <f t="shared" si="0"/>
        <v>2052016</v>
      </c>
      <c r="Y13" s="3741">
        <f>X13*1.105</f>
        <v>2267477.6800000002</v>
      </c>
      <c r="Z13" s="3741">
        <f>Y13*1.03</f>
        <v>2335502.0104</v>
      </c>
      <c r="AA13" s="2699" t="s">
        <v>2418</v>
      </c>
      <c r="AC13" s="2708" t="s">
        <v>2424</v>
      </c>
      <c r="AF13" s="2709"/>
      <c r="AH13" s="2150"/>
    </row>
    <row r="14" spans="1:46">
      <c r="S14" s="2667" t="s">
        <v>2427</v>
      </c>
      <c r="T14" s="2667" t="s">
        <v>2428</v>
      </c>
      <c r="U14" s="2697" t="s">
        <v>2417</v>
      </c>
      <c r="V14" s="2698">
        <v>6965726</v>
      </c>
      <c r="W14" s="2698">
        <v>0</v>
      </c>
      <c r="X14" s="2698">
        <f t="shared" si="0"/>
        <v>6965726</v>
      </c>
      <c r="Y14" s="3741">
        <v>4194601</v>
      </c>
      <c r="Z14" s="3741">
        <v>3091170</v>
      </c>
      <c r="AA14" s="2699" t="s">
        <v>2418</v>
      </c>
      <c r="AC14" s="2708" t="s">
        <v>2424</v>
      </c>
      <c r="AF14" s="2709"/>
      <c r="AH14" s="2150"/>
    </row>
    <row r="15" spans="1:46">
      <c r="S15" s="2710" t="s">
        <v>2429</v>
      </c>
      <c r="T15" s="2667" t="s">
        <v>2430</v>
      </c>
      <c r="U15" s="2697"/>
      <c r="V15" s="2698">
        <v>11827588</v>
      </c>
      <c r="W15" s="2698">
        <v>-11827588</v>
      </c>
      <c r="X15" s="2698">
        <f t="shared" si="0"/>
        <v>0</v>
      </c>
      <c r="Y15" s="3741">
        <v>0</v>
      </c>
      <c r="Z15" s="3741">
        <v>0</v>
      </c>
      <c r="AA15" s="2699"/>
      <c r="AC15" s="2708" t="s">
        <v>2424</v>
      </c>
      <c r="AF15" s="2709"/>
      <c r="AH15" s="2150"/>
    </row>
    <row r="16" spans="1:46">
      <c r="A16" s="2711"/>
      <c r="S16" s="2710">
        <v>926253</v>
      </c>
      <c r="T16" s="2667" t="s">
        <v>2431</v>
      </c>
      <c r="U16" s="2697"/>
      <c r="V16" s="2698">
        <v>492816</v>
      </c>
      <c r="W16" s="2698">
        <v>0</v>
      </c>
      <c r="X16" s="2698">
        <f t="shared" si="0"/>
        <v>492816</v>
      </c>
      <c r="Y16" s="3741">
        <f>11827588/12</f>
        <v>985632.33333333337</v>
      </c>
      <c r="Z16" s="3741">
        <f>11827588/12</f>
        <v>985632.33333333337</v>
      </c>
      <c r="AA16" s="2712" t="s">
        <v>2432</v>
      </c>
      <c r="AC16" s="2708" t="s">
        <v>2424</v>
      </c>
      <c r="AF16" s="2709"/>
      <c r="AH16" s="2150"/>
    </row>
    <row r="17" spans="1:37">
      <c r="A17" s="2713"/>
      <c r="B17" s="2713"/>
      <c r="C17" s="2713"/>
      <c r="D17" s="2713"/>
      <c r="H17" s="4002">
        <v>2025</v>
      </c>
      <c r="I17" s="4002"/>
      <c r="J17" s="4002">
        <v>2026</v>
      </c>
      <c r="K17" s="4002"/>
      <c r="L17" s="2713"/>
      <c r="M17" s="2714" t="s">
        <v>2433</v>
      </c>
      <c r="S17" s="2677" t="s">
        <v>978</v>
      </c>
      <c r="T17" s="2677"/>
      <c r="U17" s="2677"/>
      <c r="V17" s="2715">
        <f>SUM(V10:V16)</f>
        <v>68680589</v>
      </c>
      <c r="W17" s="2715">
        <f>SUM(W10:W16)</f>
        <v>-11827588</v>
      </c>
      <c r="X17" s="2715">
        <f>SUM(X10:X16)</f>
        <v>56853001</v>
      </c>
      <c r="Y17" s="2715">
        <f>SUM(Y10:Y16)</f>
        <v>57592218.843333334</v>
      </c>
      <c r="Z17" s="2715">
        <f>SUM(Z10:Z16)</f>
        <v>58189388.678633332</v>
      </c>
      <c r="AA17" s="2716"/>
      <c r="AC17" s="2708" t="s">
        <v>2424</v>
      </c>
      <c r="AF17" s="2709"/>
      <c r="AH17" s="2150"/>
    </row>
    <row r="18" spans="1:37">
      <c r="A18" s="2713"/>
      <c r="B18" s="2717"/>
      <c r="C18" s="2717"/>
      <c r="D18" s="2671"/>
      <c r="E18" s="2718" t="s">
        <v>2434</v>
      </c>
      <c r="F18" s="2718" t="s">
        <v>2435</v>
      </c>
      <c r="G18" s="2718" t="s">
        <v>2436</v>
      </c>
      <c r="H18" s="2718" t="s">
        <v>1868</v>
      </c>
      <c r="I18" s="2718"/>
      <c r="J18" s="2718" t="s">
        <v>1868</v>
      </c>
      <c r="K18" s="2718"/>
      <c r="L18" s="2719"/>
      <c r="S18" s="2179"/>
      <c r="T18" s="2179"/>
      <c r="U18" s="2179"/>
      <c r="V18" s="2177"/>
      <c r="W18" s="2177"/>
      <c r="X18" s="2177"/>
      <c r="Y18" s="2656">
        <f>(Y17-V17)/V17</f>
        <v>-0.16144838473453782</v>
      </c>
      <c r="Z18" s="2656">
        <f>(Z17-Y17)/Y17</f>
        <v>1.0368932597031286E-2</v>
      </c>
      <c r="AA18" s="2716"/>
      <c r="AC18" s="2708" t="s">
        <v>2424</v>
      </c>
      <c r="AF18" s="2709"/>
      <c r="AH18" s="2150"/>
    </row>
    <row r="19" spans="1:37" ht="15" customHeight="1">
      <c r="A19" s="2718" t="s">
        <v>2409</v>
      </c>
      <c r="B19" s="2718" t="s">
        <v>2437</v>
      </c>
      <c r="C19" s="2718" t="s">
        <v>2408</v>
      </c>
      <c r="D19" s="2718" t="s">
        <v>2438</v>
      </c>
      <c r="E19" s="2720" t="s">
        <v>1813</v>
      </c>
      <c r="F19" s="2720" t="s">
        <v>2439</v>
      </c>
      <c r="G19" s="2720" t="s">
        <v>2440</v>
      </c>
      <c r="H19" s="2720" t="s">
        <v>2441</v>
      </c>
      <c r="I19" s="2718" t="s">
        <v>19</v>
      </c>
      <c r="J19" s="2720" t="s">
        <v>2441</v>
      </c>
      <c r="K19" s="2718" t="s">
        <v>19</v>
      </c>
      <c r="L19" s="2713"/>
      <c r="S19" s="4001" t="s">
        <v>3433</v>
      </c>
      <c r="T19" s="4001"/>
      <c r="U19" s="4001"/>
      <c r="V19" s="4001"/>
      <c r="W19" s="4001"/>
      <c r="X19" s="4001"/>
      <c r="Y19" s="4001"/>
      <c r="Z19" s="2716"/>
      <c r="AC19" s="2708" t="s">
        <v>2424</v>
      </c>
      <c r="AF19" s="2709"/>
      <c r="AH19" s="2150"/>
    </row>
    <row r="20" spans="1:37">
      <c r="A20" s="2721"/>
      <c r="B20" s="2721"/>
      <c r="C20" s="2721"/>
      <c r="D20" s="2722" t="s">
        <v>2442</v>
      </c>
      <c r="E20" s="2723"/>
      <c r="F20" s="2723"/>
      <c r="G20" s="2723"/>
      <c r="H20" s="2723"/>
      <c r="I20" s="2723"/>
      <c r="J20" s="2723"/>
      <c r="K20" s="2723"/>
      <c r="L20" s="2723"/>
      <c r="S20" s="4001"/>
      <c r="T20" s="4001"/>
      <c r="U20" s="4001"/>
      <c r="V20" s="4001"/>
      <c r="W20" s="4001"/>
      <c r="X20" s="4001"/>
      <c r="Y20" s="4001"/>
      <c r="AC20" s="2708" t="s">
        <v>2424</v>
      </c>
      <c r="AF20" s="2709"/>
      <c r="AH20" s="2150"/>
    </row>
    <row r="21" spans="1:37">
      <c r="A21" s="2721" t="s">
        <v>2443</v>
      </c>
      <c r="B21" s="2722" t="s">
        <v>2444</v>
      </c>
      <c r="C21" s="2724" t="s">
        <v>2445</v>
      </c>
      <c r="D21" s="2724"/>
      <c r="E21" s="2723">
        <f>'G-3.07,5.03 Benefits'!V10</f>
        <v>29140259</v>
      </c>
      <c r="F21" s="2723">
        <f>'G-3.07,5.03 Benefits'!W10</f>
        <v>0</v>
      </c>
      <c r="G21" s="2723">
        <f>'G-3.07,5.03 Benefits'!X10</f>
        <v>29140259</v>
      </c>
      <c r="H21" s="2723">
        <f>'G-3.07,5.03 Benefits'!Y10</f>
        <v>32500000</v>
      </c>
      <c r="I21" s="2723">
        <f>+H21-E21</f>
        <v>3359741</v>
      </c>
      <c r="J21" s="2723">
        <f>+'G-3.07,5.03 Benefits'!Z10</f>
        <v>33700000</v>
      </c>
      <c r="K21" s="2723">
        <f>+J21-H21</f>
        <v>1200000</v>
      </c>
      <c r="L21" s="2723"/>
      <c r="S21" s="4001"/>
      <c r="T21" s="4001"/>
      <c r="U21" s="4001"/>
      <c r="V21" s="4001"/>
      <c r="W21" s="4001"/>
      <c r="X21" s="4001"/>
      <c r="Y21" s="4001"/>
      <c r="Z21" s="2179"/>
      <c r="AA21" s="2179"/>
      <c r="AB21" s="2179"/>
      <c r="AC21" s="2179"/>
      <c r="AD21" s="2179"/>
      <c r="AE21" s="2179"/>
      <c r="AF21" s="2179"/>
      <c r="AG21" s="2179"/>
      <c r="AH21" s="2179"/>
      <c r="AI21" s="2179"/>
      <c r="AJ21" s="2179"/>
      <c r="AK21" s="2179"/>
    </row>
    <row r="22" spans="1:37">
      <c r="A22" s="2721" t="s">
        <v>2446</v>
      </c>
      <c r="B22" s="2722" t="s">
        <v>2444</v>
      </c>
      <c r="C22" s="2724" t="s">
        <v>2447</v>
      </c>
      <c r="D22" s="2724"/>
      <c r="E22" s="2725">
        <f>'G-3.07,5.03 Benefits'!V11</f>
        <v>6352938</v>
      </c>
      <c r="F22" s="2725">
        <f>'G-3.07,5.03 Benefits'!W11</f>
        <v>0</v>
      </c>
      <c r="G22" s="2725">
        <f>'G-3.07,5.03 Benefits'!X11</f>
        <v>6352938</v>
      </c>
      <c r="H22" s="2725">
        <f>'G-3.07,5.03 Benefits'!Y11</f>
        <v>4551091</v>
      </c>
      <c r="I22" s="2725">
        <f>+H22-E22</f>
        <v>-1801847</v>
      </c>
      <c r="J22" s="2725">
        <f>+'G-3.07,5.03 Benefits'!Z11</f>
        <v>4590865</v>
      </c>
      <c r="K22" s="2725">
        <f>+J22-H22</f>
        <v>39774</v>
      </c>
      <c r="L22" s="2723"/>
      <c r="S22" s="4001"/>
      <c r="T22" s="4001"/>
      <c r="U22" s="4001"/>
      <c r="V22" s="4001"/>
      <c r="W22" s="4001"/>
      <c r="X22" s="4001"/>
      <c r="Y22" s="4001"/>
      <c r="Z22" s="2179"/>
      <c r="AA22" s="2179"/>
      <c r="AB22" s="2179"/>
      <c r="AC22" s="2179"/>
      <c r="AD22" s="2179"/>
      <c r="AE22" s="2179"/>
      <c r="AF22" s="2179"/>
      <c r="AG22" s="2179"/>
      <c r="AH22" s="2179"/>
      <c r="AI22" s="2179"/>
      <c r="AJ22" s="2179"/>
      <c r="AK22" s="2179"/>
    </row>
    <row r="23" spans="1:37">
      <c r="A23" s="2726" t="s">
        <v>2448</v>
      </c>
      <c r="B23" s="2722"/>
      <c r="C23" s="2718"/>
      <c r="D23" s="2718"/>
      <c r="E23" s="2727">
        <f>SUM(E21:E22)</f>
        <v>35493197</v>
      </c>
      <c r="F23" s="2727">
        <f>SUM(F21:F22)</f>
        <v>0</v>
      </c>
      <c r="G23" s="2727">
        <f>SUM(G21:G22)</f>
        <v>35493197</v>
      </c>
      <c r="H23" s="2727">
        <f>SUM(H21:H22)</f>
        <v>37051091</v>
      </c>
      <c r="I23" s="2727">
        <f>+H23-E23</f>
        <v>1557894</v>
      </c>
      <c r="J23" s="2727">
        <f>SUM(J21:J22)</f>
        <v>38290865</v>
      </c>
      <c r="K23" s="2727">
        <f>+J23-H23</f>
        <v>1239774</v>
      </c>
      <c r="L23" s="2727"/>
      <c r="M23" s="2728"/>
      <c r="N23" s="2728"/>
      <c r="S23" s="4001"/>
      <c r="T23" s="4001"/>
      <c r="U23" s="4001"/>
      <c r="V23" s="4001"/>
      <c r="W23" s="4001"/>
      <c r="X23" s="4001"/>
      <c r="Y23" s="4001"/>
      <c r="Z23" s="2179"/>
      <c r="AA23" s="2179"/>
      <c r="AB23" s="2179"/>
      <c r="AC23" s="2179"/>
      <c r="AD23" s="2179"/>
      <c r="AE23" s="2179"/>
      <c r="AF23" s="2179"/>
      <c r="AG23" s="2179"/>
      <c r="AH23" s="2179"/>
      <c r="AI23" s="2179"/>
      <c r="AJ23" s="2179"/>
      <c r="AK23" s="2179"/>
    </row>
    <row r="24" spans="1:37">
      <c r="B24" s="2722"/>
      <c r="C24" s="2718"/>
      <c r="D24" s="2718"/>
      <c r="E24" s="2727"/>
      <c r="F24" s="2727"/>
      <c r="G24" s="2727"/>
      <c r="H24" s="2727"/>
      <c r="I24" s="2727"/>
      <c r="J24" s="2727"/>
      <c r="K24" s="2727"/>
      <c r="L24" s="2727"/>
      <c r="M24" s="2728"/>
      <c r="N24" s="2728"/>
      <c r="S24" s="2179"/>
      <c r="T24" s="2179"/>
      <c r="U24" s="2179"/>
      <c r="V24" s="2179"/>
      <c r="W24" s="2179"/>
      <c r="X24" s="2729"/>
      <c r="Y24" s="2177"/>
      <c r="Z24" s="2179"/>
      <c r="AA24" s="2179"/>
      <c r="AB24" s="2179"/>
      <c r="AC24" s="2179"/>
      <c r="AD24" s="2179"/>
      <c r="AE24" s="2179"/>
      <c r="AF24" s="2179"/>
      <c r="AG24" s="2179"/>
      <c r="AH24" s="2179"/>
      <c r="AI24" s="2179"/>
      <c r="AJ24" s="2179"/>
      <c r="AK24" s="2179"/>
    </row>
    <row r="25" spans="1:37">
      <c r="A25" s="2726" t="s">
        <v>2449</v>
      </c>
      <c r="B25" s="2722"/>
      <c r="D25" s="2730">
        <v>0.58550000000000002</v>
      </c>
      <c r="E25" s="2727">
        <f>+E23*D25</f>
        <v>20781266.843499999</v>
      </c>
      <c r="F25" s="2727">
        <f t="shared" ref="F25:K25" si="1">+F23*$D$25</f>
        <v>0</v>
      </c>
      <c r="G25" s="2727">
        <f t="shared" si="1"/>
        <v>20781266.843499999</v>
      </c>
      <c r="H25" s="2727">
        <f t="shared" si="1"/>
        <v>21693413.780500002</v>
      </c>
      <c r="I25" s="2727">
        <f t="shared" si="1"/>
        <v>912146.93700000003</v>
      </c>
      <c r="J25" s="2727">
        <f t="shared" si="1"/>
        <v>22419301.4575</v>
      </c>
      <c r="K25" s="2727">
        <f t="shared" si="1"/>
        <v>725887.67700000003</v>
      </c>
      <c r="L25" s="2727"/>
      <c r="M25" s="2728">
        <f>+I25</f>
        <v>912146.93700000003</v>
      </c>
      <c r="N25" s="2728">
        <f>+K25</f>
        <v>725887.67700000003</v>
      </c>
      <c r="S25" s="2482" t="s">
        <v>3425</v>
      </c>
      <c r="T25" s="3713"/>
      <c r="U25" s="3713"/>
      <c r="V25" s="3713"/>
      <c r="W25" s="3713"/>
      <c r="X25" s="3713"/>
      <c r="Y25" s="3713"/>
      <c r="Z25" s="3713"/>
      <c r="AA25" s="2179"/>
      <c r="AB25" s="2179"/>
      <c r="AC25" s="2179"/>
      <c r="AD25" s="2179"/>
      <c r="AE25" s="2179"/>
      <c r="AF25" s="2179"/>
      <c r="AG25" s="2179"/>
      <c r="AH25" s="2179"/>
      <c r="AI25" s="2179"/>
      <c r="AJ25" s="2179"/>
      <c r="AK25" s="2179"/>
    </row>
    <row r="26" spans="1:37">
      <c r="C26" s="2731"/>
      <c r="D26" s="2731"/>
      <c r="I26" s="2723"/>
      <c r="K26" s="2723"/>
      <c r="M26" s="2728"/>
      <c r="N26" s="2728"/>
      <c r="S26" s="3682" t="s">
        <v>2400</v>
      </c>
      <c r="T26" s="3682"/>
      <c r="U26" s="3682"/>
      <c r="V26" s="3682"/>
      <c r="W26" s="3682"/>
      <c r="X26" s="3682"/>
      <c r="Y26" s="477"/>
      <c r="Z26" s="477"/>
      <c r="AA26" s="2179"/>
      <c r="AB26" s="2179"/>
      <c r="AG26" s="2179"/>
      <c r="AH26" s="2179"/>
      <c r="AI26" s="2179"/>
      <c r="AJ26" s="2179"/>
      <c r="AK26" s="2179"/>
    </row>
    <row r="27" spans="1:37">
      <c r="A27" s="2721" t="s">
        <v>2423</v>
      </c>
      <c r="B27" s="2722" t="s">
        <v>2444</v>
      </c>
      <c r="C27" s="2724" t="s">
        <v>2422</v>
      </c>
      <c r="D27" s="2724"/>
      <c r="E27" s="2723">
        <f>'G-3.07,5.03 Benefits'!V12</f>
        <v>11849246</v>
      </c>
      <c r="F27" s="2723">
        <f>'G-3.07,5.03 Benefits'!W12</f>
        <v>0</v>
      </c>
      <c r="G27" s="2723">
        <f>'G-3.07,5.03 Benefits'!X12</f>
        <v>11849246</v>
      </c>
      <c r="H27" s="2723">
        <f>'G-3.07,5.03 Benefits'!Y12</f>
        <v>13093416.83</v>
      </c>
      <c r="I27" s="2723">
        <f>+H27-E27</f>
        <v>1244170.83</v>
      </c>
      <c r="J27" s="2723">
        <f>+'G-3.07,5.03 Benefits'!Z12</f>
        <v>13486219.334900001</v>
      </c>
      <c r="K27" s="2723">
        <f>+J27-H27</f>
        <v>392802.50490000099</v>
      </c>
      <c r="L27" s="2723"/>
      <c r="M27" s="2728"/>
      <c r="N27" s="2728"/>
      <c r="S27" s="3682"/>
      <c r="T27" s="3682"/>
      <c r="U27" s="3682"/>
      <c r="V27" s="3682"/>
      <c r="W27" s="3682"/>
      <c r="X27" s="3682"/>
      <c r="Y27" s="477"/>
      <c r="Z27" s="477"/>
      <c r="AA27" s="2179"/>
      <c r="AB27" s="2179"/>
      <c r="AG27" s="2179"/>
      <c r="AH27" s="2179"/>
      <c r="AI27" s="2179"/>
      <c r="AJ27" s="2179"/>
      <c r="AK27" s="2179"/>
    </row>
    <row r="28" spans="1:37">
      <c r="A28" s="2721" t="s">
        <v>2426</v>
      </c>
      <c r="B28" s="2722" t="s">
        <v>2444</v>
      </c>
      <c r="C28" s="2724" t="s">
        <v>2425</v>
      </c>
      <c r="D28" s="2724"/>
      <c r="E28" s="2723">
        <f>'G-3.07,5.03 Benefits'!V13</f>
        <v>2052016</v>
      </c>
      <c r="F28" s="2723">
        <f>'G-3.07,5.03 Benefits'!W13</f>
        <v>0</v>
      </c>
      <c r="G28" s="2723">
        <f>'G-3.07,5.03 Benefits'!X13</f>
        <v>2052016</v>
      </c>
      <c r="H28" s="2723">
        <f>'G-3.07,5.03 Benefits'!Y13</f>
        <v>2267477.6800000002</v>
      </c>
      <c r="I28" s="2723">
        <f>+H28-E28</f>
        <v>215461.68000000017</v>
      </c>
      <c r="J28" s="2723">
        <f>+'G-3.07,5.03 Benefits'!Z13</f>
        <v>2335502.0104</v>
      </c>
      <c r="K28" s="2723">
        <f>+J28-H28</f>
        <v>68024.330399999861</v>
      </c>
      <c r="L28" s="2723"/>
      <c r="M28" s="2728">
        <f>(I28+I27)*$D$32</f>
        <v>854614.83460500021</v>
      </c>
      <c r="N28" s="2728">
        <f>(K28+K27)*$D$32</f>
        <v>269814.11206815048</v>
      </c>
      <c r="P28" s="2732"/>
      <c r="S28" s="3714" t="s">
        <v>2402</v>
      </c>
      <c r="T28" s="3715" t="s">
        <v>2403</v>
      </c>
      <c r="U28" s="3668"/>
      <c r="V28" s="3682"/>
      <c r="W28" s="3682"/>
      <c r="X28" s="3682"/>
      <c r="Y28" s="477"/>
      <c r="Z28" s="477"/>
      <c r="AA28" s="2179"/>
      <c r="AB28" s="2179"/>
      <c r="AG28" s="2179"/>
      <c r="AH28" s="2179"/>
      <c r="AI28" s="2179"/>
      <c r="AJ28" s="2179"/>
      <c r="AK28" s="2179"/>
    </row>
    <row r="29" spans="1:37" ht="29">
      <c r="A29" s="2721" t="s">
        <v>2450</v>
      </c>
      <c r="B29" s="2722" t="s">
        <v>2444</v>
      </c>
      <c r="C29" s="2724" t="s">
        <v>2451</v>
      </c>
      <c r="D29" s="2724"/>
      <c r="E29" s="2725">
        <f>'G-3.07,5.03 Benefits'!V14</f>
        <v>6965726</v>
      </c>
      <c r="F29" s="2725">
        <f>'G-3.07,5.03 Benefits'!W14</f>
        <v>0</v>
      </c>
      <c r="G29" s="2725">
        <f>'G-3.07,5.03 Benefits'!X14</f>
        <v>6965726</v>
      </c>
      <c r="H29" s="2725">
        <f>Y14</f>
        <v>4194601</v>
      </c>
      <c r="I29" s="2725">
        <f>+H29-E29</f>
        <v>-2771125</v>
      </c>
      <c r="J29" s="2725">
        <f>+'G-3.07,5.03 Benefits'!Z14</f>
        <v>3091170</v>
      </c>
      <c r="K29" s="2725">
        <f>+J29-H29</f>
        <v>-1103431</v>
      </c>
      <c r="L29" s="2723"/>
      <c r="M29" s="2733">
        <f>I29*$D$32</f>
        <v>-1622493.6875</v>
      </c>
      <c r="N29" s="2733">
        <f>K29*$D$32</f>
        <v>-646058.85050000006</v>
      </c>
      <c r="S29" s="3682"/>
      <c r="T29" s="3682"/>
      <c r="U29" s="3682"/>
      <c r="V29" s="1179" t="s">
        <v>2406</v>
      </c>
      <c r="W29" s="1179"/>
      <c r="X29" s="1179"/>
      <c r="Y29" s="1179" t="s">
        <v>2407</v>
      </c>
      <c r="Z29" s="1179" t="s">
        <v>2407</v>
      </c>
      <c r="AA29" s="2179"/>
      <c r="AB29" s="2179"/>
      <c r="AG29" s="2179"/>
      <c r="AH29" s="2179"/>
      <c r="AI29" s="2179"/>
      <c r="AJ29" s="2179"/>
      <c r="AK29" s="2179"/>
    </row>
    <row r="30" spans="1:37" ht="43.5">
      <c r="A30" s="2726" t="s">
        <v>2452</v>
      </c>
      <c r="B30" s="2722"/>
      <c r="C30" s="2724"/>
      <c r="D30" s="2724"/>
      <c r="E30" s="2727">
        <f t="shared" ref="E30:K30" si="2">+SUM(E27:E29)</f>
        <v>20866988</v>
      </c>
      <c r="F30" s="2727">
        <f t="shared" si="2"/>
        <v>0</v>
      </c>
      <c r="G30" s="2727">
        <f t="shared" si="2"/>
        <v>20866988</v>
      </c>
      <c r="H30" s="2727">
        <f t="shared" si="2"/>
        <v>19555495.509999998</v>
      </c>
      <c r="I30" s="2727">
        <f t="shared" si="2"/>
        <v>-1311492.4899999998</v>
      </c>
      <c r="J30" s="2727">
        <f t="shared" si="2"/>
        <v>18912891.3453</v>
      </c>
      <c r="K30" s="2727">
        <f t="shared" si="2"/>
        <v>-642604.16469999915</v>
      </c>
      <c r="L30" s="2723"/>
      <c r="M30" s="2728">
        <f>SUM(M28:M29)</f>
        <v>-767878.85289499979</v>
      </c>
      <c r="N30" s="2728">
        <f>SUM(N28:N29)</f>
        <v>-376244.73843184958</v>
      </c>
      <c r="S30" s="3715" t="s">
        <v>2408</v>
      </c>
      <c r="T30" s="3715" t="s">
        <v>2409</v>
      </c>
      <c r="U30" s="3715"/>
      <c r="V30" s="3716" t="s">
        <v>1251</v>
      </c>
      <c r="W30" s="3716" t="s">
        <v>2410</v>
      </c>
      <c r="X30" s="3716" t="s">
        <v>2411</v>
      </c>
      <c r="Y30" s="3717">
        <v>2025</v>
      </c>
      <c r="Z30" s="3717">
        <v>2026</v>
      </c>
    </row>
    <row r="31" spans="1:37">
      <c r="A31" s="2721"/>
      <c r="B31" s="2722"/>
      <c r="C31" s="2724"/>
      <c r="D31" s="2724"/>
      <c r="E31" s="2727"/>
      <c r="F31" s="2727"/>
      <c r="G31" s="2727"/>
      <c r="H31" s="2727"/>
      <c r="I31" s="2727"/>
      <c r="J31" s="2727"/>
      <c r="K31" s="2727"/>
      <c r="L31" s="2723"/>
      <c r="M31" s="2728"/>
      <c r="N31" s="2728"/>
      <c r="S31" s="3682" t="s">
        <v>2415</v>
      </c>
      <c r="T31" s="3682" t="s">
        <v>2416</v>
      </c>
      <c r="U31" s="3718" t="s">
        <v>2417</v>
      </c>
      <c r="V31" s="3711">
        <v>29140259</v>
      </c>
      <c r="W31" s="3711">
        <v>0</v>
      </c>
      <c r="X31" s="3711">
        <f t="shared" ref="X31:X37" si="3">SUM(V31:W31)</f>
        <v>29140259</v>
      </c>
      <c r="Y31" s="3711">
        <v>29498000</v>
      </c>
      <c r="Z31" s="3711">
        <v>30689000</v>
      </c>
    </row>
    <row r="32" spans="1:37">
      <c r="A32" s="2671" t="s">
        <v>2453</v>
      </c>
      <c r="B32" s="2722"/>
      <c r="C32" s="2724"/>
      <c r="D32" s="2730">
        <f>+D25</f>
        <v>0.58550000000000002</v>
      </c>
      <c r="E32" s="2727">
        <f>+E30*D32</f>
        <v>12217621.474000001</v>
      </c>
      <c r="F32" s="2727">
        <f>+F30*D32</f>
        <v>0</v>
      </c>
      <c r="G32" s="2727">
        <f>+G30*$D$32</f>
        <v>12217621.474000001</v>
      </c>
      <c r="H32" s="2727">
        <f>+H30*$D$32</f>
        <v>11449742.621104999</v>
      </c>
      <c r="I32" s="2727">
        <f>+I30*$D$32</f>
        <v>-767878.8528949999</v>
      </c>
      <c r="J32" s="2727">
        <f>+J30*$D$32</f>
        <v>11073497.88267315</v>
      </c>
      <c r="K32" s="2727">
        <f>+K30*$D$32</f>
        <v>-376244.73843184952</v>
      </c>
      <c r="L32" s="2723"/>
      <c r="M32" s="2728"/>
      <c r="N32" s="2728"/>
      <c r="S32" s="3682" t="s">
        <v>2420</v>
      </c>
      <c r="T32" s="3682" t="s">
        <v>2421</v>
      </c>
      <c r="U32" s="3718" t="s">
        <v>2417</v>
      </c>
      <c r="V32" s="3711">
        <v>6352938</v>
      </c>
      <c r="W32" s="3711">
        <v>0</v>
      </c>
      <c r="X32" s="3711">
        <f t="shared" si="3"/>
        <v>6352938</v>
      </c>
      <c r="Y32" s="3712">
        <v>4354750</v>
      </c>
      <c r="Z32" s="3712">
        <v>4374372</v>
      </c>
    </row>
    <row r="33" spans="1:26">
      <c r="B33" s="2722"/>
      <c r="C33" s="2724"/>
      <c r="D33" s="2724"/>
      <c r="E33" s="2723"/>
      <c r="F33" s="2723"/>
      <c r="G33" s="2723"/>
      <c r="H33" s="2723"/>
      <c r="I33" s="2723"/>
      <c r="J33" s="2723"/>
      <c r="K33" s="2723"/>
      <c r="L33" s="2723"/>
      <c r="M33" s="2728"/>
      <c r="N33" s="2728"/>
      <c r="S33" s="3682" t="s">
        <v>2422</v>
      </c>
      <c r="T33" s="3682" t="s">
        <v>2423</v>
      </c>
      <c r="U33" s="3718" t="s">
        <v>2417</v>
      </c>
      <c r="V33" s="3711">
        <v>11849246</v>
      </c>
      <c r="W33" s="3711">
        <v>0</v>
      </c>
      <c r="X33" s="3711">
        <f t="shared" si="3"/>
        <v>11849246</v>
      </c>
      <c r="Y33" s="3712">
        <v>13046020</v>
      </c>
      <c r="Z33" s="3712">
        <v>13437401</v>
      </c>
    </row>
    <row r="34" spans="1:26">
      <c r="A34" s="2179" t="s">
        <v>2430</v>
      </c>
      <c r="B34" s="2722" t="s">
        <v>2444</v>
      </c>
      <c r="C34" s="2724"/>
      <c r="D34" s="2724"/>
      <c r="E34" s="2723">
        <f>+'G-3.07,5.03 Benefits'!V15</f>
        <v>11827588</v>
      </c>
      <c r="F34" s="2723">
        <f>+'G-3.07,5.03 Benefits'!W15</f>
        <v>-11827588</v>
      </c>
      <c r="G34" s="2723">
        <f>+'G-3.07,5.03 Benefits'!X15</f>
        <v>0</v>
      </c>
      <c r="H34" s="2723">
        <f>+H31*$D$32</f>
        <v>0</v>
      </c>
      <c r="I34" s="2723">
        <f>+H34-G34</f>
        <v>0</v>
      </c>
      <c r="J34" s="2723">
        <f>+'G-3.07,5.03 Benefits'!Z15</f>
        <v>0</v>
      </c>
      <c r="K34" s="2723">
        <f>+J34-H34</f>
        <v>0</v>
      </c>
      <c r="L34" s="2723"/>
      <c r="M34" s="2728"/>
      <c r="N34" s="2728"/>
      <c r="S34" s="3682" t="s">
        <v>2425</v>
      </c>
      <c r="T34" s="3682" t="s">
        <v>2426</v>
      </c>
      <c r="U34" s="3718" t="s">
        <v>2417</v>
      </c>
      <c r="V34" s="3711">
        <v>2052016</v>
      </c>
      <c r="W34" s="3711">
        <v>0</v>
      </c>
      <c r="X34" s="3711">
        <f t="shared" si="3"/>
        <v>2052016</v>
      </c>
      <c r="Y34" s="3712">
        <v>2134097</v>
      </c>
      <c r="Z34" s="3712">
        <v>2219461</v>
      </c>
    </row>
    <row r="35" spans="1:26">
      <c r="A35" s="2667" t="s">
        <v>2431</v>
      </c>
      <c r="B35" s="2722" t="s">
        <v>2444</v>
      </c>
      <c r="C35" s="2724"/>
      <c r="D35" s="2724"/>
      <c r="E35" s="2725">
        <f>'G-3.07,5.03 Benefits'!V16</f>
        <v>492816</v>
      </c>
      <c r="F35" s="2725">
        <f>'G-3.07,5.03 Benefits'!W16</f>
        <v>0</v>
      </c>
      <c r="G35" s="2725">
        <f>'G-3.07,5.03 Benefits'!X16</f>
        <v>492816</v>
      </c>
      <c r="H35" s="2725">
        <f>'G-3.07,5.03 Benefits'!Y16</f>
        <v>985632.33333333337</v>
      </c>
      <c r="I35" s="2725">
        <f>+H35-G35</f>
        <v>492816.33333333337</v>
      </c>
      <c r="J35" s="2725">
        <f>+'G-3.07,5.03 Benefits'!Z16</f>
        <v>985632.33333333337</v>
      </c>
      <c r="K35" s="2725">
        <f>+J35-H35</f>
        <v>0</v>
      </c>
      <c r="L35" s="2723"/>
      <c r="M35" s="2733">
        <f>+I35</f>
        <v>492816.33333333337</v>
      </c>
      <c r="N35" s="2733">
        <f>+K35</f>
        <v>0</v>
      </c>
      <c r="S35" s="3682" t="s">
        <v>2427</v>
      </c>
      <c r="T35" s="3682" t="s">
        <v>2428</v>
      </c>
      <c r="U35" s="3718" t="s">
        <v>2417</v>
      </c>
      <c r="V35" s="3711">
        <v>6965726</v>
      </c>
      <c r="W35" s="3711">
        <v>0</v>
      </c>
      <c r="X35" s="3711">
        <f t="shared" si="3"/>
        <v>6965726</v>
      </c>
      <c r="Y35" s="3712">
        <v>6965726</v>
      </c>
      <c r="Z35" s="3712">
        <v>6965726</v>
      </c>
    </row>
    <row r="36" spans="1:26">
      <c r="A36" s="2726" t="s">
        <v>2454</v>
      </c>
      <c r="B36" s="2722"/>
      <c r="C36" s="2724"/>
      <c r="D36" s="2724"/>
      <c r="E36" s="2727">
        <f t="shared" ref="E36:K36" si="4">SUM(E32:E35)</f>
        <v>24538025.473999999</v>
      </c>
      <c r="F36" s="2727">
        <f t="shared" si="4"/>
        <v>-11827588</v>
      </c>
      <c r="G36" s="2727">
        <f t="shared" si="4"/>
        <v>12710437.474000001</v>
      </c>
      <c r="H36" s="2727">
        <f t="shared" si="4"/>
        <v>12435374.954438332</v>
      </c>
      <c r="I36" s="2727">
        <f t="shared" si="4"/>
        <v>-275062.51956166653</v>
      </c>
      <c r="J36" s="2727">
        <f t="shared" si="4"/>
        <v>12059130.216006484</v>
      </c>
      <c r="K36" s="2727">
        <f t="shared" si="4"/>
        <v>-376244.73843184952</v>
      </c>
      <c r="L36" s="2723"/>
      <c r="M36" s="2728">
        <f>+M25+M30+M35</f>
        <v>637084.41743833362</v>
      </c>
      <c r="N36" s="2728">
        <f>+N25+N30+N35</f>
        <v>349642.93856815045</v>
      </c>
      <c r="S36" s="3719" t="s">
        <v>2429</v>
      </c>
      <c r="T36" s="3682" t="s">
        <v>2430</v>
      </c>
      <c r="U36" s="3718"/>
      <c r="V36" s="3711">
        <v>11827588</v>
      </c>
      <c r="W36" s="3711">
        <v>-11827588</v>
      </c>
      <c r="X36" s="3711">
        <f t="shared" si="3"/>
        <v>0</v>
      </c>
      <c r="Y36" s="3712">
        <v>0</v>
      </c>
      <c r="Z36" s="3712">
        <v>0</v>
      </c>
    </row>
    <row r="37" spans="1:26">
      <c r="A37" s="2726"/>
      <c r="B37" s="2726"/>
      <c r="C37" s="2726"/>
      <c r="D37" s="2726"/>
      <c r="E37" s="2727"/>
      <c r="F37" s="2727"/>
      <c r="G37" s="2727"/>
      <c r="H37" s="2727"/>
      <c r="I37" s="2723"/>
      <c r="J37" s="2727"/>
      <c r="K37" s="2723"/>
      <c r="L37" s="2727"/>
      <c r="M37" s="2728"/>
      <c r="N37" s="2728"/>
      <c r="S37" s="3719">
        <v>926253</v>
      </c>
      <c r="T37" s="3682" t="s">
        <v>2431</v>
      </c>
      <c r="U37" s="3718"/>
      <c r="V37" s="3711">
        <v>492816</v>
      </c>
      <c r="W37" s="3711">
        <v>0</v>
      </c>
      <c r="X37" s="3711">
        <f t="shared" si="3"/>
        <v>492816</v>
      </c>
      <c r="Y37" s="3712">
        <v>985632</v>
      </c>
      <c r="Z37" s="3712">
        <v>985632</v>
      </c>
    </row>
    <row r="38" spans="1:26">
      <c r="A38" s="2726"/>
      <c r="B38" s="2726"/>
      <c r="C38" s="2726" t="s">
        <v>24</v>
      </c>
      <c r="D38" s="2726"/>
      <c r="E38" s="2727">
        <f t="shared" ref="E38:K38" si="5">E36+E25</f>
        <v>45319292.317499995</v>
      </c>
      <c r="F38" s="2727">
        <f t="shared" si="5"/>
        <v>-11827588</v>
      </c>
      <c r="G38" s="2727">
        <f t="shared" si="5"/>
        <v>33491704.317500003</v>
      </c>
      <c r="H38" s="2727">
        <f t="shared" si="5"/>
        <v>34128788.734938338</v>
      </c>
      <c r="I38" s="2727">
        <f>I36+I25</f>
        <v>637084.4174383335</v>
      </c>
      <c r="J38" s="2727">
        <f t="shared" si="5"/>
        <v>34478431.673506483</v>
      </c>
      <c r="K38" s="2727">
        <f t="shared" si="5"/>
        <v>349642.93856815051</v>
      </c>
      <c r="L38" s="2727"/>
      <c r="M38" s="2734"/>
      <c r="N38" s="2734"/>
      <c r="S38" s="3714" t="s">
        <v>978</v>
      </c>
      <c r="T38" s="3714"/>
      <c r="U38" s="3714"/>
      <c r="V38" s="3720">
        <f>SUM(V31:V37)</f>
        <v>68680589</v>
      </c>
      <c r="W38" s="3720">
        <f>SUM(W31:W37)</f>
        <v>-11827588</v>
      </c>
      <c r="X38" s="3720">
        <f>SUM(X31:X37)</f>
        <v>56853001</v>
      </c>
      <c r="Y38" s="3720">
        <f>SUM(Y31:Y37)</f>
        <v>56984225</v>
      </c>
      <c r="Z38" s="3720">
        <f>SUM(Z31:Z37)</f>
        <v>58671592</v>
      </c>
    </row>
    <row r="39" spans="1:26">
      <c r="B39" s="2722"/>
      <c r="H39" s="2735"/>
      <c r="I39" s="2735"/>
      <c r="J39" s="2735"/>
      <c r="K39" s="2735"/>
      <c r="S39" s="3713"/>
      <c r="T39" s="3713"/>
      <c r="U39" s="3713"/>
      <c r="V39" s="3721"/>
      <c r="W39" s="3721"/>
      <c r="X39" s="3721"/>
      <c r="Y39" s="3710">
        <f>(Y38-V38)/V38</f>
        <v>-0.17030086914368192</v>
      </c>
      <c r="Z39" s="3710">
        <f>(Z38-Y38)/Y38</f>
        <v>2.9611124833232354E-2</v>
      </c>
    </row>
    <row r="40" spans="1:26">
      <c r="N40" s="2736"/>
      <c r="O40" s="3998" t="s">
        <v>729</v>
      </c>
      <c r="P40" s="3998"/>
    </row>
    <row r="41" spans="1:26">
      <c r="A41" s="2179" t="s">
        <v>1121</v>
      </c>
      <c r="F41" s="2737" t="s">
        <v>2455</v>
      </c>
      <c r="I41" s="2738" t="s">
        <v>517</v>
      </c>
      <c r="J41" s="2738"/>
      <c r="K41" s="2739" t="s">
        <v>519</v>
      </c>
      <c r="M41" s="2179" t="s">
        <v>2456</v>
      </c>
      <c r="O41" s="2740">
        <f>+I42</f>
        <v>2025</v>
      </c>
      <c r="P41" s="2740">
        <f>+K42</f>
        <v>2026</v>
      </c>
    </row>
    <row r="42" spans="1:26" ht="29">
      <c r="A42" s="2659" t="s">
        <v>2457</v>
      </c>
      <c r="B42" s="2741"/>
      <c r="C42" s="2661"/>
      <c r="D42" s="2661"/>
      <c r="E42" s="2661"/>
      <c r="F42" s="2737" t="s">
        <v>2458</v>
      </c>
      <c r="I42" s="2738">
        <f>+H17</f>
        <v>2025</v>
      </c>
      <c r="J42" s="2738"/>
      <c r="K42" s="2738">
        <f>+J17</f>
        <v>2026</v>
      </c>
      <c r="M42" s="2179" t="s">
        <v>2459</v>
      </c>
      <c r="N42" s="2736">
        <v>0.33</v>
      </c>
      <c r="O42" s="2742">
        <f>$I$44*N42</f>
        <v>98675.298654297454</v>
      </c>
      <c r="P42" s="2742">
        <f>$K$44*N42</f>
        <v>54154.709236657734</v>
      </c>
    </row>
    <row r="43" spans="1:26" ht="15" thickBot="1">
      <c r="A43" s="2660">
        <v>0.70111999999999997</v>
      </c>
      <c r="B43" s="2661" t="s">
        <v>2387</v>
      </c>
      <c r="C43" s="2741"/>
      <c r="D43" s="2741"/>
      <c r="M43" s="2179" t="s">
        <v>2460</v>
      </c>
      <c r="N43" s="2736">
        <v>0.23</v>
      </c>
      <c r="O43" s="2742">
        <f>$I$44*N43</f>
        <v>68773.693001480045</v>
      </c>
      <c r="P43" s="2742">
        <f>$K$44*N43</f>
        <v>37744.191286155394</v>
      </c>
    </row>
    <row r="44" spans="1:26" ht="15.5" thickTop="1" thickBot="1">
      <c r="A44" s="2662">
        <v>0.66942999999999997</v>
      </c>
      <c r="B44" s="2661" t="s">
        <v>2388</v>
      </c>
      <c r="C44" s="2741"/>
      <c r="D44" s="2741"/>
      <c r="F44" s="2743">
        <v>-5560490</v>
      </c>
      <c r="H44" s="2744"/>
      <c r="I44" s="2745">
        <f>I38*A43*A44</f>
        <v>299016.05652817409</v>
      </c>
      <c r="K44" s="2745">
        <f>K38*A43*A44</f>
        <v>164105.17950502344</v>
      </c>
      <c r="M44" s="2179" t="s">
        <v>2249</v>
      </c>
      <c r="N44" s="2736">
        <v>0.06</v>
      </c>
      <c r="O44" s="2742">
        <f>$I$44*N44</f>
        <v>17940.963391690446</v>
      </c>
      <c r="P44" s="2742">
        <f>$K$44*N44</f>
        <v>9846.3107703014066</v>
      </c>
    </row>
    <row r="45" spans="1:26" ht="15" thickTop="1">
      <c r="A45" s="2662"/>
      <c r="B45" s="2661"/>
      <c r="C45" s="2741"/>
      <c r="D45" s="2741"/>
      <c r="E45" s="3999" t="s">
        <v>2461</v>
      </c>
      <c r="F45" s="3999"/>
      <c r="G45" s="3999"/>
      <c r="H45" s="2744"/>
      <c r="I45" s="2665"/>
      <c r="K45" s="2665"/>
      <c r="M45" s="2179" t="s">
        <v>2462</v>
      </c>
      <c r="N45" s="2736">
        <v>0.01</v>
      </c>
      <c r="O45" s="2742">
        <f>$I$44*N45</f>
        <v>2990.1605652817411</v>
      </c>
      <c r="P45" s="2742">
        <f>$K$44*N45</f>
        <v>1641.0517950502344</v>
      </c>
    </row>
    <row r="46" spans="1:26">
      <c r="A46" s="2662"/>
      <c r="B46" s="2661"/>
      <c r="C46" s="2741"/>
      <c r="D46" s="2741"/>
      <c r="E46" s="3999"/>
      <c r="F46" s="3999"/>
      <c r="G46" s="3999"/>
      <c r="H46" s="2744"/>
      <c r="I46" s="2665"/>
      <c r="K46" s="2665"/>
      <c r="M46" s="2179" t="s">
        <v>2245</v>
      </c>
      <c r="N46" s="2736">
        <v>0.37</v>
      </c>
      <c r="O46" s="2742">
        <f>$I$44*N46</f>
        <v>110635.94091542441</v>
      </c>
      <c r="P46" s="2742">
        <f>$K$44*N46</f>
        <v>60718.916416858672</v>
      </c>
    </row>
    <row r="47" spans="1:26" ht="15" thickBot="1">
      <c r="A47" s="2662"/>
      <c r="B47" s="2661"/>
      <c r="C47" s="2741"/>
      <c r="D47" s="2741"/>
      <c r="H47" s="2744"/>
      <c r="I47" s="2665"/>
      <c r="K47" s="2665"/>
      <c r="N47" s="2746"/>
      <c r="O47" s="2747">
        <f>SUM(O42:O46)</f>
        <v>299016.05652817409</v>
      </c>
      <c r="P47" s="2747">
        <f>SUM(P42:P46)</f>
        <v>164105.17950502347</v>
      </c>
    </row>
    <row r="48" spans="1:26" ht="15" thickBot="1">
      <c r="A48" s="2662"/>
      <c r="B48" s="2661"/>
      <c r="C48" s="2741"/>
      <c r="D48" s="3722"/>
      <c r="E48" s="3723" t="s">
        <v>3430</v>
      </c>
      <c r="F48" s="3724">
        <v>-5560490</v>
      </c>
      <c r="G48" s="3725"/>
      <c r="H48" s="3726"/>
      <c r="I48" s="3724">
        <v>131936</v>
      </c>
      <c r="J48" s="3725"/>
      <c r="K48" s="3727">
        <v>463696</v>
      </c>
      <c r="N48" s="2746"/>
      <c r="O48" s="2177"/>
      <c r="P48" s="2177"/>
    </row>
    <row r="49" spans="1:16" ht="15.5" thickTop="1" thickBot="1">
      <c r="A49" s="2662"/>
      <c r="B49" s="2661"/>
      <c r="C49" s="2741"/>
      <c r="D49" s="3728"/>
      <c r="E49" s="3729" t="s">
        <v>3435</v>
      </c>
      <c r="F49" s="3730">
        <f>F44-F48</f>
        <v>0</v>
      </c>
      <c r="G49" s="3731"/>
      <c r="H49" s="3732"/>
      <c r="I49" s="3730">
        <f>I44-I48</f>
        <v>167080.05652817409</v>
      </c>
      <c r="J49" s="3731"/>
      <c r="K49" s="3733">
        <f>K44-K48</f>
        <v>-299590.82049497659</v>
      </c>
      <c r="N49" s="2746"/>
    </row>
    <row r="50" spans="1:16">
      <c r="A50" s="2659" t="s">
        <v>2463</v>
      </c>
      <c r="B50" s="2661"/>
      <c r="C50" s="2741"/>
      <c r="D50" s="2741"/>
      <c r="H50" s="2744"/>
      <c r="K50" s="2661"/>
      <c r="N50" s="2746"/>
      <c r="O50" s="4000" t="s">
        <v>434</v>
      </c>
      <c r="P50" s="4000"/>
    </row>
    <row r="51" spans="1:16" ht="15" thickBot="1">
      <c r="A51" s="2660">
        <v>0.20707999999999999</v>
      </c>
      <c r="B51" s="2661" t="s">
        <v>2387</v>
      </c>
      <c r="C51" s="2741"/>
      <c r="D51" s="2741"/>
      <c r="H51" s="2744"/>
      <c r="K51" s="2661"/>
      <c r="M51" s="2179" t="s">
        <v>2456</v>
      </c>
      <c r="N51" s="2746"/>
      <c r="O51" s="2740">
        <f>+O41</f>
        <v>2025</v>
      </c>
      <c r="P51" s="2740">
        <f>+P41</f>
        <v>2026</v>
      </c>
    </row>
    <row r="52" spans="1:16" ht="15.5" thickTop="1" thickBot="1">
      <c r="A52" s="2660">
        <v>0.71745999999999999</v>
      </c>
      <c r="B52" s="2661" t="s">
        <v>2388</v>
      </c>
      <c r="C52" s="2741"/>
      <c r="D52" s="2741"/>
      <c r="E52" s="2741"/>
      <c r="F52" s="2743">
        <v>-1731369</v>
      </c>
      <c r="H52" s="2744"/>
      <c r="I52" s="2745">
        <f>I38*A51*A52</f>
        <v>94652.661936899327</v>
      </c>
      <c r="J52" s="2741"/>
      <c r="K52" s="2745">
        <f>K38*A51*A52</f>
        <v>51947.016685773197</v>
      </c>
      <c r="M52" s="2179" t="s">
        <v>671</v>
      </c>
      <c r="N52" s="2736">
        <v>0.04</v>
      </c>
      <c r="O52" s="2742">
        <f t="shared" ref="O52:O57" si="6">$I$52*N52</f>
        <v>3786.106477475973</v>
      </c>
      <c r="P52" s="2742">
        <f t="shared" ref="P52:P57" si="7">$K$52*N52</f>
        <v>2077.880667430928</v>
      </c>
    </row>
    <row r="53" spans="1:16" ht="15" thickTop="1">
      <c r="E53" s="3999" t="s">
        <v>2461</v>
      </c>
      <c r="F53" s="3999"/>
      <c r="G53" s="3999"/>
      <c r="I53" s="2665"/>
      <c r="M53" s="2179" t="s">
        <v>41</v>
      </c>
      <c r="N53" s="2736">
        <v>0</v>
      </c>
      <c r="O53" s="2742">
        <f t="shared" si="6"/>
        <v>0</v>
      </c>
      <c r="P53" s="2742">
        <f t="shared" si="7"/>
        <v>0</v>
      </c>
    </row>
    <row r="54" spans="1:16">
      <c r="E54" s="3999"/>
      <c r="F54" s="3999"/>
      <c r="G54" s="3999"/>
      <c r="M54" s="2179" t="s">
        <v>45</v>
      </c>
      <c r="N54" s="2736">
        <v>0.44</v>
      </c>
      <c r="O54" s="2742">
        <f t="shared" si="6"/>
        <v>41647.171252235705</v>
      </c>
      <c r="P54" s="2742">
        <f t="shared" si="7"/>
        <v>22856.687341740206</v>
      </c>
    </row>
    <row r="55" spans="1:16" ht="15" thickBot="1">
      <c r="E55" s="2671"/>
      <c r="F55" s="2671"/>
      <c r="G55" s="2671"/>
      <c r="I55" s="2665"/>
      <c r="K55" s="2665"/>
      <c r="M55" s="2179" t="s">
        <v>2249</v>
      </c>
      <c r="N55" s="2736">
        <v>0.15</v>
      </c>
      <c r="O55" s="2742">
        <f t="shared" si="6"/>
        <v>14197.899290534899</v>
      </c>
      <c r="P55" s="2742">
        <f t="shared" si="7"/>
        <v>7792.0525028659795</v>
      </c>
    </row>
    <row r="56" spans="1:16" ht="15" thickBot="1">
      <c r="D56" s="3734"/>
      <c r="E56" s="3723" t="s">
        <v>3430</v>
      </c>
      <c r="F56" s="3724">
        <v>-1731369</v>
      </c>
      <c r="G56" s="3725"/>
      <c r="H56" s="3726"/>
      <c r="I56" s="3724">
        <v>41764</v>
      </c>
      <c r="J56" s="3735"/>
      <c r="K56" s="3727">
        <v>146782</v>
      </c>
      <c r="M56" s="2179" t="s">
        <v>2247</v>
      </c>
      <c r="N56" s="2736">
        <v>0.01</v>
      </c>
      <c r="O56" s="2742">
        <f t="shared" si="6"/>
        <v>946.52661936899324</v>
      </c>
      <c r="P56" s="2742">
        <f t="shared" si="7"/>
        <v>519.47016685773201</v>
      </c>
    </row>
    <row r="57" spans="1:16" ht="15.5" thickTop="1" thickBot="1">
      <c r="D57" s="3736"/>
      <c r="E57" s="3729" t="s">
        <v>3435</v>
      </c>
      <c r="F57" s="3730">
        <f>F52-F56</f>
        <v>0</v>
      </c>
      <c r="G57" s="3731"/>
      <c r="H57" s="3732"/>
      <c r="I57" s="3730">
        <f>I52-I56</f>
        <v>52888.661936899327</v>
      </c>
      <c r="J57" s="3731"/>
      <c r="K57" s="3733">
        <f>K52-K56</f>
        <v>-94834.983314226803</v>
      </c>
      <c r="M57" s="2179" t="s">
        <v>2245</v>
      </c>
      <c r="N57" s="2736">
        <v>0.36</v>
      </c>
      <c r="O57" s="2742">
        <f t="shared" si="6"/>
        <v>34074.95829728376</v>
      </c>
      <c r="P57" s="2742">
        <f t="shared" si="7"/>
        <v>18700.926006878351</v>
      </c>
    </row>
    <row r="58" spans="1:16">
      <c r="I58" s="2728"/>
      <c r="K58" s="2665"/>
      <c r="N58" s="2746"/>
      <c r="O58" s="2747">
        <f>SUM(O52:O57)</f>
        <v>94652.661936899327</v>
      </c>
      <c r="P58" s="2747">
        <f>SUM(P52:P57)</f>
        <v>51947.016685773197</v>
      </c>
    </row>
    <row r="59" spans="1:16">
      <c r="A59" s="2746" t="s">
        <v>2464</v>
      </c>
      <c r="B59" s="2746"/>
      <c r="I59" s="2728"/>
      <c r="J59" s="2741"/>
      <c r="K59" s="2665"/>
    </row>
    <row r="60" spans="1:16">
      <c r="A60" s="2746" t="s">
        <v>2089</v>
      </c>
      <c r="B60" s="2748">
        <f>+D25*A43*A44</f>
        <v>0.2748048709168</v>
      </c>
      <c r="C60" s="2749">
        <f>1-'G-3.07,5.03 Benefits'!AQ9</f>
        <v>0.99228210637755476</v>
      </c>
      <c r="D60" s="2749"/>
      <c r="I60" s="2744"/>
    </row>
    <row r="61" spans="1:16">
      <c r="A61" s="2746" t="s">
        <v>68</v>
      </c>
      <c r="B61" s="2748">
        <f>+D25*A51*A52</f>
        <v>8.6988681636399987E-2</v>
      </c>
      <c r="I61" s="2665"/>
      <c r="K61" s="2665"/>
    </row>
    <row r="62" spans="1:16">
      <c r="I62" s="2665"/>
      <c r="K62" s="2665"/>
    </row>
    <row r="63" spans="1:16">
      <c r="I63" s="2665"/>
      <c r="K63" s="2665"/>
    </row>
    <row r="64" spans="1:16">
      <c r="I64" s="2665"/>
      <c r="K64" s="2665"/>
    </row>
    <row r="65" spans="9:11">
      <c r="I65" s="2665"/>
      <c r="K65" s="2665"/>
    </row>
    <row r="66" spans="9:11">
      <c r="I66" s="2665"/>
      <c r="K66" s="2665"/>
    </row>
    <row r="67" spans="9:11">
      <c r="K67" s="2661"/>
    </row>
    <row r="68" spans="9:11">
      <c r="K68" s="2661"/>
    </row>
    <row r="69" spans="9:11">
      <c r="I69" s="2665"/>
      <c r="K69" s="2665"/>
    </row>
    <row r="70" spans="9:11">
      <c r="I70" s="2665"/>
      <c r="K70" s="2665"/>
    </row>
  </sheetData>
  <mergeCells count="12">
    <mergeCell ref="H17:I17"/>
    <mergeCell ref="J17:K17"/>
    <mergeCell ref="A1:I1"/>
    <mergeCell ref="AN1:AT1"/>
    <mergeCell ref="A2:I2"/>
    <mergeCell ref="A3:I3"/>
    <mergeCell ref="AP5:AT5"/>
    <mergeCell ref="O40:P40"/>
    <mergeCell ref="E45:G46"/>
    <mergeCell ref="O50:P50"/>
    <mergeCell ref="E53:G54"/>
    <mergeCell ref="S19:Y2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1640625" defaultRowHeight="14.5"/>
  <cols>
    <col min="1" max="1" width="30.1796875" style="2710" customWidth="1"/>
    <col min="2" max="2" width="13.26953125" style="2750" bestFit="1" customWidth="1"/>
    <col min="3" max="3" width="13.54296875" style="2125" customWidth="1"/>
    <col min="4" max="4" width="12.54296875" style="2710" customWidth="1"/>
    <col min="5" max="5" width="13.26953125" style="2750" bestFit="1" customWidth="1"/>
    <col min="6" max="6" width="14.26953125" style="2750" customWidth="1"/>
    <col min="7" max="7" width="14.54296875" style="2750" bestFit="1" customWidth="1"/>
    <col min="8" max="8" width="5.1796875" style="2750" customWidth="1"/>
    <col min="9" max="9" width="19.1796875" style="2667" customWidth="1"/>
    <col min="10" max="10" width="15.26953125" style="2667" bestFit="1" customWidth="1"/>
    <col min="11" max="11" width="15.26953125" style="2667" customWidth="1"/>
    <col min="12" max="12" width="4.81640625" style="2667" customWidth="1"/>
    <col min="13" max="13" width="1.7265625" style="2129" customWidth="1"/>
    <col min="14" max="14" width="8.81640625" style="2128"/>
    <col min="15" max="15" width="29" style="2444" bestFit="1" customWidth="1"/>
    <col min="16" max="16" width="0.81640625" style="2444" customWidth="1"/>
    <col min="17" max="17" width="14.54296875" style="2444" bestFit="1" customWidth="1"/>
    <col min="18" max="19" width="16.54296875" style="2444" customWidth="1"/>
    <col min="20" max="16384" width="8.81640625" style="2128"/>
  </cols>
  <sheetData>
    <row r="1" spans="1:19" ht="18.5">
      <c r="A1" s="2123" t="s">
        <v>1734</v>
      </c>
      <c r="O1" s="2751" t="s">
        <v>2465</v>
      </c>
      <c r="Q1" s="2752"/>
    </row>
    <row r="2" spans="1:19">
      <c r="A2" s="2123" t="s">
        <v>1737</v>
      </c>
      <c r="P2" s="2753"/>
      <c r="Q2" s="2754" t="s">
        <v>517</v>
      </c>
      <c r="R2" s="2444" t="s">
        <v>2466</v>
      </c>
    </row>
    <row r="3" spans="1:19">
      <c r="A3" s="2123"/>
      <c r="I3" s="2132" t="s">
        <v>2467</v>
      </c>
      <c r="J3" s="2132" t="s">
        <v>517</v>
      </c>
      <c r="O3" s="2443" t="s">
        <v>2468</v>
      </c>
      <c r="P3" s="2755"/>
    </row>
    <row r="4" spans="1:19">
      <c r="A4" s="2131" t="s">
        <v>1739</v>
      </c>
      <c r="B4" s="2667"/>
      <c r="C4" s="2667"/>
      <c r="D4" s="2667"/>
      <c r="E4" s="2667"/>
      <c r="F4" s="2132"/>
      <c r="G4" s="2132" t="s">
        <v>1740</v>
      </c>
      <c r="H4" s="2667"/>
      <c r="I4" s="2132" t="s">
        <v>2469</v>
      </c>
      <c r="J4" s="2132" t="s">
        <v>394</v>
      </c>
      <c r="K4" s="2667" t="s">
        <v>2470</v>
      </c>
      <c r="O4" s="2756" t="s">
        <v>2471</v>
      </c>
      <c r="P4" s="2757"/>
      <c r="Q4" s="2758">
        <v>8010545.039535284</v>
      </c>
      <c r="R4" s="2758">
        <v>-1094293</v>
      </c>
      <c r="S4" s="2456">
        <f>Q4+R4</f>
        <v>6916252.039535284</v>
      </c>
    </row>
    <row r="5" spans="1:19" ht="29">
      <c r="A5" s="2134" t="s">
        <v>1736</v>
      </c>
      <c r="B5" s="2134">
        <v>2017</v>
      </c>
      <c r="C5" s="2134">
        <v>2018</v>
      </c>
      <c r="D5" s="2134">
        <v>2019</v>
      </c>
      <c r="E5" s="2134">
        <v>2020</v>
      </c>
      <c r="F5" s="2134">
        <v>2021</v>
      </c>
      <c r="G5" s="2134">
        <v>2022</v>
      </c>
      <c r="H5" s="2759"/>
      <c r="I5" s="2136" t="s">
        <v>1746</v>
      </c>
      <c r="J5" s="2136" t="s">
        <v>2472</v>
      </c>
      <c r="K5" s="2136" t="s">
        <v>1748</v>
      </c>
      <c r="L5" s="2760"/>
      <c r="O5" s="2756" t="s">
        <v>2473</v>
      </c>
      <c r="P5" s="2757"/>
      <c r="Q5" s="2758">
        <v>1836568.6642125</v>
      </c>
      <c r="S5" s="2761">
        <f>Q5+R5</f>
        <v>1836568.6642125</v>
      </c>
    </row>
    <row r="6" spans="1:19">
      <c r="A6" s="2762" t="s">
        <v>1749</v>
      </c>
      <c r="B6" s="2763">
        <v>8907284.0899999999</v>
      </c>
      <c r="C6" s="2763">
        <v>8939222</v>
      </c>
      <c r="D6" s="2763">
        <v>9560785</v>
      </c>
      <c r="E6" s="2763">
        <v>11027927</v>
      </c>
      <c r="F6" s="2764">
        <v>11636327</v>
      </c>
      <c r="G6" s="2764">
        <v>11677040</v>
      </c>
      <c r="H6" s="2667"/>
      <c r="I6" s="2765"/>
      <c r="J6" s="2762"/>
      <c r="K6" s="2762"/>
      <c r="O6" s="2461" t="s">
        <v>2468</v>
      </c>
      <c r="P6" s="2766"/>
      <c r="Q6" s="2767">
        <f>SUM(Q4:Q5)</f>
        <v>9847113.7037477847</v>
      </c>
      <c r="S6" s="2767">
        <f>SUM(S4:S5)</f>
        <v>8752820.7037477847</v>
      </c>
    </row>
    <row r="7" spans="1:19">
      <c r="A7" s="2762"/>
      <c r="B7" s="2763"/>
      <c r="C7" s="2763"/>
      <c r="D7" s="2763"/>
      <c r="E7" s="2763"/>
      <c r="F7" s="2763"/>
      <c r="G7" s="2763"/>
      <c r="H7" s="2667"/>
      <c r="I7" s="2762"/>
      <c r="J7" s="2762"/>
      <c r="K7" s="2762"/>
      <c r="P7" s="2755"/>
    </row>
    <row r="8" spans="1:19">
      <c r="A8" s="2762" t="s">
        <v>128</v>
      </c>
      <c r="B8" s="2763">
        <v>3024645.6942000003</v>
      </c>
      <c r="C8" s="2763">
        <v>2763400.8181698681</v>
      </c>
      <c r="D8" s="2763">
        <v>1915430.404649351</v>
      </c>
      <c r="E8" s="2763">
        <v>1301158.3403929451</v>
      </c>
      <c r="F8" s="2763">
        <v>4674952.357970004</v>
      </c>
      <c r="G8" s="2763">
        <v>797795.87000000034</v>
      </c>
      <c r="H8" s="2768">
        <f>G8/$G$12</f>
        <v>9.9802450921696831E-2</v>
      </c>
      <c r="I8" s="2765"/>
      <c r="J8" s="2765"/>
      <c r="K8" s="2765"/>
    </row>
    <row r="9" spans="1:19" ht="15" thickBot="1">
      <c r="A9" s="2762" t="s">
        <v>938</v>
      </c>
      <c r="B9" s="2763">
        <v>232665.0534</v>
      </c>
      <c r="C9" s="2763">
        <v>227418.58825925156</v>
      </c>
      <c r="D9" s="2763">
        <v>157633.47671826064</v>
      </c>
      <c r="E9" s="2763">
        <v>107080.95290710905</v>
      </c>
      <c r="F9" s="2763">
        <v>44962.698830913003</v>
      </c>
      <c r="G9" s="2763">
        <v>3228217</v>
      </c>
      <c r="H9" s="2768">
        <f>G9/$G$12</f>
        <v>0.40384261290684198</v>
      </c>
      <c r="I9" s="2765"/>
      <c r="J9" s="2765"/>
      <c r="K9" s="2765"/>
      <c r="O9" s="2769"/>
      <c r="P9" s="2769"/>
      <c r="Q9" s="2770"/>
      <c r="R9" s="2769"/>
      <c r="S9" s="2769"/>
    </row>
    <row r="10" spans="1:19">
      <c r="A10" s="2762" t="s">
        <v>933</v>
      </c>
      <c r="B10" s="2763">
        <v>6747286.5485999994</v>
      </c>
      <c r="C10" s="2763">
        <v>6703033.547677394</v>
      </c>
      <c r="D10" s="2763">
        <v>4646157.0743504977</v>
      </c>
      <c r="E10" s="2763">
        <v>3156150.1860849573</v>
      </c>
      <c r="F10" s="2763">
        <v>7980128.549638628</v>
      </c>
      <c r="G10" s="2763">
        <v>3109772</v>
      </c>
      <c r="H10" s="2768">
        <f>G10/$G$12</f>
        <v>0.38902541248761652</v>
      </c>
      <c r="I10" s="2765">
        <f>AVERAGE(B10:G10)</f>
        <v>5390421.3177252458</v>
      </c>
      <c r="J10" s="2765">
        <f>'G-3.08 PF Incentives'!S4</f>
        <v>6916252.039535284</v>
      </c>
      <c r="K10" s="2765">
        <f>J10-I10</f>
        <v>1525830.7218100382</v>
      </c>
      <c r="L10" s="2771"/>
    </row>
    <row r="11" spans="1:19" ht="16">
      <c r="A11" s="2762" t="s">
        <v>471</v>
      </c>
      <c r="B11" s="2151">
        <v>1628655.3738000002</v>
      </c>
      <c r="C11" s="2151">
        <v>1636727.1251204626</v>
      </c>
      <c r="D11" s="2151">
        <v>1134485.0442818908</v>
      </c>
      <c r="E11" s="2151">
        <v>770659.52061498829</v>
      </c>
      <c r="F11" s="2151">
        <v>568140.39356045367</v>
      </c>
      <c r="G11" s="2151">
        <v>857965.4099999998</v>
      </c>
      <c r="H11" s="2768">
        <f>G11/$G$12</f>
        <v>0.10732952368384464</v>
      </c>
      <c r="I11" s="2765"/>
      <c r="J11" s="2765"/>
      <c r="K11" s="2152"/>
    </row>
    <row r="12" spans="1:19">
      <c r="A12" s="2153" t="s">
        <v>1740</v>
      </c>
      <c r="B12" s="2154">
        <f t="shared" ref="B12:G12" si="0">SUM(B8:B11)</f>
        <v>11633252.67</v>
      </c>
      <c r="C12" s="2154">
        <f t="shared" si="0"/>
        <v>11330580.079226976</v>
      </c>
      <c r="D12" s="2154">
        <f t="shared" si="0"/>
        <v>7853706</v>
      </c>
      <c r="E12" s="2154">
        <f t="shared" si="0"/>
        <v>5335048.9999999991</v>
      </c>
      <c r="F12" s="2154">
        <f t="shared" si="0"/>
        <v>13268184</v>
      </c>
      <c r="G12" s="2154">
        <f t="shared" si="0"/>
        <v>7993750.2800000003</v>
      </c>
      <c r="H12" s="2667"/>
      <c r="I12" s="2765">
        <f>SUM(I8:I11)</f>
        <v>5390421.3177252458</v>
      </c>
      <c r="J12" s="2765">
        <f>SUM(J8:J11)</f>
        <v>6916252.039535284</v>
      </c>
      <c r="K12" s="2765">
        <f>SUM(K8:K11)</f>
        <v>1525830.7218100382</v>
      </c>
      <c r="L12" s="2771"/>
    </row>
    <row r="13" spans="1:19">
      <c r="A13" s="2762"/>
      <c r="B13" s="2762"/>
      <c r="C13" s="2762"/>
      <c r="D13" s="2762"/>
      <c r="E13" s="2762"/>
      <c r="F13" s="2762"/>
      <c r="G13" s="2762"/>
      <c r="H13" s="2667"/>
      <c r="I13" s="2762"/>
      <c r="J13" s="2762"/>
      <c r="K13" s="2762"/>
    </row>
    <row r="14" spans="1:19" ht="29">
      <c r="A14" s="2155" t="s">
        <v>1759</v>
      </c>
      <c r="B14" s="2155">
        <f t="shared" ref="B14:G14" si="1">+B5</f>
        <v>2017</v>
      </c>
      <c r="C14" s="2155">
        <f t="shared" si="1"/>
        <v>2018</v>
      </c>
      <c r="D14" s="2155">
        <f t="shared" si="1"/>
        <v>2019</v>
      </c>
      <c r="E14" s="2155">
        <f t="shared" si="1"/>
        <v>2020</v>
      </c>
      <c r="F14" s="2155">
        <f t="shared" si="1"/>
        <v>2021</v>
      </c>
      <c r="G14" s="2155">
        <f t="shared" si="1"/>
        <v>2022</v>
      </c>
      <c r="H14" s="2667"/>
      <c r="I14" s="2156" t="s">
        <v>1746</v>
      </c>
      <c r="J14" s="2136" t="str">
        <f>+J5</f>
        <v>Rate Year 1 Expense</v>
      </c>
      <c r="K14" s="2136" t="s">
        <v>1748</v>
      </c>
      <c r="L14" s="2132"/>
    </row>
    <row r="15" spans="1:19">
      <c r="A15" s="2762" t="s">
        <v>1749</v>
      </c>
      <c r="B15" s="2763">
        <v>2645970</v>
      </c>
      <c r="C15" s="2763">
        <v>2786099</v>
      </c>
      <c r="D15" s="2763">
        <v>2981115</v>
      </c>
      <c r="E15" s="2763">
        <v>2486258</v>
      </c>
      <c r="F15" s="2764">
        <v>2461365</v>
      </c>
      <c r="G15" s="2764">
        <v>2461365</v>
      </c>
      <c r="H15" s="2667"/>
      <c r="I15" s="2765"/>
      <c r="J15" s="2762"/>
      <c r="K15" s="2762"/>
    </row>
    <row r="16" spans="1:19">
      <c r="A16" s="2762"/>
      <c r="B16" s="2763"/>
      <c r="C16" s="2763"/>
      <c r="D16" s="2763"/>
      <c r="E16" s="2763"/>
      <c r="F16" s="2763"/>
      <c r="G16" s="2763"/>
      <c r="H16" s="2667"/>
      <c r="I16" s="2765"/>
      <c r="J16" s="2762"/>
      <c r="K16" s="2762"/>
    </row>
    <row r="17" spans="1:12">
      <c r="A17" s="2762" t="s">
        <v>933</v>
      </c>
      <c r="B17" s="2763">
        <v>1298642</v>
      </c>
      <c r="C17" s="2763">
        <v>1246174</v>
      </c>
      <c r="D17" s="2763">
        <v>979535</v>
      </c>
      <c r="E17" s="2763">
        <v>497252</v>
      </c>
      <c r="F17" s="2763">
        <v>695450</v>
      </c>
      <c r="G17" s="2763">
        <v>581270.01000000013</v>
      </c>
      <c r="H17" s="2667"/>
      <c r="I17" s="2765">
        <f>AVERAGE(B17:G17)</f>
        <v>883053.83499999996</v>
      </c>
      <c r="J17" s="2765">
        <f>'G-3.08 PF Incentives'!Q5</f>
        <v>1836568.6642125</v>
      </c>
      <c r="K17" s="2765">
        <f>J17-I17</f>
        <v>953514.82921250002</v>
      </c>
      <c r="L17" s="2771"/>
    </row>
    <row r="18" spans="1:12" ht="16">
      <c r="A18" s="2762" t="s">
        <v>938</v>
      </c>
      <c r="B18" s="2151">
        <v>1111307</v>
      </c>
      <c r="C18" s="2151">
        <v>1539925</v>
      </c>
      <c r="D18" s="2151">
        <v>2861870</v>
      </c>
      <c r="E18" s="2151">
        <v>124312</v>
      </c>
      <c r="F18" s="2151">
        <v>2042921</v>
      </c>
      <c r="G18" s="2151">
        <v>2717437.26</v>
      </c>
      <c r="H18" s="2667"/>
      <c r="I18" s="2152"/>
      <c r="J18" s="2152"/>
      <c r="K18" s="2152"/>
    </row>
    <row r="19" spans="1:12">
      <c r="A19" s="2153" t="s">
        <v>1740</v>
      </c>
      <c r="B19" s="2154">
        <f t="shared" ref="B19:G19" si="2">SUM(B17:B18)</f>
        <v>2409949</v>
      </c>
      <c r="C19" s="2154">
        <f t="shared" si="2"/>
        <v>2786099</v>
      </c>
      <c r="D19" s="2154">
        <f t="shared" si="2"/>
        <v>3841405</v>
      </c>
      <c r="E19" s="2154">
        <f t="shared" si="2"/>
        <v>621564</v>
      </c>
      <c r="F19" s="2154">
        <f t="shared" si="2"/>
        <v>2738371</v>
      </c>
      <c r="G19" s="2154">
        <f t="shared" si="2"/>
        <v>3298707.27</v>
      </c>
      <c r="H19" s="2667"/>
      <c r="I19" s="2765">
        <f>SUM(I17:I18)</f>
        <v>883053.83499999996</v>
      </c>
      <c r="J19" s="2765">
        <f>SUM(J17:J18)</f>
        <v>1836568.6642125</v>
      </c>
      <c r="K19" s="2765">
        <f>SUM(K17:K18)</f>
        <v>953514.82921250002</v>
      </c>
    </row>
    <row r="20" spans="1:12">
      <c r="A20" s="2765"/>
      <c r="B20" s="2762"/>
      <c r="C20" s="2762"/>
      <c r="D20" s="2762"/>
      <c r="E20" s="2762"/>
      <c r="F20" s="2762"/>
      <c r="G20" s="2762"/>
      <c r="H20" s="2667"/>
      <c r="I20" s="2762"/>
      <c r="J20" s="2762"/>
      <c r="K20" s="2762"/>
    </row>
    <row r="21" spans="1:12">
      <c r="A21" s="2772" t="s">
        <v>24</v>
      </c>
      <c r="B21" s="2155">
        <f t="shared" ref="B21:G21" si="3">+B14</f>
        <v>2017</v>
      </c>
      <c r="C21" s="2155">
        <f t="shared" si="3"/>
        <v>2018</v>
      </c>
      <c r="D21" s="2155">
        <f t="shared" si="3"/>
        <v>2019</v>
      </c>
      <c r="E21" s="2155">
        <f t="shared" si="3"/>
        <v>2020</v>
      </c>
      <c r="F21" s="2155">
        <f t="shared" si="3"/>
        <v>2021</v>
      </c>
      <c r="G21" s="2155">
        <f t="shared" si="3"/>
        <v>2022</v>
      </c>
      <c r="H21" s="2667"/>
      <c r="I21" s="3961" t="s">
        <v>1760</v>
      </c>
      <c r="J21" s="3962"/>
      <c r="K21" s="2158">
        <f>K12+K19</f>
        <v>2479345.551022538</v>
      </c>
    </row>
    <row r="22" spans="1:12">
      <c r="A22" s="2762" t="s">
        <v>1761</v>
      </c>
      <c r="B22" s="2765">
        <f t="shared" ref="B22:G22" si="4">B6+B15</f>
        <v>11553254.09</v>
      </c>
      <c r="C22" s="2765">
        <f t="shared" si="4"/>
        <v>11725321</v>
      </c>
      <c r="D22" s="2765">
        <f t="shared" si="4"/>
        <v>12541900</v>
      </c>
      <c r="E22" s="2765">
        <f t="shared" si="4"/>
        <v>13514185</v>
      </c>
      <c r="F22" s="2765">
        <f t="shared" si="4"/>
        <v>14097692</v>
      </c>
      <c r="G22" s="2765">
        <f t="shared" si="4"/>
        <v>14138405</v>
      </c>
      <c r="H22" s="2667"/>
      <c r="I22" s="2762"/>
      <c r="J22" s="2762"/>
      <c r="K22" s="2762"/>
    </row>
    <row r="23" spans="1:12" ht="15" thickBot="1">
      <c r="A23" s="2773" t="s">
        <v>1762</v>
      </c>
      <c r="B23" s="2774">
        <f t="shared" ref="B23:G23" si="5">B12+B19</f>
        <v>14043201.67</v>
      </c>
      <c r="C23" s="2774">
        <f t="shared" si="5"/>
        <v>14116679.079226976</v>
      </c>
      <c r="D23" s="2774">
        <f t="shared" si="5"/>
        <v>11695111</v>
      </c>
      <c r="E23" s="2774">
        <f t="shared" si="5"/>
        <v>5956612.9999999991</v>
      </c>
      <c r="F23" s="2774">
        <f t="shared" si="5"/>
        <v>16006555</v>
      </c>
      <c r="G23" s="2774">
        <f t="shared" si="5"/>
        <v>11292457.550000001</v>
      </c>
      <c r="H23" s="2667"/>
      <c r="I23" s="2161" t="s">
        <v>538</v>
      </c>
      <c r="J23" s="2162">
        <v>0.70111999999999997</v>
      </c>
      <c r="K23" s="2163"/>
    </row>
    <row r="24" spans="1:12" ht="15.5" thickTop="1" thickBot="1">
      <c r="A24" s="2773"/>
      <c r="B24" s="2763"/>
      <c r="C24" s="2164"/>
      <c r="D24" s="2773"/>
      <c r="E24" s="2763"/>
      <c r="F24" s="2763"/>
      <c r="G24" s="2763"/>
      <c r="H24" s="2667"/>
      <c r="I24" s="2165" t="s">
        <v>1764</v>
      </c>
      <c r="J24" s="2166">
        <v>0.66942999999999997</v>
      </c>
      <c r="K24" s="2167">
        <f>K21*J23*J24</f>
        <v>1163682.7226419998</v>
      </c>
      <c r="L24" s="2177"/>
    </row>
    <row r="25" spans="1:12" ht="15" thickTop="1">
      <c r="B25" s="2775"/>
      <c r="C25" s="2172"/>
      <c r="E25" s="2775"/>
      <c r="F25" s="2775"/>
      <c r="G25" s="2775"/>
      <c r="H25" s="2667"/>
      <c r="I25" s="2165"/>
      <c r="J25" s="2162"/>
      <c r="K25" s="2173"/>
      <c r="L25" s="2177"/>
    </row>
    <row r="26" spans="1:12" ht="15" thickBot="1">
      <c r="A26" s="2125"/>
      <c r="B26" s="2775"/>
      <c r="C26" s="2172"/>
      <c r="E26" s="2775"/>
      <c r="F26" s="2775"/>
      <c r="G26" s="2775"/>
      <c r="H26" s="2667"/>
      <c r="I26" s="2165" t="s">
        <v>1104</v>
      </c>
      <c r="J26" s="2162">
        <v>0.20707999999999999</v>
      </c>
      <c r="K26" s="2163"/>
      <c r="L26" s="2177"/>
    </row>
    <row r="27" spans="1:12" ht="15.5" thickTop="1" thickBot="1">
      <c r="A27" s="2125"/>
      <c r="B27" s="2775"/>
      <c r="C27" s="2172"/>
      <c r="E27" s="2775"/>
      <c r="F27" s="2775"/>
      <c r="G27" s="2775"/>
      <c r="H27" s="2667"/>
      <c r="I27" s="2165" t="s">
        <v>1764</v>
      </c>
      <c r="J27" s="2166">
        <v>0.71745999999999999</v>
      </c>
      <c r="K27" s="2167">
        <f>K21*J26*J27</f>
        <v>368360.37712130533</v>
      </c>
      <c r="L27" s="2177"/>
    </row>
    <row r="28" spans="1:12" ht="15" thickTop="1">
      <c r="A28" s="2710" t="s">
        <v>1766</v>
      </c>
      <c r="B28" s="2775"/>
      <c r="C28" s="2172"/>
      <c r="E28" s="2775"/>
      <c r="F28" s="2775"/>
      <c r="G28" s="2775"/>
      <c r="H28" s="2667"/>
      <c r="I28" s="2175"/>
      <c r="J28" s="2176"/>
      <c r="K28" s="2177"/>
      <c r="L28" s="2177"/>
    </row>
    <row r="29" spans="1:12">
      <c r="A29" s="2710" t="s">
        <v>1767</v>
      </c>
      <c r="B29" s="2775"/>
      <c r="C29" s="2172"/>
      <c r="E29" s="2775"/>
      <c r="F29" s="2775"/>
      <c r="G29" s="2775"/>
      <c r="H29" s="2667"/>
      <c r="I29" s="2178"/>
      <c r="J29" s="2179"/>
      <c r="K29" s="2179"/>
      <c r="L29" s="2177"/>
    </row>
    <row r="30" spans="1:12">
      <c r="A30" s="2710" t="s">
        <v>1768</v>
      </c>
      <c r="H30" s="2667"/>
      <c r="I30" s="2178"/>
      <c r="J30" s="2179"/>
      <c r="K30" s="2179"/>
      <c r="L30" s="2179"/>
    </row>
    <row r="31" spans="1:12">
      <c r="I31" s="2178"/>
      <c r="J31" s="2179"/>
      <c r="K31" s="2179"/>
      <c r="L31" s="2179"/>
    </row>
    <row r="32" spans="1:12">
      <c r="I32" s="2776" t="s">
        <v>155</v>
      </c>
      <c r="J32" s="2777" t="s">
        <v>14</v>
      </c>
      <c r="K32" s="2179"/>
      <c r="L32" s="2179"/>
    </row>
    <row r="33" spans="7:12">
      <c r="G33" s="2778" t="s">
        <v>1610</v>
      </c>
      <c r="I33" s="2779">
        <f>I12+I19</f>
        <v>6273475.1527252458</v>
      </c>
      <c r="J33" s="2779">
        <f>J12+J19</f>
        <v>8752820.7037477847</v>
      </c>
      <c r="K33" s="2179"/>
      <c r="L33" s="2179"/>
    </row>
    <row r="34" spans="7:12">
      <c r="G34" s="2750" t="s">
        <v>2148</v>
      </c>
      <c r="I34" s="2780">
        <f>I33*$J$23*$J$24</f>
        <v>2944460.34081027</v>
      </c>
      <c r="J34" s="2780">
        <f>J33*$J$23*$J$24</f>
        <v>4108143.0634522703</v>
      </c>
      <c r="K34" s="2177"/>
      <c r="L34" s="2179"/>
    </row>
    <row r="35" spans="7:12">
      <c r="G35" s="2750" t="s">
        <v>2149</v>
      </c>
      <c r="I35" s="2780">
        <f>I33*$J$26*$J$27</f>
        <v>932060.34639501653</v>
      </c>
      <c r="J35" s="2780">
        <f>J33*$J$26*$J$27</f>
        <v>1300420.723516322</v>
      </c>
      <c r="K35" s="2177"/>
      <c r="L35" s="2179"/>
    </row>
    <row r="38" spans="7:12">
      <c r="I38" s="2125"/>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1640625" defaultRowHeight="12.5"/>
  <cols>
    <col min="1" max="1" width="12.54296875" style="2128" customWidth="1"/>
    <col min="2" max="2" width="20.7265625" style="2128" customWidth="1"/>
    <col min="3" max="3" width="12" style="2128" customWidth="1"/>
    <col min="4" max="4" width="45.453125" style="2128" customWidth="1"/>
    <col min="5" max="5" width="28.26953125" style="2128" bestFit="1" customWidth="1"/>
    <col min="6" max="6" width="11.26953125" style="2128" customWidth="1"/>
    <col min="7" max="8" width="17" style="2128" customWidth="1"/>
    <col min="9" max="11" width="16" style="2128" customWidth="1"/>
    <col min="12" max="13" width="16.54296875" style="2128" customWidth="1"/>
    <col min="14" max="14" width="8.1796875" style="2128" bestFit="1" customWidth="1"/>
    <col min="15" max="16384" width="8.81640625" style="2128"/>
  </cols>
  <sheetData>
    <row r="1" spans="1:14" ht="19" thickBot="1">
      <c r="A1" s="2781" t="s">
        <v>2474</v>
      </c>
      <c r="B1" s="2782"/>
      <c r="C1" s="2782"/>
      <c r="D1" s="2782"/>
      <c r="E1" s="2782"/>
      <c r="F1" s="2782"/>
      <c r="G1" s="2782"/>
      <c r="H1" s="2782"/>
      <c r="I1" s="2782"/>
      <c r="J1" s="2782"/>
      <c r="K1" s="2782"/>
      <c r="L1" s="2782"/>
      <c r="M1" s="2782"/>
      <c r="N1" s="2783"/>
    </row>
    <row r="2" spans="1:14" ht="19" thickBot="1">
      <c r="A2" s="2784" t="s">
        <v>2475</v>
      </c>
      <c r="B2" s="2783"/>
      <c r="C2" s="2783"/>
      <c r="D2" s="2783"/>
      <c r="E2" s="2783"/>
      <c r="F2" s="2783"/>
      <c r="G2" s="2783"/>
      <c r="H2" s="2783"/>
      <c r="I2" s="2783"/>
      <c r="J2" s="2783"/>
      <c r="K2" s="2783"/>
      <c r="L2" s="2783"/>
      <c r="M2" s="2783"/>
      <c r="N2" s="2783"/>
    </row>
    <row r="3" spans="1:14" ht="14.5">
      <c r="A3" s="4016" t="s">
        <v>2476</v>
      </c>
      <c r="B3" s="4018" t="s">
        <v>2477</v>
      </c>
      <c r="C3" s="4012" t="s">
        <v>2478</v>
      </c>
      <c r="D3" s="4018" t="s">
        <v>2479</v>
      </c>
      <c r="E3" s="4018" t="s">
        <v>2479</v>
      </c>
      <c r="F3" s="4012" t="s">
        <v>2480</v>
      </c>
      <c r="G3" s="4010" t="s">
        <v>2481</v>
      </c>
      <c r="H3" s="4012" t="s">
        <v>2482</v>
      </c>
      <c r="I3" s="4012" t="s">
        <v>2483</v>
      </c>
      <c r="J3" s="4012" t="s">
        <v>2484</v>
      </c>
      <c r="K3" s="4012" t="s">
        <v>2485</v>
      </c>
      <c r="L3" s="4014" t="s">
        <v>2486</v>
      </c>
      <c r="M3" s="4015"/>
      <c r="N3" s="2785"/>
    </row>
    <row r="4" spans="1:14" ht="14.5">
      <c r="A4" s="4017"/>
      <c r="B4" s="4019"/>
      <c r="C4" s="4013"/>
      <c r="D4" s="4019"/>
      <c r="E4" s="4019"/>
      <c r="F4" s="4013"/>
      <c r="G4" s="4011"/>
      <c r="H4" s="4013"/>
      <c r="I4" s="4013"/>
      <c r="J4" s="4013"/>
      <c r="K4" s="4013"/>
      <c r="L4" s="2786" t="s">
        <v>2487</v>
      </c>
      <c r="M4" s="2786" t="s">
        <v>132</v>
      </c>
      <c r="N4" s="2786"/>
    </row>
    <row r="5" spans="1:14" ht="14.5">
      <c r="A5" s="2787" t="s">
        <v>2488</v>
      </c>
      <c r="B5" s="2788" t="s">
        <v>2462</v>
      </c>
      <c r="C5" s="2789">
        <v>1</v>
      </c>
      <c r="D5" s="2790" t="s">
        <v>2489</v>
      </c>
      <c r="E5" s="2790" t="s">
        <v>2490</v>
      </c>
      <c r="F5" s="2791">
        <v>44835</v>
      </c>
      <c r="G5" s="2792">
        <v>44969.599999999999</v>
      </c>
      <c r="H5" s="2792">
        <f t="shared" ref="H5:H15" si="0">+G5*1.06</f>
        <v>47667.775999999998</v>
      </c>
      <c r="I5" s="2793">
        <f t="shared" ref="I5:K15" si="1">+H5*1.04</f>
        <v>49574.48704</v>
      </c>
      <c r="J5" s="2793">
        <f t="shared" si="1"/>
        <v>51557.466521599999</v>
      </c>
      <c r="K5" s="2793">
        <f t="shared" si="1"/>
        <v>53619.765182463998</v>
      </c>
      <c r="L5" s="2794">
        <v>3</v>
      </c>
      <c r="M5" s="2795">
        <f t="shared" ref="M5:M15" si="2">+J5/12*L5</f>
        <v>12889.3666304</v>
      </c>
      <c r="N5" s="2796"/>
    </row>
    <row r="6" spans="1:14" ht="14.5">
      <c r="A6" s="2787" t="s">
        <v>2488</v>
      </c>
      <c r="B6" s="2788" t="s">
        <v>2462</v>
      </c>
      <c r="C6" s="2789">
        <v>2</v>
      </c>
      <c r="D6" s="2790" t="s">
        <v>2489</v>
      </c>
      <c r="E6" s="2790" t="s">
        <v>2491</v>
      </c>
      <c r="F6" s="2791">
        <v>44835</v>
      </c>
      <c r="G6" s="2792">
        <v>64147.199999999997</v>
      </c>
      <c r="H6" s="2792">
        <f t="shared" si="0"/>
        <v>67996.032000000007</v>
      </c>
      <c r="I6" s="2793">
        <f t="shared" si="1"/>
        <v>70715.873280000014</v>
      </c>
      <c r="J6" s="2793">
        <f t="shared" si="1"/>
        <v>73544.508211200024</v>
      </c>
      <c r="K6" s="2793">
        <f t="shared" si="1"/>
        <v>76486.288539648027</v>
      </c>
      <c r="L6" s="2794">
        <v>3</v>
      </c>
      <c r="M6" s="2795">
        <f t="shared" si="2"/>
        <v>18386.127052800006</v>
      </c>
      <c r="N6" s="2796"/>
    </row>
    <row r="7" spans="1:14" ht="14.5">
      <c r="A7" s="2787" t="s">
        <v>2488</v>
      </c>
      <c r="B7" s="2788" t="s">
        <v>2462</v>
      </c>
      <c r="C7" s="2789">
        <v>3</v>
      </c>
      <c r="D7" s="2790" t="s">
        <v>2489</v>
      </c>
      <c r="E7" s="2790" t="s">
        <v>2492</v>
      </c>
      <c r="F7" s="2791">
        <v>44835</v>
      </c>
      <c r="G7" s="2792">
        <v>52956.800000000003</v>
      </c>
      <c r="H7" s="2792">
        <f t="shared" si="0"/>
        <v>56134.208000000006</v>
      </c>
      <c r="I7" s="2793">
        <f t="shared" si="1"/>
        <v>58379.576320000007</v>
      </c>
      <c r="J7" s="2793">
        <f t="shared" si="1"/>
        <v>60714.759372800007</v>
      </c>
      <c r="K7" s="2793">
        <f t="shared" si="1"/>
        <v>63143.349747712011</v>
      </c>
      <c r="L7" s="2794">
        <v>3</v>
      </c>
      <c r="M7" s="2795">
        <f t="shared" si="2"/>
        <v>15178.689843200002</v>
      </c>
      <c r="N7" s="2796"/>
    </row>
    <row r="8" spans="1:14" ht="14.5">
      <c r="A8" s="2787" t="s">
        <v>2488</v>
      </c>
      <c r="B8" s="2788" t="s">
        <v>2462</v>
      </c>
      <c r="C8" s="2789">
        <v>4</v>
      </c>
      <c r="D8" s="2790" t="s">
        <v>2489</v>
      </c>
      <c r="E8" s="2790" t="s">
        <v>2490</v>
      </c>
      <c r="F8" s="2791">
        <v>44835</v>
      </c>
      <c r="G8" s="2792">
        <v>44969.599999999999</v>
      </c>
      <c r="H8" s="2792">
        <f t="shared" si="0"/>
        <v>47667.775999999998</v>
      </c>
      <c r="I8" s="2793">
        <f t="shared" si="1"/>
        <v>49574.48704</v>
      </c>
      <c r="J8" s="2793">
        <f t="shared" si="1"/>
        <v>51557.466521599999</v>
      </c>
      <c r="K8" s="2793">
        <f t="shared" si="1"/>
        <v>53619.765182463998</v>
      </c>
      <c r="L8" s="2794">
        <v>3</v>
      </c>
      <c r="M8" s="2795">
        <f t="shared" si="2"/>
        <v>12889.3666304</v>
      </c>
      <c r="N8" s="2796"/>
    </row>
    <row r="9" spans="1:14" ht="14.5">
      <c r="A9" s="2787" t="s">
        <v>2488</v>
      </c>
      <c r="B9" s="2788" t="s">
        <v>2462</v>
      </c>
      <c r="C9" s="2789">
        <v>5</v>
      </c>
      <c r="D9" s="2790" t="s">
        <v>2489</v>
      </c>
      <c r="E9" s="2790" t="s">
        <v>2493</v>
      </c>
      <c r="F9" s="2791">
        <v>44835</v>
      </c>
      <c r="G9" s="2792">
        <v>49025.599999999999</v>
      </c>
      <c r="H9" s="2792">
        <f t="shared" si="0"/>
        <v>51967.135999999999</v>
      </c>
      <c r="I9" s="2793">
        <f t="shared" si="1"/>
        <v>54045.82144</v>
      </c>
      <c r="J9" s="2793">
        <f t="shared" si="1"/>
        <v>56207.654297599998</v>
      </c>
      <c r="K9" s="2793">
        <f t="shared" si="1"/>
        <v>58455.960469504003</v>
      </c>
      <c r="L9" s="2794">
        <v>3</v>
      </c>
      <c r="M9" s="2795">
        <f t="shared" si="2"/>
        <v>14051.913574400001</v>
      </c>
      <c r="N9" s="2796"/>
    </row>
    <row r="10" spans="1:14" ht="14.5">
      <c r="A10" s="2787" t="s">
        <v>2488</v>
      </c>
      <c r="B10" s="2788" t="s">
        <v>2462</v>
      </c>
      <c r="C10" s="2789">
        <v>6</v>
      </c>
      <c r="D10" s="2790" t="s">
        <v>2489</v>
      </c>
      <c r="E10" s="2790" t="s">
        <v>2493</v>
      </c>
      <c r="F10" s="2791">
        <v>45017</v>
      </c>
      <c r="G10" s="2792">
        <v>49025.599999999999</v>
      </c>
      <c r="H10" s="2792">
        <f t="shared" si="0"/>
        <v>51967.135999999999</v>
      </c>
      <c r="I10" s="2793">
        <f t="shared" si="1"/>
        <v>54045.82144</v>
      </c>
      <c r="J10" s="2793">
        <f t="shared" si="1"/>
        <v>56207.654297599998</v>
      </c>
      <c r="K10" s="2793">
        <f t="shared" si="1"/>
        <v>58455.960469504003</v>
      </c>
      <c r="L10" s="2794">
        <v>9</v>
      </c>
      <c r="M10" s="2795">
        <f t="shared" si="2"/>
        <v>42155.740723200004</v>
      </c>
      <c r="N10" s="2796"/>
    </row>
    <row r="11" spans="1:14" ht="14.5">
      <c r="A11" s="2787" t="s">
        <v>2488</v>
      </c>
      <c r="B11" s="2788" t="s">
        <v>2462</v>
      </c>
      <c r="C11" s="2789">
        <v>7</v>
      </c>
      <c r="D11" s="2790" t="s">
        <v>2489</v>
      </c>
      <c r="E11" s="2790" t="s">
        <v>2490</v>
      </c>
      <c r="F11" s="2791">
        <v>45017</v>
      </c>
      <c r="G11" s="2792">
        <v>44969.599999999999</v>
      </c>
      <c r="H11" s="2792">
        <f t="shared" si="0"/>
        <v>47667.775999999998</v>
      </c>
      <c r="I11" s="2793">
        <f t="shared" si="1"/>
        <v>49574.48704</v>
      </c>
      <c r="J11" s="2793">
        <f t="shared" si="1"/>
        <v>51557.466521599999</v>
      </c>
      <c r="K11" s="2793">
        <f t="shared" si="1"/>
        <v>53619.765182463998</v>
      </c>
      <c r="L11" s="2794">
        <v>9</v>
      </c>
      <c r="M11" s="2795">
        <f t="shared" si="2"/>
        <v>38668.0998912</v>
      </c>
      <c r="N11" s="2796"/>
    </row>
    <row r="12" spans="1:14" ht="14.5">
      <c r="A12" s="2787" t="s">
        <v>2488</v>
      </c>
      <c r="B12" s="2788" t="s">
        <v>2462</v>
      </c>
      <c r="C12" s="2789">
        <v>8</v>
      </c>
      <c r="D12" s="2790" t="s">
        <v>2489</v>
      </c>
      <c r="E12" s="2790" t="s">
        <v>2493</v>
      </c>
      <c r="F12" s="2791">
        <v>45017</v>
      </c>
      <c r="G12" s="2792">
        <v>49025.599999999999</v>
      </c>
      <c r="H12" s="2792">
        <f t="shared" si="0"/>
        <v>51967.135999999999</v>
      </c>
      <c r="I12" s="2793">
        <f t="shared" si="1"/>
        <v>54045.82144</v>
      </c>
      <c r="J12" s="2793">
        <f t="shared" si="1"/>
        <v>56207.654297599998</v>
      </c>
      <c r="K12" s="2793">
        <f t="shared" si="1"/>
        <v>58455.960469504003</v>
      </c>
      <c r="L12" s="2794">
        <v>9</v>
      </c>
      <c r="M12" s="2795">
        <f t="shared" si="2"/>
        <v>42155.740723200004</v>
      </c>
      <c r="N12" s="2796"/>
    </row>
    <row r="13" spans="1:14" ht="14.5">
      <c r="A13" s="2787" t="s">
        <v>2488</v>
      </c>
      <c r="B13" s="2788" t="s">
        <v>2462</v>
      </c>
      <c r="C13" s="2789">
        <v>9</v>
      </c>
      <c r="D13" s="2790" t="s">
        <v>2489</v>
      </c>
      <c r="E13" s="2790" t="s">
        <v>2491</v>
      </c>
      <c r="F13" s="2791">
        <v>45017</v>
      </c>
      <c r="G13" s="2792">
        <v>64147.199999999997</v>
      </c>
      <c r="H13" s="2792">
        <f t="shared" si="0"/>
        <v>67996.032000000007</v>
      </c>
      <c r="I13" s="2793">
        <f t="shared" si="1"/>
        <v>70715.873280000014</v>
      </c>
      <c r="J13" s="2793">
        <f t="shared" si="1"/>
        <v>73544.508211200024</v>
      </c>
      <c r="K13" s="2793">
        <f t="shared" si="1"/>
        <v>76486.288539648027</v>
      </c>
      <c r="L13" s="2794">
        <v>9</v>
      </c>
      <c r="M13" s="2795">
        <f t="shared" si="2"/>
        <v>55158.381158400021</v>
      </c>
      <c r="N13" s="2796"/>
    </row>
    <row r="14" spans="1:14" ht="14.5">
      <c r="A14" s="2787" t="s">
        <v>2488</v>
      </c>
      <c r="B14" s="2788" t="s">
        <v>2462</v>
      </c>
      <c r="C14" s="2789">
        <v>10</v>
      </c>
      <c r="D14" s="2790" t="s">
        <v>2489</v>
      </c>
      <c r="E14" s="2790" t="s">
        <v>2490</v>
      </c>
      <c r="F14" s="2791">
        <v>45017</v>
      </c>
      <c r="G14" s="2792">
        <v>44969.599999999999</v>
      </c>
      <c r="H14" s="2792">
        <f t="shared" si="0"/>
        <v>47667.775999999998</v>
      </c>
      <c r="I14" s="2793">
        <f t="shared" si="1"/>
        <v>49574.48704</v>
      </c>
      <c r="J14" s="2793">
        <f t="shared" si="1"/>
        <v>51557.466521599999</v>
      </c>
      <c r="K14" s="2793">
        <f t="shared" si="1"/>
        <v>53619.765182463998</v>
      </c>
      <c r="L14" s="2794">
        <v>9</v>
      </c>
      <c r="M14" s="2795">
        <f t="shared" si="2"/>
        <v>38668.0998912</v>
      </c>
      <c r="N14" s="2796"/>
    </row>
    <row r="15" spans="1:14" ht="14.5">
      <c r="A15" s="2787" t="s">
        <v>2488</v>
      </c>
      <c r="B15" s="2788" t="s">
        <v>2462</v>
      </c>
      <c r="C15" s="2789">
        <v>11</v>
      </c>
      <c r="D15" s="2790" t="s">
        <v>2494</v>
      </c>
      <c r="E15" s="2790" t="s">
        <v>2495</v>
      </c>
      <c r="F15" s="2791">
        <v>45200</v>
      </c>
      <c r="G15" s="2793">
        <v>42931.199999999997</v>
      </c>
      <c r="H15" s="2792">
        <f t="shared" si="0"/>
        <v>45507.072</v>
      </c>
      <c r="I15" s="2793">
        <f t="shared" si="1"/>
        <v>47327.354879999999</v>
      </c>
      <c r="J15" s="2793">
        <f t="shared" si="1"/>
        <v>49220.449075199998</v>
      </c>
      <c r="K15" s="2793">
        <f t="shared" si="1"/>
        <v>51189.267038208003</v>
      </c>
      <c r="L15" s="2794">
        <v>12</v>
      </c>
      <c r="M15" s="2795">
        <f t="shared" si="2"/>
        <v>49220.449075199998</v>
      </c>
      <c r="N15" s="2796"/>
    </row>
    <row r="16" spans="1:14" ht="15" thickBot="1">
      <c r="A16" s="4008"/>
      <c r="B16" s="4009"/>
      <c r="C16" s="4009"/>
      <c r="D16" s="4009"/>
      <c r="E16" s="4009"/>
      <c r="F16" s="2797"/>
      <c r="G16" s="2798"/>
      <c r="H16" s="2798"/>
      <c r="I16" s="2798"/>
      <c r="J16" s="2798"/>
      <c r="K16" s="2798"/>
      <c r="L16" s="2799"/>
      <c r="M16" s="2800">
        <f>SUM(M5:M15)</f>
        <v>339421.97519360005</v>
      </c>
      <c r="N16" s="2801"/>
    </row>
    <row r="17" spans="1:14" ht="15" thickBot="1">
      <c r="A17" s="2179"/>
      <c r="B17" s="2179"/>
      <c r="C17" s="2179"/>
      <c r="D17" s="2179"/>
      <c r="E17" s="2179"/>
      <c r="F17" s="2179"/>
      <c r="L17" s="2802"/>
      <c r="M17" s="2802"/>
      <c r="N17" s="2803"/>
    </row>
    <row r="18" spans="1:14" ht="13.5" thickTop="1" thickBot="1">
      <c r="B18" s="2128" t="s">
        <v>2496</v>
      </c>
      <c r="K18" s="2804" t="s">
        <v>2245</v>
      </c>
      <c r="L18" s="2128">
        <v>920000</v>
      </c>
      <c r="M18" s="2805">
        <f>M16</f>
        <v>339421.97519360005</v>
      </c>
    </row>
    <row r="19" spans="1:14" ht="15" thickTop="1">
      <c r="B19" s="2128" t="s">
        <v>2497</v>
      </c>
      <c r="H19" s="2477"/>
      <c r="M19" s="2806"/>
    </row>
    <row r="20" spans="1:14" ht="14.5">
      <c r="H20" s="2477"/>
      <c r="L20" s="2179"/>
      <c r="M20" s="2179"/>
      <c r="N20" s="2714" t="s">
        <v>2498</v>
      </c>
    </row>
    <row r="21" spans="1:14">
      <c r="B21" s="2128" t="s">
        <v>2499</v>
      </c>
      <c r="L21" s="2128" t="s">
        <v>538</v>
      </c>
      <c r="M21" s="2150">
        <f>$M$18*N21</f>
        <v>261843.68854335084</v>
      </c>
      <c r="N21" s="2807">
        <v>0.77144000000000001</v>
      </c>
    </row>
    <row r="22" spans="1:14">
      <c r="B22" s="2128" t="s">
        <v>2500</v>
      </c>
      <c r="C22" s="2477"/>
      <c r="L22" s="2128" t="s">
        <v>2501</v>
      </c>
      <c r="M22" s="2150">
        <f>$M$18*N22</f>
        <v>77578.28665024924</v>
      </c>
      <c r="N22" s="2808">
        <v>0.22856000000000001</v>
      </c>
    </row>
    <row r="23" spans="1:14">
      <c r="C23" s="2477"/>
    </row>
  </sheetData>
  <mergeCells count="13">
    <mergeCell ref="K3:K4"/>
    <mergeCell ref="L3:M3"/>
    <mergeCell ref="A3:A4"/>
    <mergeCell ref="B3:B4"/>
    <mergeCell ref="C3:C4"/>
    <mergeCell ref="D3:D4"/>
    <mergeCell ref="E3:E4"/>
    <mergeCell ref="F3:F4"/>
    <mergeCell ref="A16:E16"/>
    <mergeCell ref="G3:G4"/>
    <mergeCell ref="H3:H4"/>
    <mergeCell ref="I3:I4"/>
    <mergeCell ref="J3:J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1640625" defaultRowHeight="12.5"/>
  <cols>
    <col min="1" max="1" width="12.54296875" style="2128" customWidth="1"/>
    <col min="2" max="2" width="20.7265625" style="2128" customWidth="1"/>
    <col min="3" max="3" width="12" style="2128" customWidth="1"/>
    <col min="4" max="4" width="45.453125" style="2128" customWidth="1"/>
    <col min="5" max="5" width="14.26953125" style="2128" customWidth="1"/>
    <col min="6" max="6" width="17" style="2128" customWidth="1"/>
    <col min="7" max="9" width="16" style="2128" customWidth="1"/>
    <col min="10" max="10" width="8" style="2128" bestFit="1" customWidth="1"/>
    <col min="11" max="16" width="14.1796875" style="2128" customWidth="1"/>
    <col min="17" max="16384" width="8.81640625" style="2128"/>
  </cols>
  <sheetData>
    <row r="1" spans="1:16" ht="19" thickBot="1">
      <c r="A1" s="2781" t="s">
        <v>2502</v>
      </c>
      <c r="B1" s="2782"/>
      <c r="C1" s="2782"/>
      <c r="D1" s="2782"/>
      <c r="E1" s="2782"/>
      <c r="F1" s="2782"/>
      <c r="G1" s="2782"/>
      <c r="H1" s="2782"/>
      <c r="I1" s="2782"/>
      <c r="J1" s="2782"/>
      <c r="K1" s="2782"/>
      <c r="L1" s="2782"/>
      <c r="M1" s="2782"/>
      <c r="N1" s="2782"/>
      <c r="O1" s="2782"/>
      <c r="P1" s="2782"/>
    </row>
    <row r="2" spans="1:16" ht="19" thickBot="1">
      <c r="A2" s="2784" t="s">
        <v>2475</v>
      </c>
      <c r="B2" s="2783"/>
      <c r="C2" s="2783"/>
      <c r="D2" s="2783"/>
      <c r="E2" s="2783"/>
      <c r="F2" s="2783"/>
      <c r="G2" s="2783"/>
      <c r="H2" s="2783"/>
      <c r="I2" s="2783"/>
      <c r="J2" s="2783"/>
      <c r="K2" s="2783"/>
      <c r="L2" s="2783"/>
      <c r="M2" s="2783"/>
      <c r="N2" s="2783"/>
      <c r="O2" s="2783"/>
      <c r="P2" s="2783"/>
    </row>
    <row r="3" spans="1:16" ht="14.5">
      <c r="A3" s="4016" t="s">
        <v>2476</v>
      </c>
      <c r="B3" s="4018" t="s">
        <v>2477</v>
      </c>
      <c r="C3" s="4012" t="s">
        <v>2478</v>
      </c>
      <c r="D3" s="4018" t="s">
        <v>2503</v>
      </c>
      <c r="E3" s="4012" t="s">
        <v>2504</v>
      </c>
      <c r="F3" s="4010" t="s">
        <v>2481</v>
      </c>
      <c r="G3" s="4012" t="s">
        <v>2483</v>
      </c>
      <c r="H3" s="4012" t="s">
        <v>2484</v>
      </c>
      <c r="I3" s="4012" t="s">
        <v>2485</v>
      </c>
      <c r="J3" s="4010" t="s">
        <v>937</v>
      </c>
      <c r="K3" s="4020">
        <v>2024</v>
      </c>
      <c r="L3" s="4021"/>
      <c r="M3" s="4014">
        <v>2025</v>
      </c>
      <c r="N3" s="4015"/>
      <c r="O3" s="4020" t="s">
        <v>2505</v>
      </c>
      <c r="P3" s="4021"/>
    </row>
    <row r="4" spans="1:16" ht="14.5">
      <c r="A4" s="4017"/>
      <c r="B4" s="4019"/>
      <c r="C4" s="4013"/>
      <c r="D4" s="4019"/>
      <c r="E4" s="4013"/>
      <c r="F4" s="4011"/>
      <c r="G4" s="4013"/>
      <c r="H4" s="4013"/>
      <c r="I4" s="4013"/>
      <c r="J4" s="4011"/>
      <c r="K4" s="2786" t="s">
        <v>2506</v>
      </c>
      <c r="L4" s="2786" t="s">
        <v>132</v>
      </c>
      <c r="M4" s="2786" t="s">
        <v>2506</v>
      </c>
      <c r="N4" s="2786" t="s">
        <v>132</v>
      </c>
      <c r="O4" s="2786" t="s">
        <v>2506</v>
      </c>
      <c r="P4" s="2786" t="s">
        <v>132</v>
      </c>
    </row>
    <row r="5" spans="1:16" ht="14.5">
      <c r="A5" s="2787" t="s">
        <v>2507</v>
      </c>
      <c r="B5" s="2788" t="s">
        <v>2508</v>
      </c>
      <c r="C5" s="2789">
        <v>1</v>
      </c>
      <c r="D5" s="2790" t="s">
        <v>2509</v>
      </c>
      <c r="E5" s="2809">
        <v>45474</v>
      </c>
      <c r="F5" s="2810">
        <v>125000</v>
      </c>
      <c r="G5" s="2793">
        <f>+F5</f>
        <v>125000</v>
      </c>
      <c r="H5" s="2793">
        <f t="shared" ref="H5:I8" si="0">+G5*1.04</f>
        <v>130000</v>
      </c>
      <c r="I5" s="2793">
        <f t="shared" si="0"/>
        <v>135200</v>
      </c>
      <c r="J5" s="2810" t="s">
        <v>958</v>
      </c>
      <c r="K5" s="2811">
        <v>6</v>
      </c>
      <c r="L5" s="2795">
        <f>+(G5/12)*K5</f>
        <v>62500</v>
      </c>
      <c r="M5" s="2794">
        <v>12</v>
      </c>
      <c r="N5" s="2795">
        <f>+(H5/12)*M5</f>
        <v>130000</v>
      </c>
      <c r="O5" s="2794">
        <v>12</v>
      </c>
      <c r="P5" s="2795">
        <f>+((I5/12)*O5)-N5</f>
        <v>5200</v>
      </c>
    </row>
    <row r="6" spans="1:16" ht="14.5">
      <c r="A6" s="2787" t="s">
        <v>2507</v>
      </c>
      <c r="B6" s="2788" t="s">
        <v>2508</v>
      </c>
      <c r="C6" s="2789">
        <v>2</v>
      </c>
      <c r="D6" s="2790" t="s">
        <v>2510</v>
      </c>
      <c r="E6" s="2809">
        <v>45505</v>
      </c>
      <c r="F6" s="2810">
        <v>125000</v>
      </c>
      <c r="G6" s="2793">
        <f>+F6</f>
        <v>125000</v>
      </c>
      <c r="H6" s="2793">
        <f t="shared" si="0"/>
        <v>130000</v>
      </c>
      <c r="I6" s="2793">
        <f t="shared" si="0"/>
        <v>135200</v>
      </c>
      <c r="J6" s="2810" t="s">
        <v>958</v>
      </c>
      <c r="K6" s="2811">
        <v>5</v>
      </c>
      <c r="L6" s="2795">
        <f>+(G6/12)*K6</f>
        <v>52083.333333333328</v>
      </c>
      <c r="M6" s="2794">
        <v>12</v>
      </c>
      <c r="N6" s="2795">
        <f>+(H6/12)*M6</f>
        <v>130000</v>
      </c>
      <c r="O6" s="2794">
        <v>12</v>
      </c>
      <c r="P6" s="2795">
        <f>+((I6/12)*O6)-N6</f>
        <v>5200</v>
      </c>
    </row>
    <row r="7" spans="1:16" ht="14.5">
      <c r="A7" s="2787" t="s">
        <v>2507</v>
      </c>
      <c r="B7" s="2788" t="s">
        <v>2508</v>
      </c>
      <c r="C7" s="2789">
        <v>3</v>
      </c>
      <c r="D7" s="2790" t="s">
        <v>2511</v>
      </c>
      <c r="E7" s="2809">
        <v>45352</v>
      </c>
      <c r="F7" s="2810">
        <v>125000</v>
      </c>
      <c r="G7" s="2793">
        <f>+F7</f>
        <v>125000</v>
      </c>
      <c r="H7" s="2793">
        <f t="shared" si="0"/>
        <v>130000</v>
      </c>
      <c r="I7" s="2793">
        <f t="shared" si="0"/>
        <v>135200</v>
      </c>
      <c r="J7" s="2810" t="s">
        <v>958</v>
      </c>
      <c r="K7" s="2811">
        <v>10</v>
      </c>
      <c r="L7" s="2795">
        <f>+(G7/12)*K7</f>
        <v>104166.66666666666</v>
      </c>
      <c r="M7" s="2794">
        <v>12</v>
      </c>
      <c r="N7" s="2795">
        <f>+(H7/12)*M7</f>
        <v>130000</v>
      </c>
      <c r="O7" s="2794">
        <v>12</v>
      </c>
      <c r="P7" s="2795">
        <f>+((I7/12)*O7)-N7</f>
        <v>5200</v>
      </c>
    </row>
    <row r="8" spans="1:16" ht="14.5">
      <c r="A8" s="2787" t="s">
        <v>2512</v>
      </c>
      <c r="B8" s="2788" t="s">
        <v>2513</v>
      </c>
      <c r="C8" s="2789">
        <v>4</v>
      </c>
      <c r="D8" s="2790" t="s">
        <v>2514</v>
      </c>
      <c r="E8" s="2809">
        <v>45597</v>
      </c>
      <c r="F8" s="2793">
        <v>100000</v>
      </c>
      <c r="G8" s="2793">
        <f>+F8</f>
        <v>100000</v>
      </c>
      <c r="H8" s="2793">
        <f t="shared" si="0"/>
        <v>104000</v>
      </c>
      <c r="I8" s="2793">
        <f t="shared" si="0"/>
        <v>108160</v>
      </c>
      <c r="J8" s="2810" t="s">
        <v>958</v>
      </c>
      <c r="K8" s="2811">
        <v>2</v>
      </c>
      <c r="L8" s="2795">
        <f>+(G8/12)*K8</f>
        <v>16666.666666666668</v>
      </c>
      <c r="M8" s="2794">
        <v>12</v>
      </c>
      <c r="N8" s="2795">
        <f>+(H8/12)*M8</f>
        <v>104000</v>
      </c>
      <c r="O8" s="2794">
        <v>12</v>
      </c>
      <c r="P8" s="2795">
        <f>+((I8/12)*O8)-N8</f>
        <v>4160</v>
      </c>
    </row>
    <row r="9" spans="1:16" ht="15" thickBot="1">
      <c r="A9" s="4008" t="s">
        <v>24</v>
      </c>
      <c r="B9" s="4009"/>
      <c r="C9" s="4009"/>
      <c r="D9" s="4009"/>
      <c r="E9" s="4009"/>
      <c r="F9" s="2798">
        <f>SUM(F5:F8)</f>
        <v>475000</v>
      </c>
      <c r="G9" s="2798">
        <f>SUM(G5:G8)</f>
        <v>475000</v>
      </c>
      <c r="H9" s="2798">
        <f>SUM(H5:H8)</f>
        <v>494000</v>
      </c>
      <c r="I9" s="2798">
        <f>SUM(I5:I8)</f>
        <v>513760</v>
      </c>
      <c r="J9" s="2798"/>
      <c r="K9" s="2812"/>
      <c r="L9" s="2813">
        <f>SUM(L5:L8)</f>
        <v>235416.66666666666</v>
      </c>
      <c r="M9" s="2812"/>
      <c r="N9" s="2800">
        <f>SUM(N5:N8)</f>
        <v>494000</v>
      </c>
      <c r="O9" s="2812"/>
      <c r="P9" s="2814">
        <f>SUM(P5:P8)</f>
        <v>19760</v>
      </c>
    </row>
    <row r="10" spans="1:16" ht="15" thickBot="1">
      <c r="A10" s="2815" t="s">
        <v>2515</v>
      </c>
      <c r="B10" s="2179"/>
      <c r="C10" s="2179"/>
      <c r="D10" s="2179"/>
      <c r="E10" s="2179"/>
      <c r="G10" s="2816"/>
      <c r="I10" s="2802"/>
      <c r="J10" s="2802"/>
      <c r="K10" s="2817"/>
      <c r="L10" s="2817"/>
      <c r="M10" s="2817"/>
      <c r="N10" s="2817"/>
      <c r="O10" s="2817"/>
      <c r="P10" s="2817"/>
    </row>
    <row r="11" spans="1:16" ht="13.5" thickTop="1" thickBot="1">
      <c r="K11" s="2804" t="s">
        <v>2245</v>
      </c>
      <c r="L11" s="2128">
        <v>920000</v>
      </c>
      <c r="N11" s="2805">
        <f>N9</f>
        <v>494000</v>
      </c>
      <c r="P11" s="2818">
        <f>P9</f>
        <v>19760</v>
      </c>
    </row>
    <row r="12" spans="1:16" ht="13" thickTop="1">
      <c r="K12" s="2806"/>
      <c r="L12" s="2806"/>
      <c r="M12" s="2806"/>
      <c r="O12" s="2806"/>
    </row>
    <row r="13" spans="1:16">
      <c r="K13" s="2806"/>
      <c r="L13" s="2806"/>
      <c r="M13" s="2806"/>
      <c r="O13" s="2806"/>
      <c r="P13" s="2804" t="s">
        <v>2516</v>
      </c>
    </row>
    <row r="14" spans="1:16">
      <c r="I14" s="2150"/>
      <c r="K14" s="2806"/>
      <c r="L14" s="2806"/>
      <c r="M14" s="2806"/>
      <c r="O14" s="2806"/>
    </row>
    <row r="15" spans="1:16" ht="15" thickBot="1">
      <c r="K15" s="2806"/>
      <c r="L15" s="2179"/>
      <c r="M15" s="2179" t="s">
        <v>2498</v>
      </c>
      <c r="N15" s="2819" t="s">
        <v>517</v>
      </c>
      <c r="O15" s="2179"/>
    </row>
    <row r="16" spans="1:16">
      <c r="L16" s="2128" t="s">
        <v>538</v>
      </c>
      <c r="M16" s="2820">
        <v>0.77144000000000001</v>
      </c>
      <c r="N16" s="2821">
        <f>$N$11*M16</f>
        <v>381091.36</v>
      </c>
    </row>
    <row r="17" spans="3:14" ht="13" thickBot="1">
      <c r="C17" s="2477"/>
      <c r="L17" s="2128" t="s">
        <v>2501</v>
      </c>
      <c r="M17" s="2822">
        <v>0.22856000000000001</v>
      </c>
      <c r="N17" s="2823">
        <f>$N$11*M17</f>
        <v>112908.64</v>
      </c>
    </row>
    <row r="18" spans="3:14">
      <c r="C18" s="2477"/>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1640625" defaultRowHeight="12.5"/>
  <cols>
    <col min="1" max="1" width="36.7265625" style="996" customWidth="1"/>
    <col min="2" max="2" width="4.54296875" style="996" bestFit="1" customWidth="1"/>
    <col min="3" max="3" width="8.81640625" style="996"/>
    <col min="4" max="4" width="3.1796875" style="996" customWidth="1"/>
    <col min="5" max="5" width="11.1796875" style="996" customWidth="1"/>
    <col min="6" max="6" width="15.54296875" style="996" customWidth="1"/>
    <col min="7" max="7" width="12.7265625" style="996" bestFit="1" customWidth="1"/>
    <col min="8" max="8" width="3" style="996" customWidth="1"/>
    <col min="9" max="9" width="2.453125" style="996" customWidth="1"/>
    <col min="10" max="10" width="15.7265625" style="996" customWidth="1"/>
    <col min="11" max="11" width="4.54296875" style="996" customWidth="1"/>
    <col min="12" max="12" width="2.7265625" style="996" customWidth="1"/>
    <col min="13" max="13" width="12.26953125" style="996" hidden="1" customWidth="1"/>
    <col min="14" max="14" width="12.1796875" style="996" hidden="1" customWidth="1"/>
    <col min="15" max="15" width="3" style="996" hidden="1" customWidth="1"/>
    <col min="16" max="16" width="1.81640625" style="996" hidden="1" customWidth="1"/>
    <col min="17" max="17" width="13.7265625" style="996" hidden="1" customWidth="1"/>
    <col min="18" max="18" width="8.81640625" style="996"/>
    <col min="19" max="19" width="12.7265625" style="996" bestFit="1" customWidth="1"/>
    <col min="20" max="20" width="18.1796875" style="996" customWidth="1"/>
    <col min="21" max="21" width="17.26953125" style="996" customWidth="1"/>
    <col min="22" max="22" width="8.81640625" style="2128"/>
    <col min="23" max="23" width="1.7265625" style="2129" customWidth="1"/>
    <col min="24" max="24" width="8.81640625" style="2128"/>
    <col min="25" max="25" width="27.453125" style="2846" customWidth="1"/>
    <col min="26" max="26" width="6.81640625" style="2846" customWidth="1"/>
    <col min="27" max="27" width="11.1796875" style="2846" customWidth="1"/>
    <col min="28" max="28" width="13.26953125" style="2846" customWidth="1"/>
    <col min="29" max="29" width="7" style="2846" customWidth="1"/>
    <col min="30" max="30" width="13.7265625" style="2846" customWidth="1"/>
    <col min="31" max="31" width="11.453125" style="2846" customWidth="1"/>
    <col min="32" max="32" width="7.7265625" style="2846" customWidth="1"/>
    <col min="33" max="33" width="2.7265625" style="2846" customWidth="1"/>
    <col min="34" max="34" width="14" style="2846" customWidth="1"/>
    <col min="35" max="35" width="10.7265625" style="2846" bestFit="1" customWidth="1"/>
    <col min="36" max="36" width="8.1796875" style="2846" customWidth="1"/>
    <col min="37" max="37" width="10" style="2846" customWidth="1"/>
    <col min="38" max="38" width="14.453125" style="2846" bestFit="1" customWidth="1"/>
    <col min="39" max="40" width="5.7265625" style="2846" bestFit="1" customWidth="1"/>
    <col min="41" max="41" width="14.54296875" style="2846" customWidth="1"/>
    <col min="42" max="42" width="13.1796875" style="2846" customWidth="1"/>
    <col min="43" max="43" width="11" style="2846" customWidth="1"/>
    <col min="44" max="44" width="5.7265625" style="2846" customWidth="1"/>
    <col min="45" max="45" width="15.453125" style="2846" customWidth="1"/>
    <col min="46" max="46" width="11.1796875" style="2846" customWidth="1"/>
    <col min="47" max="47" width="11.81640625" style="2846" customWidth="1"/>
    <col min="48" max="48" width="10.453125" style="2846" customWidth="1"/>
    <col min="49" max="49" width="14.453125" style="2846" customWidth="1"/>
    <col min="50" max="50" width="19.1796875" style="2846" customWidth="1"/>
    <col min="51" max="51" width="11.1796875" style="2846" customWidth="1"/>
    <col min="52" max="52" width="5.81640625" style="2846" customWidth="1"/>
    <col min="53" max="53" width="15" style="2846" customWidth="1"/>
    <col min="54" max="54" width="12.26953125" style="2846" customWidth="1"/>
    <col min="55" max="55" width="10.453125" style="2846" bestFit="1" customWidth="1"/>
    <col min="56" max="16384" width="8.81640625" style="2128"/>
  </cols>
  <sheetData>
    <row r="1" spans="1:55" ht="14.5">
      <c r="A1" s="4040" t="s">
        <v>1204</v>
      </c>
      <c r="B1" s="4040"/>
      <c r="C1" s="4040"/>
      <c r="D1" s="4040"/>
      <c r="E1" s="4040"/>
      <c r="F1" s="4040"/>
      <c r="J1" s="2824"/>
      <c r="K1" s="2824"/>
      <c r="L1" s="2824"/>
      <c r="M1" s="2824"/>
      <c r="N1" s="2824"/>
      <c r="O1" s="2824"/>
      <c r="P1" s="2824"/>
      <c r="Q1" s="2824"/>
      <c r="R1" s="2824"/>
      <c r="S1" s="2824"/>
      <c r="T1" s="2824"/>
      <c r="Y1" s="2825" t="s">
        <v>1204</v>
      </c>
      <c r="Z1" s="2825"/>
      <c r="AA1" s="2825"/>
      <c r="AB1" s="2825"/>
      <c r="AC1" s="2825"/>
      <c r="AD1" s="2825"/>
      <c r="AE1" s="2825"/>
      <c r="AF1" s="2825"/>
      <c r="AG1" s="2825"/>
      <c r="AH1" s="2825"/>
      <c r="AI1" s="2825"/>
      <c r="AJ1" s="2825"/>
      <c r="AK1" s="2825"/>
      <c r="AL1" s="2825"/>
      <c r="AM1" s="2825"/>
      <c r="AN1" s="2825"/>
      <c r="AO1" s="2825"/>
      <c r="AP1" s="2825"/>
      <c r="AQ1" s="2825"/>
      <c r="AR1" s="2825"/>
      <c r="AS1" s="2825"/>
      <c r="AT1" s="2825"/>
      <c r="AU1" s="2825"/>
      <c r="AV1" s="2825"/>
      <c r="AW1" s="2825"/>
      <c r="AX1" s="2826"/>
      <c r="AY1" s="2826"/>
      <c r="AZ1" s="2826"/>
      <c r="BA1" s="2826"/>
      <c r="BB1" s="2826"/>
      <c r="BC1" s="2826"/>
    </row>
    <row r="2" spans="1:55" ht="14.5">
      <c r="A2" s="4040" t="s">
        <v>2517</v>
      </c>
      <c r="B2" s="4040"/>
      <c r="C2" s="4040"/>
      <c r="D2" s="4040"/>
      <c r="E2" s="4040"/>
      <c r="F2" s="4040"/>
      <c r="Y2" s="2825" t="s">
        <v>80</v>
      </c>
      <c r="Z2" s="2825"/>
      <c r="AA2" s="2825"/>
      <c r="AB2" s="2825"/>
      <c r="AC2" s="2825"/>
      <c r="AD2" s="2825"/>
      <c r="AE2" s="2825"/>
      <c r="AF2" s="2825"/>
      <c r="AG2" s="2827"/>
      <c r="AH2" s="2827"/>
      <c r="AI2" s="2827"/>
      <c r="AJ2" s="2825"/>
      <c r="AK2" s="2827"/>
      <c r="AL2" s="2827"/>
      <c r="AM2" s="2827"/>
      <c r="AN2" s="2825"/>
      <c r="AO2" s="4035" t="s">
        <v>2518</v>
      </c>
      <c r="AP2" s="4035"/>
      <c r="AQ2" s="4035"/>
      <c r="AR2" s="4035"/>
      <c r="AS2" s="4035"/>
      <c r="AT2" s="2825">
        <f>20-2.7</f>
        <v>17.3</v>
      </c>
      <c r="AU2" s="2825"/>
      <c r="AV2" s="2825"/>
      <c r="AW2" s="2825"/>
      <c r="AX2" s="2826"/>
      <c r="AY2" s="2826"/>
      <c r="AZ2" s="2826"/>
      <c r="BA2" s="2826"/>
      <c r="BB2" s="2826"/>
      <c r="BC2" s="2826"/>
    </row>
    <row r="3" spans="1:55" ht="40" thickBot="1">
      <c r="A3" s="4040" t="s">
        <v>2519</v>
      </c>
      <c r="B3" s="4040"/>
      <c r="C3" s="4040"/>
      <c r="D3" s="4040"/>
      <c r="E3" s="4040"/>
      <c r="F3" s="4040"/>
      <c r="Y3" s="2825" t="s">
        <v>2520</v>
      </c>
      <c r="Z3" s="2825"/>
      <c r="AA3" s="2825"/>
      <c r="AB3" s="2825"/>
      <c r="AC3" s="2825"/>
      <c r="AD3" s="2825"/>
      <c r="AE3" s="2825"/>
      <c r="AF3" s="2825"/>
      <c r="AG3" s="2827"/>
      <c r="AH3" s="2827"/>
      <c r="AI3" s="2827"/>
      <c r="AJ3" s="2825"/>
      <c r="AK3" s="2827"/>
      <c r="AL3" s="2828"/>
      <c r="AM3" s="2827"/>
      <c r="AN3" s="2825"/>
      <c r="AO3" s="4035"/>
      <c r="AP3" s="4035"/>
      <c r="AQ3" s="4035"/>
      <c r="AR3" s="4035"/>
      <c r="AS3" s="4035"/>
      <c r="AT3" s="2828"/>
      <c r="AU3" s="2825"/>
      <c r="AV3" s="2825"/>
      <c r="AW3" s="2828"/>
      <c r="AX3" s="2826"/>
      <c r="AY3" s="2826"/>
      <c r="AZ3" s="2826"/>
      <c r="BA3" s="2828"/>
      <c r="BB3" s="2826"/>
      <c r="BC3" s="2826"/>
    </row>
    <row r="4" spans="1:55" ht="28.5">
      <c r="A4" s="2829"/>
      <c r="B4" s="2829"/>
      <c r="C4" s="2826"/>
      <c r="D4" s="2826"/>
      <c r="E4" s="4041"/>
      <c r="F4" s="4041"/>
      <c r="K4" s="2830"/>
      <c r="Y4" s="2825" t="s">
        <v>2521</v>
      </c>
      <c r="Z4" s="2825"/>
      <c r="AA4" s="2825"/>
      <c r="AB4" s="2825"/>
      <c r="AC4" s="2825"/>
      <c r="AD4" s="2825"/>
      <c r="AE4" s="2825"/>
      <c r="AF4" s="2825"/>
      <c r="AG4" s="2827"/>
      <c r="AH4" s="4042" t="s">
        <v>2522</v>
      </c>
      <c r="AI4" s="4043"/>
      <c r="AJ4" s="2831"/>
      <c r="AK4" s="2832"/>
      <c r="AL4" s="2828"/>
      <c r="AM4" s="2827"/>
      <c r="AN4" s="2825"/>
      <c r="AO4" s="2833">
        <v>15534129</v>
      </c>
      <c r="AP4" s="2834" t="s">
        <v>2148</v>
      </c>
      <c r="AQ4" s="2835">
        <v>8271330.3067396097</v>
      </c>
      <c r="AR4" s="2828"/>
      <c r="AS4" s="2836">
        <f>(20000000-AL11)/AL11</f>
        <v>1.3002808235240391</v>
      </c>
      <c r="AT4" s="2837">
        <f>(20000000-AA11)/AA11</f>
        <v>6.2737641829221644</v>
      </c>
      <c r="AU4" s="2838"/>
      <c r="AV4" s="2825"/>
      <c r="AW4" s="2828"/>
      <c r="AX4" s="2826"/>
      <c r="AY4" s="2826"/>
      <c r="AZ4" s="2826"/>
      <c r="BA4" s="2828"/>
      <c r="BB4" s="2826"/>
      <c r="BC4" s="2826"/>
    </row>
    <row r="5" spans="1:55" ht="16" thickBot="1">
      <c r="A5" s="2829"/>
      <c r="B5" s="2839"/>
      <c r="C5" s="2839"/>
      <c r="D5" s="2826"/>
      <c r="E5" s="2826"/>
      <c r="F5" s="2840"/>
      <c r="K5" s="2830"/>
      <c r="M5" s="2840">
        <v>9.2024000000000008</v>
      </c>
      <c r="Y5" s="2841"/>
      <c r="Z5" s="2841"/>
      <c r="AA5" s="4032"/>
      <c r="AB5" s="4032"/>
      <c r="AC5" s="4032"/>
      <c r="AD5" s="2842"/>
      <c r="AE5" s="2842"/>
      <c r="AF5" s="2842"/>
      <c r="AG5" s="2827"/>
      <c r="AH5" s="2843"/>
      <c r="AI5" s="4033" t="s">
        <v>2523</v>
      </c>
      <c r="AJ5" s="2844">
        <f>(AL11-AA11)/AA11</f>
        <v>2.162120080529442</v>
      </c>
      <c r="AK5" s="2845"/>
      <c r="AL5" s="2828"/>
      <c r="AM5" s="2827"/>
      <c r="AO5" s="2847"/>
      <c r="AP5" s="2848" t="s">
        <v>2149</v>
      </c>
      <c r="AQ5" s="2849">
        <v>1745966.9614898348</v>
      </c>
      <c r="AR5" s="2828"/>
      <c r="AS5" s="4035" t="s">
        <v>2524</v>
      </c>
      <c r="AT5" s="4035"/>
      <c r="AU5" s="4036"/>
      <c r="AW5" s="2828"/>
      <c r="BA5" s="2828"/>
    </row>
    <row r="6" spans="1:55" ht="29.5" thickBot="1">
      <c r="A6" s="2850" t="s">
        <v>2525</v>
      </c>
      <c r="B6" s="2851"/>
      <c r="C6" s="2852"/>
      <c r="D6" s="2853"/>
      <c r="E6" s="2854" t="s">
        <v>2526</v>
      </c>
      <c r="F6" s="2855">
        <f>'G-3.12 PF Ins'!AL26</f>
        <v>14587489.671450399</v>
      </c>
      <c r="G6" s="2856"/>
      <c r="H6" s="2857"/>
      <c r="K6" s="2830"/>
      <c r="M6" s="2858">
        <f>F8</f>
        <v>23634725.956748988</v>
      </c>
      <c r="O6" s="2857"/>
      <c r="U6" s="2859"/>
      <c r="Y6" s="2860" t="s">
        <v>2527</v>
      </c>
      <c r="Z6" s="2841"/>
      <c r="AA6" s="2841"/>
      <c r="AB6" s="2841"/>
      <c r="AC6" s="2841"/>
      <c r="AD6" s="2841"/>
      <c r="AE6" s="2841"/>
      <c r="AF6" s="2841"/>
      <c r="AG6" s="2841"/>
      <c r="AH6" s="2861"/>
      <c r="AI6" s="4034"/>
      <c r="AJ6" s="2862"/>
      <c r="AK6" s="2863"/>
      <c r="AL6" s="2841"/>
      <c r="AM6" s="2841"/>
      <c r="AN6" s="2841"/>
      <c r="AO6" s="2841"/>
      <c r="AP6" s="2841"/>
      <c r="AQ6" s="2841"/>
      <c r="AR6" s="2841"/>
      <c r="AS6" s="4035"/>
      <c r="AT6" s="4035"/>
      <c r="AU6" s="4036"/>
      <c r="AV6" s="2860"/>
      <c r="AW6" s="2841"/>
      <c r="AX6" s="2841"/>
      <c r="AY6" s="2841"/>
      <c r="AZ6" s="2841"/>
      <c r="BA6" s="2841"/>
      <c r="BB6" s="2841"/>
      <c r="BC6" s="2841"/>
    </row>
    <row r="7" spans="1:55" ht="14.5">
      <c r="A7" s="2850"/>
      <c r="B7" s="2851"/>
      <c r="C7" s="2864"/>
      <c r="D7" s="2853"/>
      <c r="E7" s="2826"/>
      <c r="F7" s="2826"/>
      <c r="H7" s="2853"/>
      <c r="K7" s="2830"/>
      <c r="O7" s="2853"/>
      <c r="U7" s="2859"/>
      <c r="Y7" s="2841"/>
      <c r="Z7" s="2841"/>
      <c r="AA7" s="2865"/>
      <c r="AB7" s="2865"/>
      <c r="AC7" s="2865"/>
      <c r="AD7" s="2865"/>
      <c r="AE7" s="2865"/>
      <c r="AF7" s="2865"/>
      <c r="AG7" s="2866"/>
      <c r="AH7" s="2841"/>
      <c r="AI7" s="2841"/>
      <c r="AJ7" s="2841"/>
      <c r="AK7" s="2866"/>
      <c r="AL7" s="2841"/>
      <c r="AM7" s="2841"/>
      <c r="AN7" s="2841"/>
      <c r="AO7" s="2841" t="s">
        <v>2528</v>
      </c>
      <c r="AP7" s="2841"/>
      <c r="AQ7" s="2867">
        <v>45214</v>
      </c>
      <c r="AR7" s="2866"/>
      <c r="AS7" s="2841" t="s">
        <v>2528</v>
      </c>
      <c r="AT7" s="2841"/>
      <c r="AU7" s="2867">
        <v>45214</v>
      </c>
      <c r="AV7" s="2841"/>
      <c r="AW7" s="2841" t="s">
        <v>2528</v>
      </c>
      <c r="AX7" s="2841"/>
      <c r="AY7" s="2867">
        <v>45214</v>
      </c>
      <c r="AZ7" s="2841"/>
      <c r="BA7" s="2841" t="s">
        <v>2528</v>
      </c>
      <c r="BB7" s="2841"/>
      <c r="BC7" s="2867">
        <v>45214</v>
      </c>
    </row>
    <row r="8" spans="1:55" ht="15.5">
      <c r="A8" s="2850" t="s">
        <v>2529</v>
      </c>
      <c r="B8" s="2851"/>
      <c r="C8" s="2868"/>
      <c r="D8" s="2853"/>
      <c r="E8" s="2869" t="s">
        <v>2530</v>
      </c>
      <c r="F8" s="2870">
        <f>'G-3.12 PF Ins'!AW26</f>
        <v>23634725.956748988</v>
      </c>
      <c r="G8" s="2856"/>
      <c r="H8" s="2871"/>
      <c r="K8" s="2830"/>
      <c r="M8" s="2872">
        <f>'G-3.12 PF Ins'!AT27</f>
        <v>21470999.575468473</v>
      </c>
      <c r="O8" s="2871"/>
      <c r="U8" s="2858"/>
      <c r="Y8" s="2841"/>
      <c r="Z8" s="2841"/>
      <c r="AA8" s="4037" t="s">
        <v>2531</v>
      </c>
      <c r="AB8" s="4038"/>
      <c r="AC8" s="4039"/>
      <c r="AD8" s="4037" t="s">
        <v>2532</v>
      </c>
      <c r="AE8" s="4038"/>
      <c r="AF8" s="4039"/>
      <c r="AG8" s="2873"/>
      <c r="AH8" s="2874">
        <v>44926</v>
      </c>
      <c r="AI8" s="2874"/>
      <c r="AJ8" s="2874"/>
      <c r="AK8" s="2873"/>
      <c r="AL8" s="2874">
        <v>45107</v>
      </c>
      <c r="AM8" s="2874"/>
      <c r="AN8" s="2874"/>
      <c r="AO8" s="4024" t="s">
        <v>2533</v>
      </c>
      <c r="AP8" s="4025"/>
      <c r="AQ8" s="4026"/>
      <c r="AR8" s="2875"/>
      <c r="AS8" s="4024" t="s">
        <v>2534</v>
      </c>
      <c r="AT8" s="4025"/>
      <c r="AU8" s="4026"/>
      <c r="AV8" s="2876"/>
      <c r="AW8" s="4024" t="s">
        <v>2535</v>
      </c>
      <c r="AX8" s="4025"/>
      <c r="AY8" s="4026"/>
      <c r="AZ8" s="2841"/>
      <c r="BA8" s="4024" t="s">
        <v>2536</v>
      </c>
      <c r="BB8" s="4025"/>
      <c r="BC8" s="4026"/>
    </row>
    <row r="9" spans="1:55" ht="24">
      <c r="A9" s="2829"/>
      <c r="B9" s="2851"/>
      <c r="C9" s="2864"/>
      <c r="D9" s="2853"/>
      <c r="E9" s="2826"/>
      <c r="F9" s="2826"/>
      <c r="H9" s="2853"/>
      <c r="K9" s="2830"/>
      <c r="O9" s="2853"/>
      <c r="Y9" s="2877" t="s">
        <v>2537</v>
      </c>
      <c r="Z9" s="2877"/>
      <c r="AA9" s="2878" t="s">
        <v>2538</v>
      </c>
      <c r="AB9" s="2879" t="s">
        <v>2539</v>
      </c>
      <c r="AC9" s="2880" t="s">
        <v>2540</v>
      </c>
      <c r="AD9" s="2878" t="s">
        <v>2538</v>
      </c>
      <c r="AE9" s="2881" t="s">
        <v>2539</v>
      </c>
      <c r="AF9" s="2882" t="s">
        <v>2540</v>
      </c>
      <c r="AG9" s="2882"/>
      <c r="AH9" s="2878" t="s">
        <v>2538</v>
      </c>
      <c r="AI9" s="2881"/>
      <c r="AJ9" s="2881"/>
      <c r="AK9" s="2882"/>
      <c r="AL9" s="2883" t="s">
        <v>2538</v>
      </c>
      <c r="AM9" s="2881"/>
      <c r="AN9" s="2881"/>
      <c r="AO9" s="2878" t="s">
        <v>2538</v>
      </c>
      <c r="AP9" s="2879" t="s">
        <v>2539</v>
      </c>
      <c r="AQ9" s="2880" t="s">
        <v>2540</v>
      </c>
      <c r="AR9" s="2882"/>
      <c r="AS9" s="2878" t="s">
        <v>2538</v>
      </c>
      <c r="AT9" s="2881" t="s">
        <v>2539</v>
      </c>
      <c r="AU9" s="2882" t="s">
        <v>2540</v>
      </c>
      <c r="AV9" s="2884"/>
      <c r="AW9" s="2883" t="s">
        <v>2538</v>
      </c>
      <c r="AX9" s="2879" t="s">
        <v>2539</v>
      </c>
      <c r="AY9" s="2880" t="s">
        <v>2540</v>
      </c>
      <c r="AZ9" s="2876"/>
      <c r="BA9" s="2878" t="s">
        <v>2538</v>
      </c>
      <c r="BB9" s="2879" t="s">
        <v>2539</v>
      </c>
      <c r="BC9" s="2880" t="s">
        <v>2540</v>
      </c>
    </row>
    <row r="10" spans="1:55" ht="15" thickBot="1">
      <c r="A10" s="2829" t="s">
        <v>2541</v>
      </c>
      <c r="B10" s="2851"/>
      <c r="C10" s="2864"/>
      <c r="D10" s="2853"/>
      <c r="E10" s="2826"/>
      <c r="F10" s="2885">
        <f>F8-F6</f>
        <v>9047236.2852985896</v>
      </c>
      <c r="H10" s="2871"/>
      <c r="K10" s="2830"/>
      <c r="M10" s="2885">
        <f>M8-M6</f>
        <v>-2163726.3812805153</v>
      </c>
      <c r="O10" s="2871"/>
      <c r="U10" s="2858"/>
      <c r="AA10" s="2842"/>
      <c r="AB10" s="2842"/>
      <c r="AC10" s="2842"/>
      <c r="AD10" s="2886"/>
      <c r="AE10" s="2886"/>
      <c r="AF10" s="2886"/>
      <c r="AG10" s="2886"/>
      <c r="AK10" s="2886"/>
      <c r="AS10" s="2887"/>
      <c r="AT10" s="2887"/>
      <c r="AU10" s="2887"/>
    </row>
    <row r="11" spans="1:55" ht="14.5">
      <c r="A11" s="2829"/>
      <c r="B11" s="2829"/>
      <c r="C11" s="2826"/>
      <c r="D11" s="2853"/>
      <c r="E11" s="2826"/>
      <c r="F11" s="2826"/>
      <c r="H11" s="2853"/>
      <c r="K11" s="2830"/>
      <c r="O11" s="2853"/>
      <c r="U11" s="2858"/>
      <c r="Y11" s="2841" t="s">
        <v>2522</v>
      </c>
      <c r="Z11" s="2841"/>
      <c r="AA11" s="2888">
        <v>2749607.9742256906</v>
      </c>
      <c r="AB11" s="2889">
        <v>2981117.1661600005</v>
      </c>
      <c r="AC11" s="2890" t="s">
        <v>1740</v>
      </c>
      <c r="AD11" s="2888">
        <v>5551297.6332862293</v>
      </c>
      <c r="AE11" s="2889">
        <v>5806260.457470228</v>
      </c>
      <c r="AF11" s="2890" t="s">
        <v>1740</v>
      </c>
      <c r="AG11" s="2890"/>
      <c r="AH11" s="2888">
        <v>8552657.184728371</v>
      </c>
      <c r="AI11" s="2889" t="s">
        <v>1740</v>
      </c>
      <c r="AJ11" s="2891">
        <f>(AO11-AH11)/AH11</f>
        <v>6.532367853200384E-2</v>
      </c>
      <c r="AK11" s="2890"/>
      <c r="AL11" s="2888">
        <v>8694590.5888829362</v>
      </c>
      <c r="AM11" s="2889" t="s">
        <v>1740</v>
      </c>
      <c r="AN11" s="2891">
        <f>(AS11-AL11)/AL11</f>
        <v>0.67486800678563508</v>
      </c>
      <c r="AO11" s="2888">
        <v>9111348.2132580001</v>
      </c>
      <c r="AP11" s="2889">
        <v>9360680.1660639998</v>
      </c>
      <c r="AQ11" s="2892" t="s">
        <v>1740</v>
      </c>
      <c r="AR11" s="2891">
        <f>(AS11-AO11)/AO11</f>
        <v>0.59825870645902768</v>
      </c>
      <c r="AS11" s="2893">
        <v>14562291.609419504</v>
      </c>
      <c r="AT11" s="2894">
        <v>14822938.225620503</v>
      </c>
      <c r="AU11" s="2890" t="s">
        <v>2542</v>
      </c>
      <c r="AV11" s="2891">
        <f>(AW11-AS11)/AS11</f>
        <v>0.11279518967343687</v>
      </c>
      <c r="AW11" s="2895">
        <v>16204848.053583875</v>
      </c>
      <c r="AX11" s="2896">
        <v>16465495.512782231</v>
      </c>
      <c r="AY11" s="2846" t="s">
        <v>2542</v>
      </c>
      <c r="AZ11" s="2891">
        <f>(BA11-AW11)/AW11</f>
        <v>9.9070230324310574E-2</v>
      </c>
      <c r="BA11" s="2895">
        <v>17810266.082622886</v>
      </c>
      <c r="BB11" s="2896">
        <v>18070912.698823884</v>
      </c>
      <c r="BC11" s="2846" t="s">
        <v>2542</v>
      </c>
    </row>
    <row r="12" spans="1:55" ht="73" thickBot="1">
      <c r="A12" s="2897"/>
      <c r="B12" s="2897"/>
      <c r="C12" s="2898"/>
      <c r="D12" s="2899"/>
      <c r="E12" s="2897"/>
      <c r="F12" s="2900" t="s">
        <v>2543</v>
      </c>
      <c r="G12" s="2900" t="s">
        <v>2544</v>
      </c>
      <c r="H12" s="2901"/>
      <c r="J12" s="2900" t="s">
        <v>2545</v>
      </c>
      <c r="K12" s="2902"/>
      <c r="L12" s="1848"/>
      <c r="M12" s="2900" t="s">
        <v>2546</v>
      </c>
      <c r="N12" s="2903" t="s">
        <v>2544</v>
      </c>
      <c r="O12" s="2901"/>
      <c r="Q12" s="2900" t="s">
        <v>2547</v>
      </c>
      <c r="AA12" s="2842"/>
      <c r="AB12" s="2842"/>
      <c r="AC12" s="2842"/>
      <c r="AD12" s="2886"/>
      <c r="AE12" s="2886"/>
      <c r="AF12" s="2886"/>
      <c r="AG12" s="2886"/>
      <c r="AK12" s="2886"/>
      <c r="AR12" s="2904"/>
      <c r="AV12" s="2904"/>
      <c r="AW12" s="2896"/>
      <c r="AZ12" s="2904"/>
    </row>
    <row r="13" spans="1:55" ht="15" thickBot="1">
      <c r="A13" s="2905" t="s">
        <v>2548</v>
      </c>
      <c r="B13" s="2905"/>
      <c r="C13" s="2906"/>
      <c r="D13" s="2907"/>
      <c r="E13" s="2906"/>
      <c r="F13" s="2908">
        <f>F10-G13</f>
        <v>4023092.0644489527</v>
      </c>
      <c r="G13" s="2909">
        <f>'G-3.12 PF Ins'!AY30</f>
        <v>5024144.2208496369</v>
      </c>
      <c r="H13" s="2910"/>
      <c r="J13" s="2911">
        <f>F13+G13</f>
        <v>9047236.2852985896</v>
      </c>
      <c r="K13" s="2912"/>
      <c r="L13" s="2858"/>
      <c r="M13" s="2858">
        <f>'G-3.12 PF Ins'!AU32</f>
        <v>0</v>
      </c>
      <c r="N13" s="2913">
        <f>'G-3.12 PF Ins'!AU30</f>
        <v>0</v>
      </c>
      <c r="O13" s="2910"/>
      <c r="Q13" s="2911">
        <f>M13+N13</f>
        <v>0</v>
      </c>
      <c r="Y13" s="2841" t="s">
        <v>2549</v>
      </c>
      <c r="Z13" s="2841"/>
      <c r="AA13" s="2888">
        <v>894645.61195616436</v>
      </c>
      <c r="AB13" s="2889">
        <v>1279676.3480219177</v>
      </c>
      <c r="AC13" s="2890" t="s">
        <v>1740</v>
      </c>
      <c r="AD13" s="2888">
        <v>1041330.8357008218</v>
      </c>
      <c r="AE13" s="2889">
        <v>1391964.4578378082</v>
      </c>
      <c r="AF13" s="2890" t="s">
        <v>1740</v>
      </c>
      <c r="AG13" s="2890"/>
      <c r="AH13" s="2888">
        <v>1195577.7276346576</v>
      </c>
      <c r="AI13" s="2889" t="s">
        <v>1740</v>
      </c>
      <c r="AJ13" s="2891">
        <f>(AO13-AH13)/AH13</f>
        <v>-2.4395654700474571E-4</v>
      </c>
      <c r="AK13" s="2890"/>
      <c r="AL13" s="2888">
        <v>1195504.8103811303</v>
      </c>
      <c r="AM13" s="2889" t="s">
        <v>1740</v>
      </c>
      <c r="AN13" s="2891">
        <f>(AS13-AL13)/AL13</f>
        <v>8.4161848457784075E-3</v>
      </c>
      <c r="AO13" s="2888">
        <v>1195286.0586205481</v>
      </c>
      <c r="AP13" s="2889">
        <v>1438518.1805383561</v>
      </c>
      <c r="AQ13" s="2892" t="s">
        <v>1740</v>
      </c>
      <c r="AR13" s="2891">
        <f>(AS13-AO13)/AO13</f>
        <v>8.6007371663243265E-3</v>
      </c>
      <c r="AS13" s="2893">
        <v>1205566.3998493152</v>
      </c>
      <c r="AT13" s="2894">
        <v>1450965.285671233</v>
      </c>
      <c r="AU13" s="2890" t="s">
        <v>2542</v>
      </c>
      <c r="AV13" s="2891">
        <f>(AW13-AS13)/AS13</f>
        <v>-5.3895199491848971E-3</v>
      </c>
      <c r="AW13" s="2895">
        <v>1199068.9756872603</v>
      </c>
      <c r="AX13" s="2896">
        <v>1435762.4122180822</v>
      </c>
      <c r="AY13" s="2846" t="s">
        <v>2542</v>
      </c>
      <c r="AZ13" s="2891">
        <f>(BA13-AW13)/AW13</f>
        <v>-5.3355377274102479E-3</v>
      </c>
      <c r="BA13" s="2895">
        <v>1192671.2979297137</v>
      </c>
      <c r="BB13" s="2896">
        <v>1421094.5576339946</v>
      </c>
      <c r="BC13" s="2846" t="s">
        <v>2542</v>
      </c>
    </row>
    <row r="14" spans="1:55" ht="15" thickTop="1">
      <c r="A14" s="2914" t="s">
        <v>2550</v>
      </c>
      <c r="B14" s="2906"/>
      <c r="C14" s="2906"/>
      <c r="D14" s="2907"/>
      <c r="E14" s="2906"/>
      <c r="F14" s="2906"/>
      <c r="G14" s="2913"/>
      <c r="H14" s="2907"/>
      <c r="K14" s="2830"/>
      <c r="O14" s="2907"/>
      <c r="AA14" s="2842"/>
      <c r="AB14" s="2842"/>
      <c r="AC14" s="2842"/>
      <c r="AD14" s="2886"/>
      <c r="AE14" s="2886"/>
      <c r="AF14" s="2886"/>
      <c r="AG14" s="2886"/>
      <c r="AK14" s="2886"/>
      <c r="AR14" s="2904"/>
      <c r="AV14" s="2904"/>
      <c r="AW14" s="2896"/>
      <c r="AZ14" s="2904"/>
    </row>
    <row r="15" spans="1:55" ht="14.5">
      <c r="A15" s="2915" t="s">
        <v>2457</v>
      </c>
      <c r="B15" s="2915"/>
      <c r="C15" s="2906"/>
      <c r="D15" s="2907"/>
      <c r="E15" s="2906"/>
      <c r="F15" s="2906"/>
      <c r="G15" s="2913"/>
      <c r="H15" s="2907"/>
      <c r="K15" s="2830"/>
      <c r="O15" s="2907"/>
      <c r="Y15" s="2841" t="s">
        <v>10</v>
      </c>
      <c r="Z15" s="2841"/>
      <c r="AA15" s="2888">
        <v>1762594.7502783902</v>
      </c>
      <c r="AB15" s="2889">
        <v>1792894.2931367236</v>
      </c>
      <c r="AC15" s="2890" t="s">
        <v>1740</v>
      </c>
      <c r="AD15" s="2888">
        <v>2210376.3658224167</v>
      </c>
      <c r="AE15" s="2889">
        <v>2265607.1283510835</v>
      </c>
      <c r="AF15" s="2890" t="s">
        <v>1740</v>
      </c>
      <c r="AG15" s="2890"/>
      <c r="AH15" s="2888">
        <v>2709827.2793219676</v>
      </c>
      <c r="AI15" s="2889" t="s">
        <v>1740</v>
      </c>
      <c r="AJ15" s="2891">
        <f>(AO15-AH15)/AH15</f>
        <v>0.10154149694526476</v>
      </c>
      <c r="AK15" s="2890"/>
      <c r="AL15" s="2888">
        <v>2853718.3493644134</v>
      </c>
      <c r="AM15" s="2889" t="s">
        <v>1740</v>
      </c>
      <c r="AN15" s="2891">
        <f>(AS15-AL15)/AL15</f>
        <v>0.25728226954070088</v>
      </c>
      <c r="AO15" s="2888">
        <v>2984987.1977274343</v>
      </c>
      <c r="AP15" s="2889">
        <v>3110559.8384863511</v>
      </c>
      <c r="AQ15" s="2892" t="s">
        <v>1740</v>
      </c>
      <c r="AR15" s="2891">
        <f>(AS15-AO15)/AO15</f>
        <v>0.20199158162233904</v>
      </c>
      <c r="AS15" s="2893">
        <v>3587929.4829188325</v>
      </c>
      <c r="AT15" s="2894">
        <v>3674844.4829188325</v>
      </c>
      <c r="AU15" s="2916" t="s">
        <v>2542</v>
      </c>
      <c r="AV15" s="2891">
        <f>(AW15-AS15)/AS15</f>
        <v>0.10148639070459049</v>
      </c>
      <c r="AW15" s="2895">
        <v>3952055.4962428524</v>
      </c>
      <c r="AX15" s="2896">
        <v>4038970.4962428524</v>
      </c>
      <c r="AY15" s="2846" t="s">
        <v>2542</v>
      </c>
      <c r="AZ15" s="2891">
        <f>(BA15-AW15)/AW15</f>
        <v>6.882149002577978E-2</v>
      </c>
      <c r="BA15" s="2895">
        <v>4224041.8441588581</v>
      </c>
      <c r="BB15" s="2896">
        <v>4310956.8441588581</v>
      </c>
      <c r="BC15" s="2846" t="s">
        <v>2542</v>
      </c>
    </row>
    <row r="16" spans="1:55" ht="15" thickBot="1">
      <c r="A16" s="2905">
        <v>0.70111999999999997</v>
      </c>
      <c r="B16" s="2905"/>
      <c r="C16" s="2906" t="s">
        <v>2387</v>
      </c>
      <c r="D16" s="2907"/>
      <c r="E16" s="2906"/>
      <c r="F16" s="2906"/>
      <c r="G16" s="2913"/>
      <c r="H16" s="2907"/>
      <c r="K16" s="2830"/>
      <c r="O16" s="2907"/>
      <c r="U16" s="2917"/>
      <c r="AA16" s="2842"/>
      <c r="AB16" s="2842"/>
      <c r="AC16" s="2842"/>
      <c r="AD16" s="2886"/>
      <c r="AE16" s="2886"/>
      <c r="AF16" s="2886"/>
      <c r="AG16" s="2886"/>
      <c r="AK16" s="2886"/>
      <c r="AR16" s="2904"/>
      <c r="AV16" s="2904"/>
      <c r="AW16" s="2896"/>
      <c r="AZ16" s="2904"/>
    </row>
    <row r="17" spans="1:55" ht="15" thickBot="1">
      <c r="A17" s="2918">
        <v>0.66942999999999997</v>
      </c>
      <c r="B17" s="2905"/>
      <c r="C17" s="2906" t="s">
        <v>2388</v>
      </c>
      <c r="D17" s="2907"/>
      <c r="E17" s="2906"/>
      <c r="F17" s="2919">
        <f>((F13)*$A$16*$A$17)</f>
        <v>1888241.324436032</v>
      </c>
      <c r="G17" s="2920">
        <f>'G-3.12 PF Ins'!AY28</f>
        <v>3371334.4525925973</v>
      </c>
      <c r="H17" s="2921"/>
      <c r="J17" s="2922">
        <f>F17+G17</f>
        <v>5259575.7770286296</v>
      </c>
      <c r="K17" s="2912"/>
      <c r="L17" s="2858"/>
      <c r="M17" s="2913">
        <f>M13*A16*A17</f>
        <v>0</v>
      </c>
      <c r="N17" s="2913">
        <f>'G-3.12 PF Ins'!AU28</f>
        <v>0</v>
      </c>
      <c r="O17" s="2921"/>
      <c r="Q17" s="2858">
        <f>M17+N17</f>
        <v>0</v>
      </c>
      <c r="T17" s="2923"/>
      <c r="U17" s="2917"/>
      <c r="Y17" s="2841" t="s">
        <v>2551</v>
      </c>
      <c r="Z17" s="2841"/>
      <c r="AA17" s="2888">
        <v>331524.54666666669</v>
      </c>
      <c r="AB17" s="2889">
        <v>331524.54666666669</v>
      </c>
      <c r="AC17" s="2890" t="s">
        <v>1740</v>
      </c>
      <c r="AD17" s="2888">
        <v>415425.53038251365</v>
      </c>
      <c r="AE17" s="2889">
        <v>415425.53038251365</v>
      </c>
      <c r="AF17" s="2890" t="s">
        <v>1740</v>
      </c>
      <c r="AG17" s="2890"/>
      <c r="AH17" s="2888">
        <v>643833.78244299721</v>
      </c>
      <c r="AI17" s="2889" t="s">
        <v>1740</v>
      </c>
      <c r="AJ17" s="2891">
        <f>(AO17-AH17)/AH17</f>
        <v>0.2541363626353107</v>
      </c>
      <c r="AK17" s="2890"/>
      <c r="AL17" s="2888">
        <v>742959.38282191788</v>
      </c>
      <c r="AM17" s="2889" t="s">
        <v>1740</v>
      </c>
      <c r="AN17" s="2891">
        <f>(AS17-AL17)/AL17</f>
        <v>0.12009587617688439</v>
      </c>
      <c r="AO17" s="2888">
        <v>807455.35805479449</v>
      </c>
      <c r="AP17" s="2889">
        <v>807455.35805479449</v>
      </c>
      <c r="AQ17" s="2892" t="s">
        <v>1740</v>
      </c>
      <c r="AR17" s="2891">
        <f>(AS17-AO17)/AO17</f>
        <v>3.0627554284283629E-2</v>
      </c>
      <c r="AS17" s="2893">
        <v>832185.74086575338</v>
      </c>
      <c r="AT17" s="2894">
        <v>834885.74086575338</v>
      </c>
      <c r="AU17" s="2916" t="s">
        <v>2542</v>
      </c>
      <c r="AV17" s="2891">
        <f>(AW17-AS17)/AS17</f>
        <v>3.0000000000000072E-2</v>
      </c>
      <c r="AW17" s="2895">
        <v>857151.31309172604</v>
      </c>
      <c r="AX17" s="2896">
        <v>859851.31309172604</v>
      </c>
      <c r="AY17" s="2846" t="s">
        <v>2542</v>
      </c>
      <c r="AZ17" s="2891">
        <f>(BA17-AW17)/AW17</f>
        <v>2.9999999999999971E-2</v>
      </c>
      <c r="BA17" s="2895">
        <v>882865.8524844778</v>
      </c>
      <c r="BB17" s="2896">
        <v>885565.8524844778</v>
      </c>
      <c r="BC17" s="2846" t="s">
        <v>2542</v>
      </c>
    </row>
    <row r="18" spans="1:55" ht="15.5" thickTop="1" thickBot="1">
      <c r="A18" s="2906"/>
      <c r="B18" s="2906"/>
      <c r="C18" s="2906"/>
      <c r="D18" s="2907"/>
      <c r="E18" s="2906"/>
      <c r="F18" s="2906"/>
      <c r="G18" s="2913"/>
      <c r="H18" s="2907"/>
      <c r="K18" s="2830"/>
      <c r="O18" s="2907"/>
      <c r="T18" s="2856"/>
      <c r="AA18" s="2842"/>
      <c r="AB18" s="2842"/>
      <c r="AC18" s="2842"/>
      <c r="AD18" s="2886"/>
      <c r="AE18" s="2886"/>
      <c r="AF18" s="2886"/>
      <c r="AG18" s="2886"/>
      <c r="AK18" s="2886"/>
      <c r="AR18" s="2904"/>
      <c r="AV18" s="2904"/>
      <c r="AW18" s="2896"/>
      <c r="AZ18" s="2904"/>
    </row>
    <row r="19" spans="1:55" ht="15" thickBot="1">
      <c r="A19" s="2915" t="s">
        <v>2463</v>
      </c>
      <c r="B19" s="2915"/>
      <c r="C19" s="2906"/>
      <c r="D19" s="2907"/>
      <c r="E19" s="2906"/>
      <c r="F19" s="2906"/>
      <c r="G19" s="2913"/>
      <c r="H19" s="2907"/>
      <c r="K19" s="2830"/>
      <c r="O19" s="2907"/>
      <c r="S19" s="2924" t="s">
        <v>2552</v>
      </c>
      <c r="T19" s="2925" t="s">
        <v>2553</v>
      </c>
      <c r="U19" s="2926" t="s">
        <v>2554</v>
      </c>
      <c r="Y19" s="2841" t="s">
        <v>2555</v>
      </c>
      <c r="Z19" s="2841"/>
      <c r="AA19" s="2888">
        <v>630847.47</v>
      </c>
      <c r="AB19" s="2889">
        <v>630847.47</v>
      </c>
      <c r="AC19" s="2890" t="s">
        <v>1740</v>
      </c>
      <c r="AD19" s="2888">
        <v>673609.96000000008</v>
      </c>
      <c r="AE19" s="2889">
        <v>673609.96000000008</v>
      </c>
      <c r="AF19" s="2890" t="s">
        <v>1740</v>
      </c>
      <c r="AG19" s="2890"/>
      <c r="AH19" s="2888">
        <v>798869.4</v>
      </c>
      <c r="AI19" s="2889" t="s">
        <v>1740</v>
      </c>
      <c r="AJ19" s="2891">
        <f>(AO19-AH19)/AH19</f>
        <v>6.6182031756382093E-3</v>
      </c>
      <c r="AK19" s="2890"/>
      <c r="AL19" s="2888">
        <v>756855.54</v>
      </c>
      <c r="AM19" s="2889" t="s">
        <v>1740</v>
      </c>
      <c r="AN19" s="2891">
        <f>(AS19-AL19)/AL19</f>
        <v>0.20062122079465802</v>
      </c>
      <c r="AO19" s="2888">
        <v>804156.48000000021</v>
      </c>
      <c r="AP19" s="2889">
        <v>804156.48000000021</v>
      </c>
      <c r="AQ19" s="2892" t="s">
        <v>2542</v>
      </c>
      <c r="AR19" s="2891">
        <f>(AS19-AO19)/AO19</f>
        <v>0.12999999999999992</v>
      </c>
      <c r="AS19" s="2893">
        <v>908696.82240000018</v>
      </c>
      <c r="AT19" s="2894">
        <v>908696.82240000018</v>
      </c>
      <c r="AU19" s="2916" t="s">
        <v>2542</v>
      </c>
      <c r="AV19" s="2891">
        <f>(AW19-AS19)/AS19</f>
        <v>0.12999999999999995</v>
      </c>
      <c r="AW19" s="2895">
        <v>1026827.4093120001</v>
      </c>
      <c r="AX19" s="2896">
        <v>1026827.4093120001</v>
      </c>
      <c r="AY19" s="2846" t="s">
        <v>2542</v>
      </c>
      <c r="AZ19" s="2891">
        <f>(BA19-AW19)/AW19</f>
        <v>-0.59768857331458436</v>
      </c>
      <c r="BA19" s="2895">
        <v>413104.40000000008</v>
      </c>
      <c r="BB19" s="2896">
        <v>413104.40000000008</v>
      </c>
      <c r="BC19" s="2846" t="s">
        <v>2542</v>
      </c>
    </row>
    <row r="20" spans="1:55" ht="15" thickBot="1">
      <c r="A20" s="2918">
        <v>0.20707999999999999</v>
      </c>
      <c r="B20" s="2905"/>
      <c r="C20" s="2906" t="s">
        <v>2387</v>
      </c>
      <c r="D20" s="2907"/>
      <c r="E20" s="2906"/>
      <c r="F20" s="2906"/>
      <c r="G20" s="2913"/>
      <c r="H20" s="2907"/>
      <c r="K20" s="2830"/>
      <c r="O20" s="2907"/>
      <c r="S20" s="2927" t="s">
        <v>2148</v>
      </c>
      <c r="T20" s="2928">
        <f>'G-3.12 PF Ins'!AX36</f>
        <v>12795273.282893196</v>
      </c>
      <c r="U20" s="2929" t="s">
        <v>2556</v>
      </c>
      <c r="AA20" s="2842"/>
      <c r="AB20" s="2842"/>
      <c r="AC20" s="2842"/>
      <c r="AD20" s="2886"/>
      <c r="AE20" s="2886"/>
      <c r="AF20" s="2886"/>
      <c r="AG20" s="2886"/>
      <c r="AK20" s="2886"/>
      <c r="AR20" s="2904"/>
      <c r="AV20" s="2904"/>
      <c r="AW20" s="2896"/>
      <c r="AZ20" s="2904"/>
    </row>
    <row r="21" spans="1:55" ht="15" thickBot="1">
      <c r="A21" s="2905">
        <v>0.71745999999999999</v>
      </c>
      <c r="B21" s="2905"/>
      <c r="C21" s="2906" t="s">
        <v>2388</v>
      </c>
      <c r="D21" s="2907"/>
      <c r="E21" s="2906"/>
      <c r="F21" s="2919">
        <f>((F13)*$A$20*$A$21)</f>
        <v>597717.29255043063</v>
      </c>
      <c r="G21" s="2913"/>
      <c r="H21" s="2921"/>
      <c r="J21" s="2922">
        <f>F21+G21</f>
        <v>597717.29255043063</v>
      </c>
      <c r="K21" s="2912"/>
      <c r="L21" s="2858"/>
      <c r="M21" s="2858">
        <f>$M$13*A20*A21</f>
        <v>0</v>
      </c>
      <c r="O21" s="2921"/>
      <c r="Q21" s="2858">
        <f>M21+N21</f>
        <v>0</v>
      </c>
      <c r="S21" s="2927" t="s">
        <v>2149</v>
      </c>
      <c r="T21" s="2928">
        <f>'G-3.12 PF Ins'!AX37</f>
        <v>2247385.4286230444</v>
      </c>
      <c r="U21" s="2929" t="s">
        <v>2556</v>
      </c>
      <c r="Y21" s="2841" t="s">
        <v>2557</v>
      </c>
      <c r="Z21" s="2841"/>
      <c r="AA21" s="2888">
        <v>374790</v>
      </c>
      <c r="AB21" s="2889">
        <v>379166</v>
      </c>
      <c r="AC21" s="2890" t="s">
        <v>1740</v>
      </c>
      <c r="AD21" s="2888">
        <v>434338</v>
      </c>
      <c r="AE21" s="2889">
        <v>441017.5</v>
      </c>
      <c r="AF21" s="2890" t="s">
        <v>1740</v>
      </c>
      <c r="AG21" s="2890"/>
      <c r="AH21" s="2888">
        <v>414652</v>
      </c>
      <c r="AI21" s="2889" t="s">
        <v>1740</v>
      </c>
      <c r="AJ21" s="2891">
        <f>(AO21-AH21)/AH21</f>
        <v>9.4951911482399703E-2</v>
      </c>
      <c r="AK21" s="2890"/>
      <c r="AL21" s="2888">
        <v>434338</v>
      </c>
      <c r="AM21" s="2889" t="s">
        <v>1740</v>
      </c>
      <c r="AN21" s="2891">
        <f>(AS21-AL21)/AL21</f>
        <v>0.13940332183691051</v>
      </c>
      <c r="AO21" s="2888">
        <v>454024</v>
      </c>
      <c r="AP21" s="2889">
        <v>461199</v>
      </c>
      <c r="AQ21" s="2892" t="s">
        <v>2542</v>
      </c>
      <c r="AR21" s="2891">
        <f>(AS21-AO21)/AO21</f>
        <v>9.0000000000000066E-2</v>
      </c>
      <c r="AS21" s="2893">
        <v>494886.16000000003</v>
      </c>
      <c r="AT21" s="2894">
        <v>502706.91000000003</v>
      </c>
      <c r="AU21" s="2916" t="s">
        <v>2542</v>
      </c>
      <c r="AV21" s="2891">
        <f>(AW21-AS21)/AS21</f>
        <v>4.0000000000000029E-2</v>
      </c>
      <c r="AW21" s="2895">
        <v>514681.60640000005</v>
      </c>
      <c r="AX21" s="2896">
        <v>522815.18640000006</v>
      </c>
      <c r="AY21" s="2846" t="s">
        <v>2542</v>
      </c>
      <c r="AZ21" s="2891">
        <f>(BA21-AW21)/AW21</f>
        <v>4.0000000000000098E-2</v>
      </c>
      <c r="BA21" s="2895">
        <v>535268.8706560001</v>
      </c>
      <c r="BB21" s="2896">
        <v>543727.79385600006</v>
      </c>
      <c r="BC21" s="2846" t="s">
        <v>2542</v>
      </c>
    </row>
    <row r="22" spans="1:55" ht="15" thickTop="1">
      <c r="A22" s="2906"/>
      <c r="B22" s="2906"/>
      <c r="C22" s="2906"/>
      <c r="D22" s="2907"/>
      <c r="E22" s="2906"/>
      <c r="F22" s="2906"/>
      <c r="G22" s="2913"/>
      <c r="H22" s="2907"/>
      <c r="K22" s="2830"/>
      <c r="O22" s="2907"/>
      <c r="AA22" s="2842"/>
      <c r="AB22" s="2842"/>
      <c r="AC22" s="2842"/>
      <c r="AD22" s="2886"/>
      <c r="AE22" s="2886"/>
      <c r="AF22" s="2886"/>
      <c r="AG22" s="2886"/>
      <c r="AK22" s="2886"/>
    </row>
    <row r="23" spans="1:55" ht="14.5">
      <c r="A23" s="2915" t="s">
        <v>2391</v>
      </c>
      <c r="B23" s="2915"/>
      <c r="C23" s="2906"/>
      <c r="D23" s="2907"/>
      <c r="E23" s="2906"/>
      <c r="F23" s="2906"/>
      <c r="G23" s="2913"/>
      <c r="H23" s="2907"/>
      <c r="K23" s="2830"/>
      <c r="O23" s="2907"/>
      <c r="Y23" s="2841" t="s">
        <v>2558</v>
      </c>
      <c r="Z23" s="2841"/>
      <c r="AA23" s="2930">
        <f>SUM(AA11:AA21)</f>
        <v>6744010.3531269114</v>
      </c>
      <c r="AB23" s="2931">
        <f>SUM(AB11:AB21)</f>
        <v>7395225.8239853084</v>
      </c>
      <c r="AC23" s="2842"/>
      <c r="AD23" s="2930">
        <f>SUM(AD11:AD21)</f>
        <v>10326378.325191982</v>
      </c>
      <c r="AE23" s="2931">
        <f>SUM(AE11:AE21)</f>
        <v>10993885.034041634</v>
      </c>
      <c r="AF23" s="2886"/>
      <c r="AG23" s="2886"/>
      <c r="AH23" s="2930">
        <f>SUM(AH11:AH21)</f>
        <v>14315417.374127993</v>
      </c>
      <c r="AI23" s="2930"/>
      <c r="AJ23" s="2930"/>
      <c r="AK23" s="2886"/>
      <c r="AL23" s="2930">
        <f>SUM(AL11:AL21)</f>
        <v>14677966.671450399</v>
      </c>
      <c r="AM23" s="2930"/>
      <c r="AN23" s="2930"/>
      <c r="AO23" s="2932">
        <f>SUM(AO11:AO21)</f>
        <v>15357257.307660777</v>
      </c>
      <c r="AP23" s="2931">
        <f>SUM(AP11:AP21)</f>
        <v>15982569.023143502</v>
      </c>
      <c r="AQ23" s="2933"/>
      <c r="AS23" s="2932">
        <f>SUM(AS11:AS21)</f>
        <v>21591556.215453405</v>
      </c>
      <c r="AT23" s="2931">
        <f>SUM(AT11:AT21)</f>
        <v>22195037.46747632</v>
      </c>
      <c r="AW23" s="2934">
        <f>SUM(AW11:AW21)</f>
        <v>23754632.854317714</v>
      </c>
      <c r="AX23" s="2931">
        <f>SUM(AX11:AX21)</f>
        <v>24349722.330046888</v>
      </c>
      <c r="BA23" s="2930">
        <f>SUM(BA11:BA21)</f>
        <v>25058218.347851936</v>
      </c>
      <c r="BB23" s="2931">
        <f>SUM(BB11:BB21)</f>
        <v>25645362.146957215</v>
      </c>
    </row>
    <row r="24" spans="1:55" ht="15" thickBot="1">
      <c r="A24" s="2905">
        <v>0.70111999999999997</v>
      </c>
      <c r="B24" s="2905"/>
      <c r="C24" s="2906" t="s">
        <v>2387</v>
      </c>
      <c r="D24" s="2907"/>
      <c r="E24" s="2906"/>
      <c r="F24" s="2906"/>
      <c r="G24" s="2913"/>
      <c r="H24" s="2907"/>
      <c r="K24" s="2830"/>
      <c r="O24" s="2907"/>
      <c r="AA24" s="2935"/>
      <c r="AB24" s="2935"/>
      <c r="AC24" s="2842"/>
      <c r="AD24" s="2936"/>
      <c r="AE24" s="2936"/>
      <c r="AF24" s="2886"/>
      <c r="AG24" s="2886"/>
      <c r="AH24" s="2935"/>
      <c r="AI24" s="2936"/>
      <c r="AJ24" s="2936"/>
      <c r="AK24" s="2886"/>
      <c r="AL24" s="2935" t="s">
        <v>2559</v>
      </c>
      <c r="AM24" s="2936"/>
      <c r="AN24" s="2936"/>
      <c r="AQ24" s="4027" t="s">
        <v>2560</v>
      </c>
      <c r="AR24" s="4027"/>
      <c r="AU24" s="4027" t="s">
        <v>2560</v>
      </c>
      <c r="AV24" s="4027"/>
      <c r="AW24" s="2935" t="s">
        <v>2559</v>
      </c>
      <c r="AY24" s="4027" t="s">
        <v>2560</v>
      </c>
      <c r="AZ24" s="4027"/>
      <c r="BA24" s="2935" t="s">
        <v>2559</v>
      </c>
    </row>
    <row r="25" spans="1:55" ht="15" thickBot="1">
      <c r="A25" s="2918">
        <v>0.33056999999999997</v>
      </c>
      <c r="B25" s="2905"/>
      <c r="C25" s="2906" t="s">
        <v>2388</v>
      </c>
      <c r="D25" s="2907"/>
      <c r="E25" s="2906"/>
      <c r="F25" s="2913">
        <f>((F13)*$A$24*$A$25)</f>
        <v>932428.98379041732</v>
      </c>
      <c r="G25" s="2913">
        <f>'G-3.12 PF Ins'!AY29</f>
        <v>1652809.7682570391</v>
      </c>
      <c r="H25" s="2921"/>
      <c r="J25" s="2913">
        <f>F25+G25</f>
        <v>2585238.7520474563</v>
      </c>
      <c r="K25" s="2830"/>
      <c r="M25" s="2937">
        <f>$M$13*A24*A25</f>
        <v>0</v>
      </c>
      <c r="N25" s="2937">
        <f>'G-3.12 PF Ins'!AU29</f>
        <v>0</v>
      </c>
      <c r="O25" s="2921"/>
      <c r="Q25" s="2938">
        <f>M25+N25</f>
        <v>0</v>
      </c>
      <c r="Z25" s="2939">
        <v>0.1</v>
      </c>
      <c r="AA25" s="2940">
        <f>-AA13*0.1</f>
        <v>-89464.561195616436</v>
      </c>
      <c r="AB25" s="2935"/>
      <c r="AC25" s="2842"/>
      <c r="AD25" s="2935"/>
      <c r="AE25" s="2935"/>
      <c r="AF25" s="2842"/>
      <c r="AK25" s="2941" t="s">
        <v>2561</v>
      </c>
      <c r="AL25" s="2942">
        <v>-90477</v>
      </c>
      <c r="AM25" s="2943"/>
      <c r="AO25" s="2942">
        <f>-AO13*0.1</f>
        <v>-119528.60586205481</v>
      </c>
      <c r="AQ25" s="4027"/>
      <c r="AR25" s="4027"/>
      <c r="AS25" s="2942">
        <f>-AS13*0.1</f>
        <v>-120556.63998493152</v>
      </c>
      <c r="AU25" s="4027"/>
      <c r="AV25" s="4027"/>
      <c r="AW25" s="2942">
        <f>-AW13*0.1</f>
        <v>-119906.89756872604</v>
      </c>
      <c r="AX25" s="2944" t="s">
        <v>2562</v>
      </c>
      <c r="AY25" s="4027"/>
      <c r="AZ25" s="4027"/>
      <c r="BA25" s="2942">
        <f>-BA13*0.1</f>
        <v>-119267.12979297138</v>
      </c>
    </row>
    <row r="26" spans="1:55" ht="15.5" thickTop="1" thickBot="1">
      <c r="A26" s="2906"/>
      <c r="B26" s="2906"/>
      <c r="C26" s="2906"/>
      <c r="D26" s="2907"/>
      <c r="E26" s="2906"/>
      <c r="F26" s="2906"/>
      <c r="G26" s="2913"/>
      <c r="H26" s="2907"/>
      <c r="K26" s="2830"/>
      <c r="O26" s="2907"/>
      <c r="AA26" s="2945">
        <f>AA23+AA25</f>
        <v>6654545.7919312948</v>
      </c>
      <c r="AB26" s="2935"/>
      <c r="AC26" s="2842"/>
      <c r="AD26" s="2935"/>
      <c r="AE26" s="2935"/>
      <c r="AF26" s="2842"/>
      <c r="AK26" s="2941"/>
      <c r="AL26" s="2946">
        <f>AL23+AL25</f>
        <v>14587489.671450399</v>
      </c>
      <c r="AO26" s="2947">
        <f>AO23+AO25</f>
        <v>15237728.701798722</v>
      </c>
      <c r="AS26" s="2947">
        <f>AS23+AS25</f>
        <v>21470999.575468473</v>
      </c>
      <c r="AW26" s="2946">
        <f>AW23+AW25</f>
        <v>23634725.956748988</v>
      </c>
      <c r="AX26" s="2948">
        <f>AW26-AL26</f>
        <v>9047236.2852985896</v>
      </c>
      <c r="BA26" s="2947">
        <f>BA23+BA25</f>
        <v>24938951.218058966</v>
      </c>
    </row>
    <row r="27" spans="1:55" ht="15" thickBot="1">
      <c r="A27" s="2915" t="s">
        <v>2392</v>
      </c>
      <c r="B27" s="2915"/>
      <c r="C27" s="2906"/>
      <c r="D27" s="2907"/>
      <c r="E27" s="2906"/>
      <c r="F27" s="2906"/>
      <c r="G27" s="2913"/>
      <c r="H27" s="2907"/>
      <c r="K27" s="2830"/>
      <c r="O27" s="2907"/>
      <c r="AJ27" s="2949"/>
      <c r="AN27" s="2949"/>
      <c r="AO27" s="2862"/>
      <c r="AP27" s="2950">
        <f>AO26</f>
        <v>15237728.701798722</v>
      </c>
      <c r="AQ27" s="2951"/>
      <c r="AR27" s="2952"/>
      <c r="AS27" s="2953"/>
      <c r="AT27" s="2954">
        <f>AS26</f>
        <v>21470999.575468473</v>
      </c>
      <c r="AU27" s="2951"/>
      <c r="AW27" s="2953" t="s">
        <v>2563</v>
      </c>
      <c r="AX27" s="2955">
        <f>AW26</f>
        <v>23634725.956748988</v>
      </c>
      <c r="AY27" s="2951" t="s">
        <v>2564</v>
      </c>
      <c r="BA27" s="2953" t="s">
        <v>2565</v>
      </c>
      <c r="BB27" s="2955">
        <f>BA26</f>
        <v>24938951.218058966</v>
      </c>
      <c r="BC27" s="2951" t="s">
        <v>2564</v>
      </c>
    </row>
    <row r="28" spans="1:55" ht="15" thickBot="1">
      <c r="A28" s="2918">
        <v>0.20707999999999999</v>
      </c>
      <c r="B28" s="2905"/>
      <c r="C28" s="2906" t="s">
        <v>2387</v>
      </c>
      <c r="D28" s="2907"/>
      <c r="E28" s="2906"/>
      <c r="F28" s="2906"/>
      <c r="G28" s="2913"/>
      <c r="H28" s="2907"/>
      <c r="K28" s="2830"/>
      <c r="O28" s="2907"/>
      <c r="AC28" s="2949"/>
      <c r="AD28" s="2949"/>
      <c r="AE28" s="2949"/>
      <c r="AF28" s="2949"/>
      <c r="AH28" s="2949" t="s">
        <v>2566</v>
      </c>
      <c r="AI28" s="2942">
        <v>2169057.2662500003</v>
      </c>
      <c r="AJ28" s="2949"/>
      <c r="AK28" s="2949" t="s">
        <v>2566</v>
      </c>
      <c r="AL28" s="2942">
        <f>(AI28/2)+(AP28/2)</f>
        <v>2324251.2503175</v>
      </c>
      <c r="AM28" s="2949"/>
      <c r="AN28" s="2949"/>
      <c r="AO28" s="2846" t="s">
        <v>2566</v>
      </c>
      <c r="AP28" s="2956">
        <v>2479445.2343850001</v>
      </c>
      <c r="AQ28" s="2957"/>
      <c r="AR28" s="2958"/>
      <c r="AS28" s="2846" t="s">
        <v>2566</v>
      </c>
      <c r="AT28" s="2956">
        <v>5042593.8866040064</v>
      </c>
      <c r="AU28" s="2957"/>
      <c r="AW28" s="2846" t="s">
        <v>2566</v>
      </c>
      <c r="AX28" s="2956">
        <v>5695585.7029100973</v>
      </c>
      <c r="AY28" s="2957">
        <f>AX28-AL28</f>
        <v>3371334.4525925973</v>
      </c>
      <c r="BA28" s="2846" t="s">
        <v>2566</v>
      </c>
      <c r="BB28" s="2956">
        <v>6318089.9021992534</v>
      </c>
      <c r="BC28" s="2957">
        <f>BB28-AX28</f>
        <v>622504.19928915612</v>
      </c>
    </row>
    <row r="29" spans="1:55" ht="15" thickBot="1">
      <c r="A29" s="2905">
        <v>0.28254000000000001</v>
      </c>
      <c r="B29" s="2905"/>
      <c r="C29" s="2906" t="s">
        <v>2388</v>
      </c>
      <c r="D29" s="2907"/>
      <c r="E29" s="2906"/>
      <c r="F29" s="2913">
        <f>((F13)*$A$28*$A$29)</f>
        <v>235384.61215565843</v>
      </c>
      <c r="G29" s="2913"/>
      <c r="H29" s="2921"/>
      <c r="J29" s="2913">
        <f>F29+G29</f>
        <v>235384.61215565843</v>
      </c>
      <c r="K29" s="2830"/>
      <c r="M29" s="2937">
        <f>$M$13*A28*A29</f>
        <v>0</v>
      </c>
      <c r="N29" s="2913"/>
      <c r="O29" s="2921"/>
      <c r="Q29" s="2938">
        <f>M29+N29</f>
        <v>0</v>
      </c>
      <c r="AC29" s="2949"/>
      <c r="AD29" s="2949"/>
      <c r="AE29" s="2949"/>
      <c r="AF29" s="2949"/>
      <c r="AH29" s="2846" t="s">
        <v>2567</v>
      </c>
      <c r="AI29" s="2940">
        <v>1092682.9837500001</v>
      </c>
      <c r="AJ29" s="2949"/>
      <c r="AK29" s="2846" t="s">
        <v>2567</v>
      </c>
      <c r="AL29" s="2940">
        <f>(AI29/2)+(AP29/2)</f>
        <v>1159716.9571825</v>
      </c>
      <c r="AM29" s="2949"/>
      <c r="AN29" s="2949"/>
      <c r="AO29" s="2846" t="s">
        <v>2567</v>
      </c>
      <c r="AP29" s="2959">
        <v>1226750.930615</v>
      </c>
      <c r="AQ29" s="2960"/>
      <c r="AR29" s="2958"/>
      <c r="AS29" s="2846" t="s">
        <v>2567</v>
      </c>
      <c r="AT29" s="2959">
        <v>2490074.0347679164</v>
      </c>
      <c r="AU29" s="2960"/>
      <c r="AW29" s="2846" t="s">
        <v>2567</v>
      </c>
      <c r="AX29" s="2959">
        <v>2812526.7254395392</v>
      </c>
      <c r="AY29" s="2960">
        <f>AX29-AL29</f>
        <v>1652809.7682570391</v>
      </c>
      <c r="BA29" s="2846" t="s">
        <v>2567</v>
      </c>
      <c r="BB29" s="2959">
        <v>3119924.3818920678</v>
      </c>
      <c r="BC29" s="2957">
        <f>BB29-AX29</f>
        <v>307397.65645252867</v>
      </c>
    </row>
    <row r="30" spans="1:55" ht="15" thickTop="1">
      <c r="A30" s="2905"/>
      <c r="B30" s="2905"/>
      <c r="C30" s="2906"/>
      <c r="D30" s="2907"/>
      <c r="E30" s="2906"/>
      <c r="F30" s="2961"/>
      <c r="G30" s="2913"/>
      <c r="H30" s="2921"/>
      <c r="K30" s="2830"/>
      <c r="O30" s="2921"/>
      <c r="AC30" s="2949"/>
      <c r="AD30" s="2949"/>
      <c r="AE30" s="2949"/>
      <c r="AF30" s="2949"/>
      <c r="AH30" s="2949"/>
      <c r="AI30" s="2962">
        <f>SUM(AI28:AI29)</f>
        <v>3261740.2500000005</v>
      </c>
      <c r="AJ30" s="2949"/>
      <c r="AK30" s="2949"/>
      <c r="AL30" s="2962">
        <f>SUM(AL28:AL29)</f>
        <v>3483968.2075</v>
      </c>
      <c r="AM30" s="2949"/>
      <c r="AN30" s="2949"/>
      <c r="AP30" s="2963">
        <f>SUM(AP28:AP29)</f>
        <v>3706196.165</v>
      </c>
      <c r="AQ30" s="2957"/>
      <c r="AR30" s="2958"/>
      <c r="AT30" s="2958">
        <f>SUM(AT28:AT29)</f>
        <v>7532667.9213719228</v>
      </c>
      <c r="AU30" s="2957"/>
      <c r="AV30" s="2964"/>
      <c r="AX30" s="2963">
        <f>SUM(AX28:AX29)</f>
        <v>8508112.4283496365</v>
      </c>
      <c r="AY30" s="2957">
        <f>SUM(AY28:AY29)</f>
        <v>5024144.2208496369</v>
      </c>
      <c r="BB30" s="2963">
        <f>SUM(BB28:BB29)</f>
        <v>9438014.2840913218</v>
      </c>
      <c r="BC30" s="2957">
        <f>SUM(BC28:BC29)</f>
        <v>929901.85574168479</v>
      </c>
    </row>
    <row r="31" spans="1:55" ht="14.5">
      <c r="A31" s="2915" t="s">
        <v>2393</v>
      </c>
      <c r="B31" s="2915"/>
      <c r="C31" s="2906"/>
      <c r="D31" s="2907"/>
      <c r="E31" s="2906"/>
      <c r="F31" s="2961"/>
      <c r="G31" s="2913"/>
      <c r="H31" s="2921"/>
      <c r="K31" s="2830"/>
      <c r="O31" s="2921"/>
      <c r="AC31" s="2949"/>
      <c r="AD31" s="2949"/>
      <c r="AE31" s="2949"/>
      <c r="AF31" s="2949"/>
      <c r="AH31" s="2949"/>
      <c r="AI31" s="2949"/>
      <c r="AJ31" s="2949"/>
      <c r="AK31" s="2949"/>
      <c r="AL31" s="2949"/>
      <c r="AM31" s="2949"/>
      <c r="AN31" s="2949"/>
      <c r="AQ31" s="2957"/>
      <c r="AU31" s="2965"/>
      <c r="AY31" s="2965"/>
      <c r="BC31" s="2965"/>
    </row>
    <row r="32" spans="1:55" ht="14.5">
      <c r="A32" s="2905">
        <v>9.1800000000000007E-2</v>
      </c>
      <c r="B32" s="2905"/>
      <c r="C32" s="2906" t="s">
        <v>2387</v>
      </c>
      <c r="D32" s="2907"/>
      <c r="E32" s="2906"/>
      <c r="F32" s="2961">
        <f>((F13)*$A$32)</f>
        <v>369319.85151641391</v>
      </c>
      <c r="H32" s="2921"/>
      <c r="J32" s="2858">
        <f>F32+G32</f>
        <v>369319.85151641391</v>
      </c>
      <c r="K32" s="2830"/>
      <c r="M32" s="2858">
        <f>$M$13*A32</f>
        <v>0</v>
      </c>
      <c r="O32" s="2921"/>
      <c r="Q32" s="2858">
        <f>M32+N32</f>
        <v>0</v>
      </c>
      <c r="AC32" s="2949"/>
      <c r="AD32" s="2949"/>
      <c r="AE32" s="2949"/>
      <c r="AH32" s="2949" t="s">
        <v>2568</v>
      </c>
      <c r="AI32" s="2966">
        <f>AH23-AI30</f>
        <v>11053677.124127993</v>
      </c>
      <c r="AJ32" s="2949"/>
      <c r="AK32" s="2949"/>
      <c r="AL32" s="2966">
        <f>AL26-AL30</f>
        <v>11103521.463950399</v>
      </c>
      <c r="AM32" s="2949"/>
      <c r="AN32" s="2949"/>
      <c r="AO32" s="2846" t="s">
        <v>2569</v>
      </c>
      <c r="AP32" s="2967">
        <f>AP27-AP30</f>
        <v>11531532.536798723</v>
      </c>
      <c r="AQ32" s="2968"/>
      <c r="AR32" s="2933"/>
      <c r="AS32" s="2846" t="s">
        <v>2569</v>
      </c>
      <c r="AT32" s="2967">
        <f>AT27-AT30</f>
        <v>13938331.654096551</v>
      </c>
      <c r="AU32" s="2968"/>
      <c r="AV32" s="2969"/>
      <c r="AW32" s="2846" t="s">
        <v>2569</v>
      </c>
      <c r="AX32" s="2970">
        <f>AX27-AX30</f>
        <v>15126613.528399352</v>
      </c>
      <c r="AY32" s="2968">
        <f>AX32-AL32</f>
        <v>4023092.0644489527</v>
      </c>
      <c r="BA32" s="2846" t="s">
        <v>2569</v>
      </c>
      <c r="BB32" s="2970">
        <f>BB27-BB30</f>
        <v>15500936.933967644</v>
      </c>
      <c r="BC32" s="2968"/>
    </row>
    <row r="33" spans="1:55" ht="14.5">
      <c r="A33" s="2905"/>
      <c r="B33" s="2905"/>
      <c r="C33" s="2906"/>
      <c r="D33" s="2907"/>
      <c r="E33" s="2906"/>
      <c r="F33" s="2906"/>
      <c r="H33" s="2907"/>
      <c r="K33" s="2830"/>
      <c r="O33" s="2907"/>
      <c r="Y33" s="2915" t="s">
        <v>2457</v>
      </c>
      <c r="Z33" s="2915"/>
      <c r="AA33" s="2906"/>
      <c r="AC33" s="2949"/>
      <c r="AD33" s="2949"/>
      <c r="AE33" s="2949"/>
      <c r="AF33" s="2949"/>
      <c r="AH33" s="2949" t="s">
        <v>2570</v>
      </c>
      <c r="AI33" s="2962">
        <f>AI32*Y34*Y35</f>
        <v>5188051.7766899709</v>
      </c>
      <c r="AJ33" s="2949"/>
      <c r="AK33" s="2949" t="s">
        <v>2570</v>
      </c>
      <c r="AL33" s="2962">
        <f>AL32*Y34*Y35</f>
        <v>5211446.2555470662</v>
      </c>
      <c r="AM33" s="2949"/>
      <c r="AN33" s="2949"/>
      <c r="AO33" s="2949" t="s">
        <v>2570</v>
      </c>
      <c r="AP33" s="2933">
        <f>AP32*Y34*Y35</f>
        <v>5412333.5785616599</v>
      </c>
      <c r="AQ33" s="2965"/>
      <c r="AS33" s="2949" t="s">
        <v>2570</v>
      </c>
      <c r="AT33" s="2933">
        <f>AT32*Y34*Y35</f>
        <v>6541966.5772836031</v>
      </c>
      <c r="AU33" s="2965"/>
      <c r="AV33" s="2933"/>
      <c r="AW33" s="2949" t="s">
        <v>2570</v>
      </c>
      <c r="AX33" s="2933">
        <f>AX32*Y34*Y35</f>
        <v>7099687.5799830984</v>
      </c>
      <c r="AY33" s="2957">
        <f>AX33-AL33</f>
        <v>1888241.3244360322</v>
      </c>
      <c r="BA33" s="2949" t="s">
        <v>2570</v>
      </c>
      <c r="BB33" s="2933">
        <f>BB32*Y34*Y35</f>
        <v>7275376.5554712825</v>
      </c>
      <c r="BC33" s="2968">
        <f>BB33-AX33</f>
        <v>175688.97548818402</v>
      </c>
    </row>
    <row r="34" spans="1:55" ht="14.5">
      <c r="A34" s="2905"/>
      <c r="B34" s="2905"/>
      <c r="C34" s="2906" t="s">
        <v>1189</v>
      </c>
      <c r="D34" s="2907"/>
      <c r="E34" s="2906"/>
      <c r="F34" s="2971">
        <f>F17+F21+F25+F29+F32-F13</f>
        <v>0</v>
      </c>
      <c r="H34" s="2972"/>
      <c r="K34" s="2830"/>
      <c r="O34" s="2972"/>
      <c r="Y34" s="2905">
        <v>0.70111999999999997</v>
      </c>
      <c r="Z34" s="2906" t="s">
        <v>2387</v>
      </c>
      <c r="AC34" s="2949"/>
      <c r="AD34" s="2949"/>
      <c r="AE34" s="2949"/>
      <c r="AF34" s="2949"/>
      <c r="AH34" s="2949" t="s">
        <v>2571</v>
      </c>
      <c r="AI34" s="2962">
        <f>AI32*Y38*Y39</f>
        <v>1642262.6819168702</v>
      </c>
      <c r="AJ34" s="2949"/>
      <c r="AK34" s="2949" t="s">
        <v>2571</v>
      </c>
      <c r="AL34" s="2962">
        <f>AL32*Y38*Y39</f>
        <v>1649668.1360726135</v>
      </c>
      <c r="AM34" s="2949"/>
      <c r="AN34" s="2949"/>
      <c r="AO34" s="2949" t="s">
        <v>2571</v>
      </c>
      <c r="AP34" s="2933">
        <f>AP32*Y38*Y39</f>
        <v>1713258.4331739917</v>
      </c>
      <c r="AQ34" s="2965"/>
      <c r="AS34" s="2949" t="s">
        <v>2571</v>
      </c>
      <c r="AT34" s="2933">
        <f>AT32*Y38*Y39</f>
        <v>2070840.4693437428</v>
      </c>
      <c r="AU34" s="2965"/>
      <c r="AV34" s="2933"/>
      <c r="AW34" s="2949" t="s">
        <v>2571</v>
      </c>
      <c r="AX34" s="2933">
        <f>AX32*Y38*Y39</f>
        <v>2247385.4286230444</v>
      </c>
      <c r="AY34" s="2957">
        <f>AX34-AL34</f>
        <v>597717.29255043087</v>
      </c>
      <c r="BA34" s="2949" t="s">
        <v>2571</v>
      </c>
      <c r="BB34" s="2933">
        <f>BB32*Y38*Y39</f>
        <v>2302999.2621944076</v>
      </c>
      <c r="BC34" s="2968">
        <f>BB34-AX34</f>
        <v>55613.83357136324</v>
      </c>
    </row>
    <row r="35" spans="1:55" ht="15" thickBot="1">
      <c r="A35" s="2905"/>
      <c r="B35" s="2905"/>
      <c r="C35" s="2906"/>
      <c r="D35" s="2907"/>
      <c r="E35" s="2906"/>
      <c r="F35" s="2971"/>
      <c r="H35" s="2972"/>
      <c r="K35" s="2830"/>
      <c r="O35" s="2972"/>
      <c r="Y35" s="2918">
        <v>0.66942999999999997</v>
      </c>
      <c r="Z35" s="2906" t="s">
        <v>2388</v>
      </c>
      <c r="AA35" s="2973">
        <f>1-Y35</f>
        <v>0.33057000000000003</v>
      </c>
      <c r="AC35" s="2949"/>
      <c r="AD35" s="2949"/>
      <c r="AE35" s="2949"/>
      <c r="AF35" s="2949"/>
      <c r="AH35" s="2949"/>
      <c r="AI35" s="2949"/>
      <c r="AJ35" s="2949"/>
      <c r="AK35" s="2949"/>
      <c r="AL35" s="2949"/>
      <c r="AM35" s="2949"/>
      <c r="AN35" s="2949"/>
      <c r="AU35" s="2965"/>
      <c r="AY35" s="2974" t="s">
        <v>2564</v>
      </c>
      <c r="BB35" s="2975"/>
      <c r="BC35" s="2976" t="s">
        <v>2572</v>
      </c>
    </row>
    <row r="36" spans="1:55" ht="14.5">
      <c r="A36" s="2905"/>
      <c r="B36" s="2905"/>
      <c r="C36" s="2906"/>
      <c r="D36" s="2977"/>
      <c r="E36" s="2978"/>
      <c r="H36" s="2979"/>
      <c r="J36" s="2980" t="s">
        <v>729</v>
      </c>
      <c r="K36" s="2830"/>
      <c r="O36" s="2979"/>
      <c r="Q36" s="2981" t="s">
        <v>729</v>
      </c>
      <c r="Y36" s="2906"/>
      <c r="Z36" s="2906"/>
      <c r="AC36" s="2949"/>
      <c r="AD36" s="2949"/>
      <c r="AE36" s="2949"/>
      <c r="AF36" s="2949"/>
      <c r="AH36" s="2982" t="s">
        <v>2573</v>
      </c>
      <c r="AI36" s="2983">
        <f>AI28+AI33</f>
        <v>7357109.0429399712</v>
      </c>
      <c r="AJ36" s="2949"/>
      <c r="AK36" s="2982" t="s">
        <v>2573</v>
      </c>
      <c r="AL36" s="2983">
        <f>AL28+AL33</f>
        <v>7535697.5058645662</v>
      </c>
      <c r="AM36" s="2949"/>
      <c r="AN36" s="2949"/>
      <c r="AO36" s="2984" t="s">
        <v>2573</v>
      </c>
      <c r="AP36" s="2985">
        <f>AP28+AP33</f>
        <v>7891778.8129466604</v>
      </c>
      <c r="AQ36" s="2958"/>
      <c r="AR36" s="2958"/>
      <c r="AS36" s="2984" t="s">
        <v>2573</v>
      </c>
      <c r="AT36" s="2985">
        <f>AT28+AT33</f>
        <v>11584560.46388761</v>
      </c>
      <c r="AU36" s="2986"/>
      <c r="AW36" s="2982" t="s">
        <v>2573</v>
      </c>
      <c r="AX36" s="2987">
        <f>AX28+AX33</f>
        <v>12795273.282893196</v>
      </c>
      <c r="AY36" s="2988">
        <f>AX36-AL36</f>
        <v>5259575.7770286296</v>
      </c>
      <c r="BA36" s="2982" t="s">
        <v>2573</v>
      </c>
      <c r="BB36" s="2989">
        <f>BB28+BB33</f>
        <v>13593466.457670536</v>
      </c>
      <c r="BC36" s="2988">
        <f>BB36-AX36</f>
        <v>798193.17477734014</v>
      </c>
    </row>
    <row r="37" spans="1:55" ht="15" thickBot="1">
      <c r="A37" s="2906"/>
      <c r="B37" s="2990">
        <v>0.7</v>
      </c>
      <c r="C37" s="2906" t="s">
        <v>2574</v>
      </c>
      <c r="D37" s="2907"/>
      <c r="E37" s="2906"/>
      <c r="H37" s="2991"/>
      <c r="J37" s="2992">
        <f>J17*B37</f>
        <v>3681703.0439200406</v>
      </c>
      <c r="K37" s="2830"/>
      <c r="O37" s="2991"/>
      <c r="Q37" s="2993">
        <f>Q25*B37</f>
        <v>0</v>
      </c>
      <c r="Y37" s="2915" t="s">
        <v>2463</v>
      </c>
      <c r="Z37" s="2906"/>
      <c r="AH37" s="2861" t="s">
        <v>2575</v>
      </c>
      <c r="AI37" s="2994">
        <f>AI34</f>
        <v>1642262.6819168702</v>
      </c>
      <c r="AK37" s="2861" t="s">
        <v>2575</v>
      </c>
      <c r="AL37" s="2994">
        <f>AL34</f>
        <v>1649668.1360726135</v>
      </c>
      <c r="AO37" s="2995" t="s">
        <v>2575</v>
      </c>
      <c r="AP37" s="2996">
        <f>AP34</f>
        <v>1713258.4331739917</v>
      </c>
      <c r="AQ37" s="2958"/>
      <c r="AR37" s="2958"/>
      <c r="AS37" s="2995" t="s">
        <v>2575</v>
      </c>
      <c r="AT37" s="2996">
        <f>AT34</f>
        <v>2070840.4693437428</v>
      </c>
      <c r="AU37" s="2997"/>
      <c r="AW37" s="2861" t="s">
        <v>2575</v>
      </c>
      <c r="AX37" s="2998">
        <f>AX34</f>
        <v>2247385.4286230444</v>
      </c>
      <c r="AY37" s="2999">
        <f>AX37-AL37</f>
        <v>597717.29255043087</v>
      </c>
      <c r="BA37" s="2861" t="s">
        <v>2575</v>
      </c>
      <c r="BB37" s="3000">
        <f>BB34</f>
        <v>2302999.2621944076</v>
      </c>
      <c r="BC37" s="2999">
        <f>BB37-AX37</f>
        <v>55613.83357136324</v>
      </c>
    </row>
    <row r="38" spans="1:55" ht="15" thickBot="1">
      <c r="A38" s="2906"/>
      <c r="B38" s="2990">
        <v>0.3</v>
      </c>
      <c r="C38" s="2906" t="s">
        <v>2576</v>
      </c>
      <c r="D38" s="2907"/>
      <c r="E38" s="2906"/>
      <c r="H38" s="2991"/>
      <c r="J38" s="2992">
        <f>J17*B38</f>
        <v>1577872.7331085887</v>
      </c>
      <c r="K38" s="2830"/>
      <c r="O38" s="2991"/>
      <c r="Q38" s="2993">
        <f>Q25*B38</f>
        <v>0</v>
      </c>
      <c r="Y38" s="2918">
        <v>0.20707999999999999</v>
      </c>
      <c r="Z38" s="2906" t="s">
        <v>2387</v>
      </c>
      <c r="AO38" s="3001" t="s">
        <v>2577</v>
      </c>
      <c r="AP38" s="3002">
        <f>AP36-AQ4</f>
        <v>-379551.49379294924</v>
      </c>
      <c r="AQ38" s="3003"/>
      <c r="AR38" s="3004" t="s">
        <v>2148</v>
      </c>
      <c r="AS38" s="3005">
        <f>AS26-AO4</f>
        <v>5936870.5754684731</v>
      </c>
      <c r="AT38" s="3005">
        <f>AT36-AQ4</f>
        <v>3313230.1571479999</v>
      </c>
      <c r="AX38" s="4028" t="s">
        <v>2578</v>
      </c>
      <c r="AY38" s="4028"/>
      <c r="BB38" s="4030" t="s">
        <v>2579</v>
      </c>
      <c r="BC38" s="4030"/>
    </row>
    <row r="39" spans="1:55" ht="15.5" thickTop="1" thickBot="1">
      <c r="A39" s="2906"/>
      <c r="B39" s="2906"/>
      <c r="C39" s="2906"/>
      <c r="D39" s="2907"/>
      <c r="E39" s="2906"/>
      <c r="H39" s="2921"/>
      <c r="J39" s="3006">
        <f>SUM(J37:J38)</f>
        <v>5259575.7770286296</v>
      </c>
      <c r="K39" s="2830"/>
      <c r="O39" s="2921"/>
      <c r="Q39" s="3007">
        <f>SUM(Q37:Q38)</f>
        <v>0</v>
      </c>
      <c r="Y39" s="2905">
        <v>0.71745999999999999</v>
      </c>
      <c r="Z39" s="2906" t="s">
        <v>2388</v>
      </c>
      <c r="AA39" s="2973">
        <f>1-Y39</f>
        <v>0.28254000000000001</v>
      </c>
      <c r="AO39" s="3008" t="s">
        <v>2580</v>
      </c>
      <c r="AP39" s="3009">
        <f>AP37-AQ5</f>
        <v>-32708.528315843083</v>
      </c>
      <c r="AQ39" s="3003"/>
      <c r="AR39" s="3010" t="s">
        <v>2149</v>
      </c>
      <c r="AS39" s="3004"/>
      <c r="AT39" s="3011">
        <f>AT37-AQ5</f>
        <v>324873.507853908</v>
      </c>
      <c r="AX39" s="4029"/>
      <c r="AY39" s="4029"/>
      <c r="BB39" s="4031"/>
      <c r="BC39" s="4031"/>
    </row>
    <row r="40" spans="1:55" ht="15" thickTop="1">
      <c r="A40" s="2906"/>
      <c r="B40" s="2906"/>
      <c r="C40" s="2906"/>
      <c r="D40" s="2907"/>
      <c r="E40" s="2906"/>
      <c r="H40" s="2907"/>
      <c r="J40" s="2992"/>
      <c r="K40" s="2830"/>
      <c r="O40" s="2907"/>
      <c r="Q40" s="3012"/>
      <c r="AI40" s="3013">
        <v>44926</v>
      </c>
      <c r="AL40" s="3013">
        <v>45107</v>
      </c>
      <c r="AO40" s="3013">
        <v>45291</v>
      </c>
      <c r="AS40" s="3013">
        <v>45657</v>
      </c>
      <c r="AW40" s="3013">
        <v>46022</v>
      </c>
      <c r="BA40" s="3013">
        <v>46387</v>
      </c>
    </row>
    <row r="41" spans="1:55" ht="14.5">
      <c r="A41" s="2906"/>
      <c r="B41" s="2906"/>
      <c r="C41" s="2906"/>
      <c r="D41" s="2907"/>
      <c r="E41" s="2906"/>
      <c r="H41" s="2977"/>
      <c r="J41" s="3014" t="s">
        <v>787</v>
      </c>
      <c r="K41" s="2830"/>
      <c r="O41" s="2977"/>
      <c r="Q41" s="3015" t="s">
        <v>787</v>
      </c>
      <c r="AH41" s="2846" t="s">
        <v>2566</v>
      </c>
      <c r="AI41" s="2933">
        <f>AI28</f>
        <v>2169057.2662500003</v>
      </c>
      <c r="AJ41" s="2844">
        <f>AL41/AI41</f>
        <v>1.0715490487421795</v>
      </c>
      <c r="AK41" s="2846" t="s">
        <v>2566</v>
      </c>
      <c r="AL41" s="2933">
        <f>AL28</f>
        <v>2324251.2503175</v>
      </c>
      <c r="AN41" s="2844">
        <f>AO41/AL41</f>
        <v>1.0667716039934581</v>
      </c>
      <c r="AO41" s="2958">
        <f>AP28</f>
        <v>2479445.2343850001</v>
      </c>
      <c r="AP41" s="2846" t="s">
        <v>2566</v>
      </c>
      <c r="AR41" s="2844">
        <f>AS41/AO41</f>
        <v>2.0337589298901242</v>
      </c>
      <c r="AS41" s="2958">
        <f>AT28</f>
        <v>5042593.8866040064</v>
      </c>
      <c r="AT41" s="2958"/>
      <c r="AU41" s="2846" t="s">
        <v>2566</v>
      </c>
      <c r="AV41" s="2844">
        <f>AW41/AS41</f>
        <v>1.129495222298351</v>
      </c>
      <c r="AW41" s="2958">
        <f>AX28</f>
        <v>5695585.7029100973</v>
      </c>
      <c r="AY41" s="2846" t="s">
        <v>2566</v>
      </c>
      <c r="AZ41" s="2844">
        <f>BA41/AW41</f>
        <v>1.1092959059453875</v>
      </c>
      <c r="BA41" s="2958">
        <f>BB28</f>
        <v>6318089.9021992534</v>
      </c>
    </row>
    <row r="42" spans="1:55" ht="14.5">
      <c r="A42" s="2906"/>
      <c r="B42" s="2990">
        <v>0.7</v>
      </c>
      <c r="C42" s="2906" t="s">
        <v>2574</v>
      </c>
      <c r="D42" s="2907"/>
      <c r="E42" s="2906"/>
      <c r="H42" s="2991"/>
      <c r="J42" s="2992">
        <f>J21*B42</f>
        <v>418402.10478530143</v>
      </c>
      <c r="K42" s="2830"/>
      <c r="O42" s="2991"/>
      <c r="Q42" s="2993">
        <f>Q29*B42</f>
        <v>0</v>
      </c>
      <c r="AH42" s="2846" t="s">
        <v>2581</v>
      </c>
      <c r="AI42" s="2933">
        <f>AI33</f>
        <v>5188051.7766899709</v>
      </c>
      <c r="AJ42" s="2844">
        <f>AL42/AI42</f>
        <v>1.0045092994179834</v>
      </c>
      <c r="AK42" s="2846" t="s">
        <v>2581</v>
      </c>
      <c r="AL42" s="2933">
        <f>AL33</f>
        <v>5211446.2555470662</v>
      </c>
      <c r="AN42" s="2844">
        <f>AO42/AL42</f>
        <v>1.0385473270113394</v>
      </c>
      <c r="AO42" s="2933">
        <f>AP33</f>
        <v>5412333.5785616599</v>
      </c>
      <c r="AP42" s="2846" t="s">
        <v>2581</v>
      </c>
      <c r="AR42" s="2844">
        <f>AS42/AO42</f>
        <v>1.2087145927583691</v>
      </c>
      <c r="AS42" s="2933">
        <f>AT33</f>
        <v>6541966.5772836031</v>
      </c>
      <c r="AT42" s="2958"/>
      <c r="AU42" s="2846" t="s">
        <v>2581</v>
      </c>
      <c r="AV42" s="2844">
        <f>AW42/AS42</f>
        <v>1.0852528052705332</v>
      </c>
      <c r="AW42" s="2933">
        <f>AX33</f>
        <v>7099687.5799830984</v>
      </c>
      <c r="AY42" s="2846" t="s">
        <v>2581</v>
      </c>
      <c r="AZ42" s="2844">
        <f>BA42/AW42</f>
        <v>1.0247460150195231</v>
      </c>
      <c r="BA42" s="2933">
        <f>BB33</f>
        <v>7275376.5554712825</v>
      </c>
    </row>
    <row r="43" spans="1:55" ht="15" thickBot="1">
      <c r="A43" s="2906"/>
      <c r="B43" s="2990">
        <v>0.3</v>
      </c>
      <c r="C43" s="2906" t="s">
        <v>2576</v>
      </c>
      <c r="D43" s="2907"/>
      <c r="E43" s="2906"/>
      <c r="H43" s="2991"/>
      <c r="J43" s="2992">
        <f>J21*B43</f>
        <v>179315.18776512917</v>
      </c>
      <c r="K43" s="2830"/>
      <c r="O43" s="2991"/>
      <c r="Q43" s="2993">
        <f>Q29*B43</f>
        <v>0</v>
      </c>
      <c r="Y43" s="2973">
        <f>1-Y34-Y38</f>
        <v>9.1800000000000048E-2</v>
      </c>
      <c r="AH43" s="2846" t="s">
        <v>2582</v>
      </c>
      <c r="AI43" s="2933">
        <f>AI34</f>
        <v>1642262.6819168702</v>
      </c>
      <c r="AJ43" s="2844">
        <f>AL43/AI43</f>
        <v>1.0045092994179832</v>
      </c>
      <c r="AK43" s="2846" t="s">
        <v>2582</v>
      </c>
      <c r="AL43" s="2933">
        <f>AL34</f>
        <v>1649668.1360726135</v>
      </c>
      <c r="AN43" s="2844">
        <f>AO43/AL43</f>
        <v>1.0385473270113397</v>
      </c>
      <c r="AO43" s="2933">
        <f>AP34</f>
        <v>1713258.4331739917</v>
      </c>
      <c r="AP43" s="2846" t="s">
        <v>2582</v>
      </c>
      <c r="AR43" s="2844">
        <f>AS43/AO43</f>
        <v>1.2087145927583691</v>
      </c>
      <c r="AS43" s="2933">
        <f>AT34</f>
        <v>2070840.4693437428</v>
      </c>
      <c r="AT43" s="2958"/>
      <c r="AU43" s="2846" t="s">
        <v>2582</v>
      </c>
      <c r="AV43" s="2844">
        <f>AW43/AS43</f>
        <v>1.0852528052705332</v>
      </c>
      <c r="AW43" s="2933">
        <f>AX34</f>
        <v>2247385.4286230444</v>
      </c>
      <c r="AY43" s="2846" t="s">
        <v>2582</v>
      </c>
      <c r="AZ43" s="2844">
        <f>BA43/AW43</f>
        <v>1.0247460150195231</v>
      </c>
      <c r="BA43" s="2933">
        <f>BB34</f>
        <v>2302999.2621944076</v>
      </c>
    </row>
    <row r="44" spans="1:55" ht="15.5" thickTop="1" thickBot="1">
      <c r="A44" s="2906"/>
      <c r="B44" s="2906"/>
      <c r="C44" s="2906"/>
      <c r="D44" s="2907"/>
      <c r="E44" s="2906"/>
      <c r="H44" s="2921"/>
      <c r="J44" s="3006">
        <f>SUM(J42:J43)</f>
        <v>597717.29255043063</v>
      </c>
      <c r="K44" s="2830"/>
      <c r="O44" s="2921"/>
      <c r="Q44" s="3007">
        <f>SUM(Q42:Q43)</f>
        <v>0</v>
      </c>
    </row>
    <row r="45" spans="1:55" ht="13" thickTop="1">
      <c r="AL45" s="2933">
        <f>(AL13+AL17+AL19+AL21)*Y34*Y35</f>
        <v>1468907.2406261803</v>
      </c>
      <c r="AX45" s="3016" t="s">
        <v>2583</v>
      </c>
      <c r="AY45" s="3017"/>
      <c r="AZ45" s="3017"/>
      <c r="BA45" s="3018"/>
    </row>
    <row r="46" spans="1:55">
      <c r="AL46" s="3019">
        <f>(AL11-AL30)*Y34*Y35</f>
        <v>2445609.5831120866</v>
      </c>
      <c r="AX46" s="3020" t="s">
        <v>2584</v>
      </c>
      <c r="AY46" s="2846">
        <v>407459</v>
      </c>
      <c r="AZ46" s="2846" t="s">
        <v>2148</v>
      </c>
      <c r="BA46" s="3021">
        <v>127045</v>
      </c>
    </row>
    <row r="47" spans="1:55" ht="13" thickBot="1">
      <c r="AL47" s="2933">
        <f>AL28</f>
        <v>2324251.2503175</v>
      </c>
      <c r="AX47" s="2995"/>
      <c r="AY47" s="3022">
        <v>407459</v>
      </c>
      <c r="AZ47" s="3022" t="s">
        <v>2149</v>
      </c>
      <c r="BA47" s="3023">
        <v>8413</v>
      </c>
    </row>
    <row r="48" spans="1:55" ht="13">
      <c r="F48" s="3024"/>
      <c r="G48" s="3024"/>
      <c r="H48" s="3024"/>
      <c r="I48" s="3024"/>
      <c r="J48" s="3024"/>
      <c r="K48" s="3024"/>
      <c r="L48" s="3024"/>
      <c r="M48" s="3024"/>
      <c r="N48" s="3024"/>
      <c r="AL48" s="2933">
        <f>SUM(AL45:AL47)</f>
        <v>6238768.0740557667</v>
      </c>
    </row>
    <row r="49" spans="6:54">
      <c r="G49" s="1465"/>
      <c r="J49" s="2858"/>
      <c r="M49" s="2858"/>
      <c r="AL49" s="2933">
        <v>552503</v>
      </c>
      <c r="AY49" s="4022" t="s">
        <v>2585</v>
      </c>
      <c r="BA49" s="4022" t="s">
        <v>2586</v>
      </c>
    </row>
    <row r="50" spans="6:54" ht="13" thickBot="1">
      <c r="G50" s="1465"/>
      <c r="J50" s="2858"/>
      <c r="M50" s="2858"/>
      <c r="AK50" s="2846" t="s">
        <v>538</v>
      </c>
      <c r="AX50" s="2841"/>
      <c r="AY50" s="4023"/>
      <c r="AZ50" s="2841"/>
      <c r="BA50" s="4023"/>
      <c r="BB50" s="3025" t="s">
        <v>2587</v>
      </c>
    </row>
    <row r="51" spans="6:54" ht="13" thickBot="1">
      <c r="G51" s="1465"/>
      <c r="AK51" s="2846" t="s">
        <v>2588</v>
      </c>
      <c r="AL51" s="3026">
        <f>AL15*Y34*Y35</f>
        <v>1339394.8806660823</v>
      </c>
      <c r="AM51" s="2846" t="s">
        <v>2589</v>
      </c>
      <c r="AX51" s="3027" t="s">
        <v>2148</v>
      </c>
      <c r="AY51" s="2956">
        <v>8271000</v>
      </c>
      <c r="AZ51" s="2956"/>
      <c r="BA51" s="3028">
        <f>AX36</f>
        <v>12795273.282893196</v>
      </c>
      <c r="BB51" s="3028">
        <f>BA51-AY51</f>
        <v>4524273.2828931957</v>
      </c>
    </row>
    <row r="52" spans="6:54" ht="13">
      <c r="F52" s="3024"/>
      <c r="G52" s="3029"/>
      <c r="H52" s="3024"/>
      <c r="I52" s="3024"/>
      <c r="J52" s="3024"/>
      <c r="K52" s="3024"/>
      <c r="L52" s="3024"/>
      <c r="M52" s="3024"/>
      <c r="N52" s="3024"/>
      <c r="AK52" s="2846" t="s">
        <v>2566</v>
      </c>
      <c r="AL52" s="2933">
        <f>AL41</f>
        <v>2324251.2503175</v>
      </c>
      <c r="AX52" s="3027" t="s">
        <v>2149</v>
      </c>
      <c r="AY52" s="2956">
        <v>1746000</v>
      </c>
      <c r="AZ52" s="2956"/>
      <c r="BA52" s="3028">
        <f>AX37</f>
        <v>2247385.4286230444</v>
      </c>
      <c r="BB52" s="3028">
        <f>BA52-AY52</f>
        <v>501385.4286230444</v>
      </c>
    </row>
    <row r="53" spans="6:54">
      <c r="G53" s="1465"/>
      <c r="J53" s="2858"/>
      <c r="M53" s="2858"/>
      <c r="AK53" s="2846" t="s">
        <v>2581</v>
      </c>
      <c r="AL53" s="3030">
        <f>(AL13+AL17+AL19+AL21+AL11-AL30+AL25)*Y34*Y35</f>
        <v>3872051.3748809835</v>
      </c>
    </row>
    <row r="54" spans="6:54">
      <c r="G54" s="1465"/>
      <c r="J54" s="2858"/>
      <c r="M54" s="2858"/>
      <c r="AL54" s="2933">
        <f>SUM(AL52:AL53)</f>
        <v>6196302.6251984835</v>
      </c>
    </row>
    <row r="55" spans="6:54" ht="13" thickBot="1">
      <c r="AK55" s="2846" t="s">
        <v>2590</v>
      </c>
      <c r="AL55" s="2933">
        <v>552503</v>
      </c>
      <c r="BA55" s="2846" t="s">
        <v>2587</v>
      </c>
    </row>
    <row r="56" spans="6:54" ht="13" thickBot="1">
      <c r="AL56" s="3031">
        <f>SUM(AL54:AL55)</f>
        <v>6748805.6251984835</v>
      </c>
      <c r="AM56" s="2846" t="s">
        <v>2589</v>
      </c>
      <c r="BA56" s="3032" t="s">
        <v>2591</v>
      </c>
      <c r="BB56" s="3032">
        <v>2025</v>
      </c>
    </row>
    <row r="57" spans="6:54">
      <c r="AK57" s="2941" t="s">
        <v>538</v>
      </c>
      <c r="AL57" s="3019">
        <f>AL51+AL56</f>
        <v>8088200.5058645662</v>
      </c>
      <c r="AZ57" s="3027" t="s">
        <v>2148</v>
      </c>
      <c r="BA57" s="3033">
        <f>(AT36-AL36)*1.049862/1000</f>
        <v>4250.7473628359885</v>
      </c>
      <c r="BB57" s="3033">
        <f>(AX36-AT36)*1.049862/1000</f>
        <v>1271.081381586843</v>
      </c>
    </row>
    <row r="58" spans="6:54">
      <c r="AK58" s="2941"/>
      <c r="AL58" s="3019"/>
      <c r="AZ58" s="3027" t="s">
        <v>2149</v>
      </c>
      <c r="BA58" s="3033">
        <f>(AT37-AL37)*1.049862/1000</f>
        <v>442.17282815269436</v>
      </c>
      <c r="BB58" s="3033">
        <f>(AX37-AT37)*1.049862/1000</f>
        <v>185.34784403888614</v>
      </c>
    </row>
    <row r="59" spans="6:54" ht="13" thickBot="1">
      <c r="AK59" s="2846" t="s">
        <v>2592</v>
      </c>
      <c r="AL59" s="3034"/>
    </row>
    <row r="60" spans="6:54" ht="13" thickBot="1">
      <c r="AK60" s="2846" t="s">
        <v>2588</v>
      </c>
      <c r="AL60" s="3026">
        <f>AL15*Y38*Y39</f>
        <v>423981.5490568981</v>
      </c>
      <c r="AM60" s="2846" t="s">
        <v>2593</v>
      </c>
    </row>
    <row r="61" spans="6:54">
      <c r="AK61" s="2846" t="s">
        <v>2581</v>
      </c>
      <c r="AL61" s="3034">
        <f>(AL11+AL13+AL17+AL19+AL21+AL25-AL30)*Y38*Y39</f>
        <v>1225686.5870157152</v>
      </c>
    </row>
    <row r="62" spans="6:54" ht="13" thickBot="1">
      <c r="AK62" s="2846" t="s">
        <v>2590</v>
      </c>
      <c r="AL62" s="3035">
        <v>55582</v>
      </c>
    </row>
    <row r="63" spans="6:54" ht="13" thickBot="1">
      <c r="AK63" s="2941" t="s">
        <v>2592</v>
      </c>
      <c r="AL63" s="3026">
        <f>SUM(AL61:AL62)</f>
        <v>1281268.5870157152</v>
      </c>
      <c r="AM63" s="2846" t="s">
        <v>2593</v>
      </c>
    </row>
    <row r="65" spans="37:38">
      <c r="AK65" s="2846" t="s">
        <v>2567</v>
      </c>
      <c r="AL65" s="2933">
        <f>AL29</f>
        <v>1159716.9571825</v>
      </c>
    </row>
    <row r="66" spans="37:38">
      <c r="AK66" s="2846" t="s">
        <v>676</v>
      </c>
      <c r="AL66" s="2933">
        <f>AL32*Y43</f>
        <v>1019303.2703906472</v>
      </c>
    </row>
    <row r="67" spans="37:38">
      <c r="AK67" s="2846" t="s">
        <v>2594</v>
      </c>
      <c r="AL67" s="2933">
        <f>AL32*Y34*AA35</f>
        <v>2573454.7132578371</v>
      </c>
    </row>
    <row r="68" spans="37:38">
      <c r="AK68" s="2846" t="s">
        <v>2595</v>
      </c>
      <c r="AL68" s="2933">
        <f>AL32*Y38*AA39</f>
        <v>649649.08868223499</v>
      </c>
    </row>
    <row r="70" spans="37:38">
      <c r="AK70" s="2846" t="s">
        <v>24</v>
      </c>
      <c r="AL70" s="3019">
        <f>AL57+AL63+AL66+AL67+AL68+AL65-AL55-AL62-AL26+AL60</f>
        <v>-6.9849193096160889E-10</v>
      </c>
    </row>
  </sheetData>
  <mergeCells count="22">
    <mergeCell ref="A1:F1"/>
    <mergeCell ref="A2:F2"/>
    <mergeCell ref="AO2:AS3"/>
    <mergeCell ref="A3:F3"/>
    <mergeCell ref="E4:F4"/>
    <mergeCell ref="AH4:AI4"/>
    <mergeCell ref="AA5:AC5"/>
    <mergeCell ref="AI5:AI6"/>
    <mergeCell ref="AS5:AU6"/>
    <mergeCell ref="AA8:AC8"/>
    <mergeCell ref="AD8:AF8"/>
    <mergeCell ref="AO8:AQ8"/>
    <mergeCell ref="AS8:AU8"/>
    <mergeCell ref="AY49:AY50"/>
    <mergeCell ref="BA49:BA50"/>
    <mergeCell ref="AW8:AY8"/>
    <mergeCell ref="BA8:BC8"/>
    <mergeCell ref="AQ24:AR25"/>
    <mergeCell ref="AU24:AV25"/>
    <mergeCell ref="AY24:AZ25"/>
    <mergeCell ref="AX38:AY39"/>
    <mergeCell ref="BB38:BC39"/>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1640625" defaultRowHeight="14.5"/>
  <cols>
    <col min="1" max="1" width="41.453125" style="2444" customWidth="1"/>
    <col min="2" max="2" width="8.26953125" style="2444" customWidth="1"/>
    <col min="3" max="3" width="15.7265625" style="2444" customWidth="1"/>
    <col min="4" max="4" width="6.7265625" style="2461" bestFit="1" customWidth="1"/>
    <col min="5" max="5" width="11.54296875" style="2444" customWidth="1"/>
    <col min="6" max="6" width="5.81640625" style="2461" customWidth="1"/>
    <col min="7" max="7" width="11.54296875" style="2444" customWidth="1"/>
    <col min="8" max="8" width="5.81640625" style="2461" customWidth="1"/>
    <col min="9" max="9" width="11.54296875" style="2444" customWidth="1"/>
    <col min="10" max="10" width="5.81640625" style="2461" customWidth="1"/>
    <col min="11" max="11" width="11.54296875" style="2444" customWidth="1"/>
    <col min="12" max="12" width="5.81640625" style="2461" customWidth="1"/>
    <col min="13" max="13" width="11.54296875" style="2444" customWidth="1"/>
    <col min="14" max="14" width="6.7265625" style="2461" bestFit="1" customWidth="1"/>
    <col min="15" max="15" width="11.54296875" style="2444" customWidth="1"/>
    <col min="16" max="16" width="6.7265625" style="2461" bestFit="1" customWidth="1"/>
    <col min="17" max="17" width="11.54296875" style="2444" customWidth="1"/>
    <col min="18" max="18" width="1.81640625" style="2444" customWidth="1"/>
    <col min="19" max="19" width="14.26953125" style="2444" bestFit="1" customWidth="1"/>
    <col min="20" max="20" width="8.81640625" style="2444"/>
    <col min="21" max="21" width="1.7265625" style="2129" customWidth="1"/>
    <col min="22" max="22" width="8.81640625" style="2128"/>
    <col min="23" max="23" width="11.1796875" style="3037" bestFit="1" customWidth="1"/>
    <col min="24" max="24" width="9" style="3037" bestFit="1" customWidth="1"/>
    <col min="25" max="25" width="42.54296875" style="3037" bestFit="1" customWidth="1"/>
    <col min="26" max="26" width="24" style="3037" bestFit="1" customWidth="1"/>
    <col min="27" max="27" width="20.26953125" style="3037" bestFit="1" customWidth="1"/>
    <col min="28" max="16384" width="8.81640625" style="2128"/>
  </cols>
  <sheetData>
    <row r="1" spans="1:27">
      <c r="A1" s="4044" t="s">
        <v>1204</v>
      </c>
      <c r="B1" s="4044"/>
      <c r="C1" s="4044"/>
      <c r="D1" s="4045"/>
      <c r="E1" s="4044"/>
      <c r="F1" s="4044"/>
      <c r="G1" s="4044"/>
      <c r="H1" s="4044"/>
      <c r="I1" s="4044"/>
      <c r="J1" s="4044"/>
      <c r="K1" s="4044"/>
      <c r="L1" s="4045"/>
      <c r="M1" s="4044"/>
      <c r="N1" s="4044"/>
      <c r="O1" s="4044"/>
      <c r="P1" s="4044"/>
      <c r="Q1" s="4044"/>
      <c r="R1" s="4044"/>
      <c r="S1" s="4044"/>
      <c r="T1" s="3036"/>
    </row>
    <row r="2" spans="1:27">
      <c r="A2" s="4044" t="s">
        <v>2517</v>
      </c>
      <c r="B2" s="4044"/>
      <c r="C2" s="4044"/>
      <c r="D2" s="4045"/>
      <c r="E2" s="4044"/>
      <c r="F2" s="4044"/>
      <c r="G2" s="4044"/>
      <c r="H2" s="4044"/>
      <c r="I2" s="4044"/>
      <c r="J2" s="4044"/>
      <c r="K2" s="4044"/>
      <c r="L2" s="4045"/>
      <c r="M2" s="4044"/>
      <c r="N2" s="4044"/>
      <c r="O2" s="4044"/>
      <c r="P2" s="4044"/>
      <c r="Q2" s="4044"/>
      <c r="R2" s="4044"/>
      <c r="S2" s="4044"/>
      <c r="T2" s="3036"/>
      <c r="W2" s="3037" t="s">
        <v>2596</v>
      </c>
      <c r="X2" s="3037" t="s">
        <v>2597</v>
      </c>
      <c r="Y2" s="3037" t="s">
        <v>2598</v>
      </c>
      <c r="Z2" s="3038" t="s">
        <v>2599</v>
      </c>
      <c r="AA2" s="3038" t="s">
        <v>2600</v>
      </c>
    </row>
    <row r="3" spans="1:27">
      <c r="A3" s="4044" t="s">
        <v>2601</v>
      </c>
      <c r="B3" s="4044"/>
      <c r="C3" s="4044"/>
      <c r="D3" s="4045"/>
      <c r="E3" s="4044"/>
      <c r="F3" s="4044"/>
      <c r="G3" s="4044"/>
      <c r="H3" s="4044"/>
      <c r="I3" s="4044"/>
      <c r="J3" s="4044"/>
      <c r="K3" s="4044"/>
      <c r="L3" s="4045"/>
      <c r="M3" s="4044"/>
      <c r="N3" s="4044"/>
      <c r="O3" s="4044"/>
      <c r="P3" s="4044"/>
      <c r="Q3" s="4044"/>
      <c r="R3" s="4044"/>
      <c r="S3" s="4044"/>
      <c r="T3" s="3036"/>
      <c r="W3" s="3037" t="s">
        <v>682</v>
      </c>
      <c r="X3" s="3037" t="s">
        <v>678</v>
      </c>
      <c r="Y3" s="3037" t="s">
        <v>2602</v>
      </c>
      <c r="Z3" s="3039">
        <v>539116.37</v>
      </c>
      <c r="AA3" s="3039">
        <v>564158.51</v>
      </c>
    </row>
    <row r="4" spans="1:27">
      <c r="A4" s="4044" t="s">
        <v>2603</v>
      </c>
      <c r="B4" s="4044"/>
      <c r="C4" s="4044"/>
      <c r="D4" s="4045"/>
      <c r="E4" s="4044"/>
      <c r="F4" s="4044"/>
      <c r="G4" s="4044"/>
      <c r="H4" s="4044"/>
      <c r="I4" s="4044"/>
      <c r="J4" s="4044"/>
      <c r="K4" s="4044"/>
      <c r="L4" s="4045"/>
      <c r="M4" s="4044"/>
      <c r="N4" s="4044"/>
      <c r="O4" s="4044"/>
      <c r="P4" s="4044"/>
      <c r="Q4" s="4044"/>
      <c r="R4" s="4044"/>
      <c r="S4" s="4044"/>
      <c r="T4" s="3036"/>
      <c r="Y4" s="3037" t="s">
        <v>2604</v>
      </c>
      <c r="Z4" s="3039">
        <v>1713800.9500000002</v>
      </c>
      <c r="AA4" s="3039">
        <f>1033084.95+56343.82</f>
        <v>1089428.77</v>
      </c>
    </row>
    <row r="5" spans="1:27">
      <c r="A5" s="3040"/>
      <c r="B5" s="3040"/>
      <c r="C5" s="3040"/>
      <c r="D5" s="3041"/>
      <c r="E5" s="3040"/>
      <c r="F5" s="3041"/>
      <c r="G5" s="3040"/>
      <c r="H5" s="3041"/>
      <c r="I5" s="3040"/>
      <c r="J5" s="3041"/>
      <c r="K5" s="3040"/>
      <c r="L5" s="3041"/>
      <c r="M5" s="3040"/>
      <c r="N5" s="3041"/>
      <c r="O5" s="3040"/>
      <c r="P5" s="3041"/>
      <c r="Q5" s="3040"/>
      <c r="R5" s="3040"/>
      <c r="S5" s="3040"/>
      <c r="T5" s="3036"/>
      <c r="Y5" s="3037" t="s">
        <v>2605</v>
      </c>
      <c r="Z5" s="3039">
        <v>1108713.3800000001</v>
      </c>
      <c r="AA5" s="3039">
        <v>1030270.7199999999</v>
      </c>
    </row>
    <row r="6" spans="1:27">
      <c r="C6" s="3042" t="s">
        <v>723</v>
      </c>
      <c r="D6" s="3043"/>
      <c r="E6" s="3042" t="s">
        <v>721</v>
      </c>
      <c r="F6" s="3043"/>
      <c r="G6" s="3042" t="s">
        <v>2606</v>
      </c>
      <c r="H6" s="3043"/>
      <c r="I6" s="3042" t="s">
        <v>2607</v>
      </c>
      <c r="J6" s="3043"/>
      <c r="K6" s="3042" t="s">
        <v>2608</v>
      </c>
      <c r="L6" s="3043"/>
      <c r="M6" s="3042" t="s">
        <v>968</v>
      </c>
      <c r="N6" s="3043"/>
      <c r="O6" s="3042" t="s">
        <v>2609</v>
      </c>
      <c r="P6" s="3043"/>
      <c r="Q6" s="3042" t="s">
        <v>973</v>
      </c>
      <c r="R6" s="3042"/>
      <c r="S6" s="3042" t="s">
        <v>2610</v>
      </c>
      <c r="Y6" s="3037" t="s">
        <v>2611</v>
      </c>
      <c r="Z6" s="3039">
        <v>12450520.269999998</v>
      </c>
      <c r="AA6" s="3039">
        <f>9741487.94000001+3188949.53</f>
        <v>12930437.47000001</v>
      </c>
    </row>
    <row r="7" spans="1:27">
      <c r="A7" s="2444" t="s">
        <v>2612</v>
      </c>
      <c r="B7" s="3044" t="s">
        <v>2613</v>
      </c>
      <c r="C7" s="3045">
        <f>'G-3.13 PF IS-IT'!AA13</f>
        <v>169177.84000001103</v>
      </c>
      <c r="D7" s="3044" t="s">
        <v>2613</v>
      </c>
      <c r="E7" s="3045">
        <f>'G-3.13 PF IS-IT'!AA18</f>
        <v>-27774.5</v>
      </c>
      <c r="F7" s="3044"/>
      <c r="G7" s="3046">
        <f>0</f>
        <v>0</v>
      </c>
      <c r="H7" s="3044" t="s">
        <v>2613</v>
      </c>
      <c r="I7" s="3046">
        <v>0</v>
      </c>
      <c r="J7" s="3044" t="s">
        <v>2613</v>
      </c>
      <c r="K7" s="3045">
        <f>'G-3.13 PF IS-IT'!AA28</f>
        <v>1831.1800000001676</v>
      </c>
      <c r="L7" s="3044" t="s">
        <v>2613</v>
      </c>
      <c r="M7" s="3045">
        <f>'G-3.13 PF IS-IT'!AA33</f>
        <v>35195.94</v>
      </c>
      <c r="N7" s="3044"/>
      <c r="O7" s="3046">
        <v>0</v>
      </c>
      <c r="P7" s="3044"/>
      <c r="Q7" s="3046">
        <v>0</v>
      </c>
      <c r="R7" s="3047"/>
      <c r="S7" s="3045">
        <f>SUM(C7,E7,I7,G7,K7,M7,O7,Q7)</f>
        <v>178430.4600000112</v>
      </c>
      <c r="Y7" s="3037" t="s">
        <v>2614</v>
      </c>
      <c r="Z7" s="3039">
        <v>1380537.4199999997</v>
      </c>
      <c r="AA7" s="3039">
        <f>1428962.77+72960</f>
        <v>1501922.77</v>
      </c>
    </row>
    <row r="8" spans="1:27">
      <c r="A8" s="2444" t="s">
        <v>2615</v>
      </c>
      <c r="B8" s="3044" t="s">
        <v>2616</v>
      </c>
      <c r="C8" s="3048"/>
      <c r="D8" s="3044"/>
      <c r="E8" s="3049"/>
      <c r="F8" s="3044"/>
      <c r="G8" s="3050"/>
      <c r="H8" s="3044"/>
      <c r="I8" s="3050"/>
      <c r="J8" s="3044"/>
      <c r="K8" s="3050"/>
      <c r="L8" s="3044"/>
      <c r="M8" s="3050"/>
      <c r="N8" s="3044"/>
      <c r="O8" s="3049">
        <v>0</v>
      </c>
      <c r="P8" s="3044"/>
      <c r="Q8" s="3049">
        <v>0</v>
      </c>
      <c r="R8" s="3051"/>
      <c r="S8" s="3050">
        <f>SUM(C8,E8,G8,I8,K8,M8,O8,Q8)</f>
        <v>0</v>
      </c>
      <c r="Y8" s="3037" t="s">
        <v>2617</v>
      </c>
      <c r="Z8" s="3039">
        <v>2130866.8699999996</v>
      </c>
      <c r="AA8" s="3039">
        <v>2376514.8600000008</v>
      </c>
    </row>
    <row r="9" spans="1:27">
      <c r="A9" s="2444" t="s">
        <v>2618</v>
      </c>
      <c r="B9" s="3052"/>
      <c r="C9" s="3053">
        <f>SUM(C7:C8)</f>
        <v>169177.84000001103</v>
      </c>
      <c r="D9" s="3054"/>
      <c r="E9" s="3053">
        <f>SUM(E7:E8)</f>
        <v>-27774.5</v>
      </c>
      <c r="F9" s="3054"/>
      <c r="G9" s="3053">
        <f>SUM(G7:G8)</f>
        <v>0</v>
      </c>
      <c r="H9" s="3054"/>
      <c r="I9" s="3053">
        <f>SUM(I7:I8)</f>
        <v>0</v>
      </c>
      <c r="J9" s="3054"/>
      <c r="K9" s="3053">
        <f>SUM(K7:K8)</f>
        <v>1831.1800000001676</v>
      </c>
      <c r="L9" s="3054"/>
      <c r="M9" s="3053">
        <f>SUM(M7:M8)</f>
        <v>35195.94</v>
      </c>
      <c r="N9" s="3054"/>
      <c r="O9" s="3053">
        <f>SUM(O7:O8)</f>
        <v>0</v>
      </c>
      <c r="P9" s="3054"/>
      <c r="Q9" s="3053">
        <f>SUM(Q7:Q8)</f>
        <v>0</v>
      </c>
      <c r="R9" s="2870"/>
      <c r="S9" s="3055">
        <f>SUM(S7:S8)</f>
        <v>178430.4600000112</v>
      </c>
      <c r="Y9" s="3037" t="s">
        <v>24</v>
      </c>
      <c r="Z9" s="3056">
        <f>SUM(Z3:Z8)</f>
        <v>19323555.259999998</v>
      </c>
      <c r="AA9" s="3056">
        <f>SUM(AA3:AA8)</f>
        <v>19492733.100000009</v>
      </c>
    </row>
    <row r="10" spans="1:27">
      <c r="E10" s="3057"/>
      <c r="F10" s="3058"/>
      <c r="H10" s="3058"/>
      <c r="J10" s="3058"/>
      <c r="L10" s="3058"/>
      <c r="O10" s="3057"/>
      <c r="Q10" s="3057"/>
      <c r="R10" s="3057"/>
      <c r="Z10" s="3039"/>
      <c r="AA10" s="3039"/>
    </row>
    <row r="11" spans="1:27">
      <c r="A11" s="2906"/>
      <c r="B11" s="2906"/>
      <c r="C11" s="2906"/>
      <c r="D11" s="2905"/>
      <c r="E11" s="3059"/>
      <c r="F11" s="3060"/>
      <c r="G11" s="2906"/>
      <c r="H11" s="3060"/>
      <c r="I11" s="2906"/>
      <c r="J11" s="3060"/>
      <c r="K11" s="2906"/>
      <c r="L11" s="3060"/>
      <c r="M11" s="2906"/>
      <c r="N11" s="2905"/>
      <c r="O11" s="3059"/>
      <c r="P11" s="2905"/>
      <c r="Q11" s="3059"/>
      <c r="R11" s="3059"/>
      <c r="W11" s="3061"/>
      <c r="X11" s="3037" t="s">
        <v>2619</v>
      </c>
      <c r="Z11" s="3062">
        <f>SUM(Z3:Z8)</f>
        <v>19323555.259999998</v>
      </c>
      <c r="AA11" s="3062">
        <f>SUM(AA3:AA8)</f>
        <v>19492733.100000009</v>
      </c>
    </row>
    <row r="12" spans="1:27" ht="15" thickBot="1">
      <c r="A12" s="3063" t="s">
        <v>2457</v>
      </c>
      <c r="B12" s="2906"/>
      <c r="C12" s="2906"/>
      <c r="D12" s="2905"/>
      <c r="E12" s="3059"/>
      <c r="F12" s="3060"/>
      <c r="G12" s="2906"/>
      <c r="H12" s="3060"/>
      <c r="I12" s="2906"/>
      <c r="J12" s="3060"/>
      <c r="K12" s="2906"/>
      <c r="L12" s="3060"/>
      <c r="M12" s="2906"/>
      <c r="N12" s="2905"/>
      <c r="O12" s="3059"/>
      <c r="P12" s="2905"/>
      <c r="Q12" s="3059"/>
      <c r="R12" s="3059"/>
      <c r="Z12" s="3064"/>
      <c r="AA12" s="3064"/>
    </row>
    <row r="13" spans="1:27" ht="15" thickBot="1">
      <c r="A13" s="2461" t="s">
        <v>2620</v>
      </c>
      <c r="B13" s="3065">
        <v>0.77144000000000001</v>
      </c>
      <c r="C13" s="2906"/>
      <c r="E13" s="3059"/>
      <c r="F13" s="3060"/>
      <c r="G13" s="2906"/>
      <c r="H13" s="3060"/>
      <c r="I13" s="2906"/>
      <c r="J13" s="3060"/>
      <c r="K13" s="2906"/>
      <c r="L13" s="3060"/>
      <c r="M13" s="2906"/>
      <c r="O13" s="3059"/>
      <c r="Q13" s="3059"/>
      <c r="R13" s="3059"/>
      <c r="W13" s="3066" t="s">
        <v>682</v>
      </c>
      <c r="X13" s="3067" t="s">
        <v>678</v>
      </c>
      <c r="Y13" s="3038" t="s">
        <v>19</v>
      </c>
      <c r="Z13" s="3068"/>
      <c r="AA13" s="3069">
        <f>AA11-Z11</f>
        <v>169177.84000001103</v>
      </c>
    </row>
    <row r="14" spans="1:27">
      <c r="A14" s="2461" t="s">
        <v>2621</v>
      </c>
      <c r="B14" s="3065">
        <v>0.70111999999999997</v>
      </c>
      <c r="C14" s="2906"/>
      <c r="D14" s="2918"/>
      <c r="E14" s="3059"/>
      <c r="F14" s="3060"/>
      <c r="G14" s="2906"/>
      <c r="H14" s="3060"/>
      <c r="I14" s="2906"/>
      <c r="J14" s="3060"/>
      <c r="K14" s="2906"/>
      <c r="L14" s="3060"/>
      <c r="M14" s="2906"/>
      <c r="N14" s="2918"/>
      <c r="O14" s="3059"/>
      <c r="P14" s="2918"/>
      <c r="Q14" s="3059"/>
      <c r="R14" s="3059"/>
      <c r="W14" s="3070"/>
      <c r="Z14" s="3064"/>
      <c r="AA14" s="3064"/>
    </row>
    <row r="15" spans="1:27" ht="15" thickBot="1">
      <c r="A15" s="2461" t="s">
        <v>1499</v>
      </c>
      <c r="B15" s="3065">
        <v>0.66942999999999997</v>
      </c>
      <c r="C15" s="3071">
        <f>ROUND((C9)*$B$14*$B$15,0)</f>
        <v>79404</v>
      </c>
      <c r="D15" s="2918"/>
      <c r="E15" s="3071">
        <f>ROUND((E9)*$B$15*$B$13,0)</f>
        <v>-14343</v>
      </c>
      <c r="F15" s="3072"/>
      <c r="G15" s="3071">
        <f>ROUND((G9)*$B$13,0)</f>
        <v>0</v>
      </c>
      <c r="H15" s="3072"/>
      <c r="I15" s="3071">
        <v>0</v>
      </c>
      <c r="J15" s="3072"/>
      <c r="K15" s="3071">
        <f>ROUND((K9)*$B$15,0)</f>
        <v>1226</v>
      </c>
      <c r="L15" s="3072"/>
      <c r="M15" s="3071">
        <f>M9</f>
        <v>35195.94</v>
      </c>
      <c r="N15" s="2918"/>
      <c r="O15" s="3071">
        <v>0</v>
      </c>
      <c r="P15" s="2918"/>
      <c r="Q15" s="3071">
        <v>0</v>
      </c>
      <c r="R15" s="3073"/>
      <c r="S15" s="3074">
        <f>SUM(C15,E15,G15,I15,K15,M15,O15,Q15)</f>
        <v>101482.94</v>
      </c>
      <c r="W15" s="3070"/>
      <c r="X15" s="3037" t="s">
        <v>677</v>
      </c>
      <c r="Y15" s="3037" t="s">
        <v>2611</v>
      </c>
      <c r="Z15" s="3039">
        <v>76416.5</v>
      </c>
      <c r="AA15" s="3039">
        <v>48642</v>
      </c>
    </row>
    <row r="16" spans="1:27" ht="15" thickTop="1">
      <c r="A16" s="2905"/>
      <c r="B16" s="3075"/>
      <c r="C16" s="2906"/>
      <c r="D16" s="2918"/>
      <c r="E16" s="2906"/>
      <c r="F16" s="3060"/>
      <c r="G16" s="2906"/>
      <c r="H16" s="3060"/>
      <c r="I16" s="2906"/>
      <c r="J16" s="3060"/>
      <c r="K16" s="2906"/>
      <c r="L16" s="3060"/>
      <c r="M16" s="2906"/>
      <c r="N16" s="2918"/>
      <c r="O16" s="2906"/>
      <c r="P16" s="2918"/>
      <c r="Q16" s="2906"/>
      <c r="R16" s="3059"/>
      <c r="S16" s="2906"/>
      <c r="W16" s="3070"/>
      <c r="X16" s="3037" t="s">
        <v>2622</v>
      </c>
      <c r="Z16" s="3062">
        <f>SUM(Z15:Z15)</f>
        <v>76416.5</v>
      </c>
      <c r="AA16" s="3062">
        <f>SUM(AA15:AA15)</f>
        <v>48642</v>
      </c>
    </row>
    <row r="17" spans="1:27" ht="15" thickBot="1">
      <c r="A17" s="3063" t="s">
        <v>2463</v>
      </c>
      <c r="B17" s="3075"/>
      <c r="C17" s="2906"/>
      <c r="D17" s="2918"/>
      <c r="E17" s="2906"/>
      <c r="F17" s="3060"/>
      <c r="G17" s="2906"/>
      <c r="H17" s="3060"/>
      <c r="I17" s="2906"/>
      <c r="J17" s="3060"/>
      <c r="K17" s="2906"/>
      <c r="L17" s="3060"/>
      <c r="M17" s="2906"/>
      <c r="N17" s="2918"/>
      <c r="O17" s="2906"/>
      <c r="P17" s="2918"/>
      <c r="Q17" s="2906"/>
      <c r="R17" s="3059"/>
      <c r="S17" s="2906"/>
      <c r="W17" s="3070"/>
      <c r="Z17" s="3064"/>
      <c r="AA17" s="3064"/>
    </row>
    <row r="18" spans="1:27" ht="15" thickBot="1">
      <c r="A18" s="2461" t="s">
        <v>2620</v>
      </c>
      <c r="B18" s="3065">
        <v>0.22856000000000001</v>
      </c>
      <c r="C18" s="2906"/>
      <c r="E18" s="2906"/>
      <c r="F18" s="3060"/>
      <c r="G18" s="2906"/>
      <c r="H18" s="3060"/>
      <c r="I18" s="2906"/>
      <c r="J18" s="3060"/>
      <c r="K18" s="2906"/>
      <c r="L18" s="3060"/>
      <c r="M18" s="2906"/>
      <c r="O18" s="2906"/>
      <c r="Q18" s="2906"/>
      <c r="R18" s="3059"/>
      <c r="S18" s="2906"/>
      <c r="W18" s="3066" t="s">
        <v>682</v>
      </c>
      <c r="X18" s="3067" t="s">
        <v>677</v>
      </c>
      <c r="Y18" s="3038" t="s">
        <v>19</v>
      </c>
      <c r="Z18" s="3068"/>
      <c r="AA18" s="3069">
        <f>AA16-Z16</f>
        <v>-27774.5</v>
      </c>
    </row>
    <row r="19" spans="1:27">
      <c r="A19" s="2461" t="s">
        <v>2621</v>
      </c>
      <c r="B19" s="3065">
        <v>0.20707999999999999</v>
      </c>
      <c r="C19" s="2906"/>
      <c r="D19" s="2918"/>
      <c r="E19" s="2906"/>
      <c r="F19" s="3060"/>
      <c r="G19" s="2906"/>
      <c r="H19" s="3060"/>
      <c r="I19" s="2906"/>
      <c r="J19" s="3060"/>
      <c r="K19" s="2906"/>
      <c r="L19" s="3060"/>
      <c r="M19" s="2906"/>
      <c r="N19" s="2918"/>
      <c r="O19" s="2906"/>
      <c r="P19" s="2918"/>
      <c r="Q19" s="2906"/>
      <c r="R19" s="3059"/>
      <c r="S19" s="2906"/>
      <c r="W19" s="3070"/>
      <c r="Z19" s="3064"/>
      <c r="AA19" s="3064"/>
    </row>
    <row r="20" spans="1:27" ht="15" thickBot="1">
      <c r="A20" s="2461" t="s">
        <v>1499</v>
      </c>
      <c r="B20" s="3065">
        <v>0.71745999999999999</v>
      </c>
      <c r="C20" s="3071">
        <f>ROUND((C9)*$B$19*$B$20,0)</f>
        <v>25135</v>
      </c>
      <c r="D20" s="2918"/>
      <c r="E20" s="3071">
        <f>ROUND((E9)*$B$20*$B$18,0)</f>
        <v>-4555</v>
      </c>
      <c r="F20" s="3072"/>
      <c r="G20" s="3071">
        <f>ROUND((G9)*$B$18,0)</f>
        <v>0</v>
      </c>
      <c r="H20" s="3072"/>
      <c r="I20" s="3071">
        <v>0</v>
      </c>
      <c r="J20" s="3072"/>
      <c r="K20" s="3071">
        <v>0</v>
      </c>
      <c r="L20" s="3072"/>
      <c r="M20" s="3071">
        <v>0</v>
      </c>
      <c r="N20" s="2918"/>
      <c r="O20" s="3071">
        <f>ROUND((O9)*B20,0)</f>
        <v>0</v>
      </c>
      <c r="P20" s="2918"/>
      <c r="Q20" s="3071">
        <v>0</v>
      </c>
      <c r="R20" s="3073"/>
      <c r="S20" s="3074">
        <f>SUM(C20,E20,G20,I20,K20,M20,O20,Q20)</f>
        <v>20580</v>
      </c>
      <c r="W20" s="3037" t="s">
        <v>2268</v>
      </c>
      <c r="Z20" s="3076">
        <f>SUM(Z16,Z11)</f>
        <v>19399971.759999998</v>
      </c>
      <c r="AA20" s="3076">
        <f>SUM(AA16,AA11)</f>
        <v>19541375.100000009</v>
      </c>
    </row>
    <row r="21" spans="1:27" ht="15" thickTop="1">
      <c r="A21" s="2905"/>
      <c r="B21" s="3075"/>
      <c r="C21" s="2906"/>
      <c r="D21" s="2918"/>
      <c r="E21" s="2906"/>
      <c r="F21" s="3060"/>
      <c r="G21" s="2906"/>
      <c r="H21" s="3060"/>
      <c r="I21" s="2906"/>
      <c r="J21" s="3060"/>
      <c r="K21" s="2906"/>
      <c r="L21" s="3060"/>
      <c r="M21" s="2906"/>
      <c r="N21" s="2918"/>
      <c r="O21" s="2906"/>
      <c r="P21" s="2918"/>
      <c r="Q21" s="2906"/>
      <c r="R21" s="3059"/>
      <c r="S21" s="2906"/>
      <c r="Z21" s="3076"/>
      <c r="AA21" s="3076"/>
    </row>
    <row r="22" spans="1:27">
      <c r="A22" s="3063" t="s">
        <v>2391</v>
      </c>
      <c r="B22" s="3075"/>
      <c r="C22" s="2906"/>
      <c r="D22" s="2918"/>
      <c r="E22" s="2906"/>
      <c r="F22" s="3060"/>
      <c r="G22" s="2906"/>
      <c r="H22" s="3060"/>
      <c r="I22" s="2906"/>
      <c r="J22" s="3060"/>
      <c r="K22" s="2906"/>
      <c r="L22" s="3060"/>
      <c r="M22" s="2906"/>
      <c r="N22" s="2918"/>
      <c r="O22" s="2906"/>
      <c r="P22" s="2918"/>
      <c r="Q22" s="2906"/>
      <c r="R22" s="3059"/>
      <c r="S22" s="2906"/>
      <c r="W22" s="3037" t="s">
        <v>681</v>
      </c>
      <c r="X22" s="3037" t="s">
        <v>677</v>
      </c>
      <c r="Y22" s="3037" t="s">
        <v>2611</v>
      </c>
      <c r="Z22" s="3039">
        <v>1171290.7099999997</v>
      </c>
      <c r="AA22" s="3039">
        <f>1019925.16+157872.83</f>
        <v>1177797.99</v>
      </c>
    </row>
    <row r="23" spans="1:27">
      <c r="A23" s="2461" t="s">
        <v>2620</v>
      </c>
      <c r="B23" s="3075">
        <f>B13</f>
        <v>0.77144000000000001</v>
      </c>
      <c r="C23" s="2906"/>
      <c r="E23" s="2906"/>
      <c r="F23" s="3060"/>
      <c r="G23" s="2906"/>
      <c r="H23" s="3060"/>
      <c r="I23" s="2906"/>
      <c r="J23" s="3060"/>
      <c r="K23" s="2906"/>
      <c r="L23" s="3060"/>
      <c r="M23" s="2906"/>
      <c r="O23" s="2906"/>
      <c r="Q23" s="2906"/>
      <c r="R23" s="3059"/>
      <c r="S23" s="2906"/>
      <c r="Y23" s="3037" t="s">
        <v>2614</v>
      </c>
      <c r="Z23" s="3039">
        <v>17049.78</v>
      </c>
      <c r="AA23" s="3039">
        <v>12373.68</v>
      </c>
    </row>
    <row r="24" spans="1:27">
      <c r="A24" s="2461" t="s">
        <v>2621</v>
      </c>
      <c r="B24" s="3075">
        <f>B14</f>
        <v>0.70111999999999997</v>
      </c>
      <c r="C24" s="2906"/>
      <c r="D24" s="2918"/>
      <c r="E24" s="2906"/>
      <c r="F24" s="3060"/>
      <c r="G24" s="2906"/>
      <c r="H24" s="3060"/>
      <c r="I24" s="2906"/>
      <c r="J24" s="3060"/>
      <c r="K24" s="2906"/>
      <c r="L24" s="3060"/>
      <c r="M24" s="2906"/>
      <c r="N24" s="2918"/>
      <c r="O24" s="2906"/>
      <c r="P24" s="2918"/>
      <c r="Q24" s="2906"/>
      <c r="R24" s="3059"/>
      <c r="S24" s="2906"/>
      <c r="Y24" s="3037" t="s">
        <v>24</v>
      </c>
      <c r="Z24" s="3056">
        <f>SUM(Z22:Z23)</f>
        <v>1188340.4899999998</v>
      </c>
      <c r="AA24" s="3056">
        <f>SUM(AA22:AA23)</f>
        <v>1190171.67</v>
      </c>
    </row>
    <row r="25" spans="1:27" ht="15" thickBot="1">
      <c r="A25" s="2461" t="s">
        <v>1499</v>
      </c>
      <c r="B25" s="3075">
        <f>1-B15</f>
        <v>0.33057000000000003</v>
      </c>
      <c r="C25" s="3071">
        <f>ROUND((C9)*$B$24*$B$25,0)</f>
        <v>39210</v>
      </c>
      <c r="D25" s="2918"/>
      <c r="E25" s="3071">
        <f>ROUND((E9)*$B$25*$B$23,0)</f>
        <v>-7083</v>
      </c>
      <c r="F25" s="3072"/>
      <c r="G25" s="3071">
        <v>0</v>
      </c>
      <c r="H25" s="3072"/>
      <c r="I25" s="3071">
        <f>ROUND((I9)*$B$23,0)</f>
        <v>0</v>
      </c>
      <c r="J25" s="3072"/>
      <c r="K25" s="3071">
        <f>ROUND((K9)*$B$25,0)</f>
        <v>605</v>
      </c>
      <c r="L25" s="3072"/>
      <c r="M25" s="3071">
        <v>0</v>
      </c>
      <c r="N25" s="2918"/>
      <c r="O25" s="3071">
        <v>0</v>
      </c>
      <c r="P25" s="2918"/>
      <c r="Q25" s="3071">
        <v>0</v>
      </c>
      <c r="R25" s="3073"/>
      <c r="S25" s="3077">
        <f>SUM(C25,E25,G25,I25,K25,M25,O25,Q25)</f>
        <v>32732</v>
      </c>
      <c r="Z25" s="3039"/>
      <c r="AA25" s="3039"/>
    </row>
    <row r="26" spans="1:27" ht="15" thickTop="1">
      <c r="A26" s="2905"/>
      <c r="B26" s="3075"/>
      <c r="C26" s="2906"/>
      <c r="D26" s="2918"/>
      <c r="E26" s="2906"/>
      <c r="F26" s="3060"/>
      <c r="G26" s="2906"/>
      <c r="H26" s="3060"/>
      <c r="I26" s="2906"/>
      <c r="J26" s="3060"/>
      <c r="K26" s="2906"/>
      <c r="L26" s="3060"/>
      <c r="M26" s="2906"/>
      <c r="N26" s="2918"/>
      <c r="O26" s="2906"/>
      <c r="P26" s="2918"/>
      <c r="Q26" s="2906"/>
      <c r="R26" s="3059"/>
      <c r="S26" s="2906"/>
      <c r="W26" s="3061"/>
      <c r="X26" s="3037" t="s">
        <v>2622</v>
      </c>
      <c r="Z26" s="3062">
        <f>SUM(Z22,Z23)</f>
        <v>1188340.4899999998</v>
      </c>
      <c r="AA26" s="3062">
        <f>SUM(AA22,AA23)</f>
        <v>1190171.67</v>
      </c>
    </row>
    <row r="27" spans="1:27" ht="15" thickBot="1">
      <c r="A27" s="3063" t="s">
        <v>2392</v>
      </c>
      <c r="B27" s="3075"/>
      <c r="C27" s="2906"/>
      <c r="D27" s="2918"/>
      <c r="E27" s="2906"/>
      <c r="F27" s="3060"/>
      <c r="G27" s="2906"/>
      <c r="H27" s="3060"/>
      <c r="I27" s="2906"/>
      <c r="J27" s="3060"/>
      <c r="K27" s="2906"/>
      <c r="L27" s="3060"/>
      <c r="M27" s="2906"/>
      <c r="N27" s="2918"/>
      <c r="O27" s="2906"/>
      <c r="P27" s="2918"/>
      <c r="Q27" s="2906"/>
      <c r="R27" s="3059"/>
      <c r="S27" s="2906"/>
      <c r="Z27" s="3064"/>
      <c r="AA27" s="3064"/>
    </row>
    <row r="28" spans="1:27" ht="15" thickBot="1">
      <c r="A28" s="2461" t="s">
        <v>2620</v>
      </c>
      <c r="B28" s="3075">
        <f>B18</f>
        <v>0.22856000000000001</v>
      </c>
      <c r="C28" s="2906"/>
      <c r="E28" s="2906"/>
      <c r="F28" s="3060"/>
      <c r="G28" s="2906"/>
      <c r="H28" s="3060"/>
      <c r="I28" s="2906"/>
      <c r="J28" s="3060"/>
      <c r="K28" s="2906"/>
      <c r="L28" s="3060"/>
      <c r="M28" s="2906"/>
      <c r="O28" s="2906"/>
      <c r="Q28" s="2906"/>
      <c r="R28" s="3059"/>
      <c r="S28" s="2906"/>
      <c r="W28" s="3066" t="s">
        <v>681</v>
      </c>
      <c r="X28" s="3067" t="s">
        <v>677</v>
      </c>
      <c r="Y28" s="3038" t="s">
        <v>19</v>
      </c>
      <c r="Z28" s="3068"/>
      <c r="AA28" s="3069">
        <f>AA26-Z26</f>
        <v>1831.1800000001676</v>
      </c>
    </row>
    <row r="29" spans="1:27">
      <c r="A29" s="2461" t="s">
        <v>2621</v>
      </c>
      <c r="B29" s="3075">
        <f>B19</f>
        <v>0.20707999999999999</v>
      </c>
      <c r="C29" s="2906"/>
      <c r="D29" s="2918"/>
      <c r="E29" s="2906"/>
      <c r="F29" s="3060"/>
      <c r="G29" s="2906"/>
      <c r="H29" s="3060"/>
      <c r="I29" s="2906"/>
      <c r="J29" s="3060"/>
      <c r="K29" s="2906"/>
      <c r="L29" s="3060"/>
      <c r="M29" s="2906"/>
      <c r="N29" s="2918"/>
      <c r="O29" s="2906"/>
      <c r="P29" s="2918"/>
      <c r="Q29" s="2906"/>
      <c r="R29" s="3059"/>
      <c r="S29" s="2906"/>
      <c r="Z29" s="3064"/>
      <c r="AA29" s="3064"/>
    </row>
    <row r="30" spans="1:27" ht="15" thickBot="1">
      <c r="A30" s="2461" t="s">
        <v>1499</v>
      </c>
      <c r="B30" s="3075">
        <f>1-B20</f>
        <v>0.28254000000000001</v>
      </c>
      <c r="C30" s="3071">
        <f>ROUND((C9)*$B$29*$B$30,0)</f>
        <v>9898</v>
      </c>
      <c r="D30" s="2918"/>
      <c r="E30" s="3071">
        <f>ROUND((E9)*$B$30*$B$28,0)</f>
        <v>-1794</v>
      </c>
      <c r="F30" s="3072"/>
      <c r="G30" s="3071">
        <v>0</v>
      </c>
      <c r="H30" s="3072"/>
      <c r="I30" s="3071">
        <f>ROUND((I9)*$B$28,0)</f>
        <v>0</v>
      </c>
      <c r="J30" s="3072"/>
      <c r="K30" s="3071">
        <v>0</v>
      </c>
      <c r="L30" s="3072"/>
      <c r="M30" s="3071">
        <v>0</v>
      </c>
      <c r="N30" s="2918"/>
      <c r="O30" s="3071">
        <f>ROUND((O9)*B30,0)</f>
        <v>0</v>
      </c>
      <c r="P30" s="2918"/>
      <c r="Q30" s="3071">
        <v>0</v>
      </c>
      <c r="R30" s="3073"/>
      <c r="S30" s="3077">
        <f>SUM(C30,E30,G30,I30,K30,M30,O30,Q30)</f>
        <v>8104</v>
      </c>
      <c r="X30" s="3037" t="s">
        <v>763</v>
      </c>
      <c r="Y30" s="3037" t="s">
        <v>2614</v>
      </c>
      <c r="Z30" s="3039">
        <v>79655.179999999993</v>
      </c>
      <c r="AA30" s="3039">
        <v>114851.12</v>
      </c>
    </row>
    <row r="31" spans="1:27" ht="15" thickTop="1">
      <c r="A31" s="2905"/>
      <c r="B31" s="3078"/>
      <c r="C31" s="3079"/>
      <c r="D31" s="3080"/>
      <c r="E31" s="3079"/>
      <c r="F31" s="3072"/>
      <c r="G31" s="3079"/>
      <c r="H31" s="3072"/>
      <c r="I31" s="3079"/>
      <c r="J31" s="3072"/>
      <c r="K31" s="3079"/>
      <c r="L31" s="3072"/>
      <c r="M31" s="3079"/>
      <c r="N31" s="3080"/>
      <c r="O31" s="3079"/>
      <c r="P31" s="3080"/>
      <c r="Q31" s="3079"/>
      <c r="R31" s="3073"/>
      <c r="S31" s="3079"/>
      <c r="X31" s="3037" t="s">
        <v>2623</v>
      </c>
      <c r="Z31" s="3081">
        <f>Z30</f>
        <v>79655.179999999993</v>
      </c>
      <c r="AA31" s="3056">
        <f>AA30</f>
        <v>114851.12</v>
      </c>
    </row>
    <row r="32" spans="1:27" ht="15" thickBot="1">
      <c r="A32" s="3063" t="s">
        <v>2393</v>
      </c>
      <c r="B32" s="3078"/>
      <c r="C32" s="3079"/>
      <c r="D32" s="3080"/>
      <c r="E32" s="3079"/>
      <c r="F32" s="3072"/>
      <c r="G32" s="3079"/>
      <c r="H32" s="3072"/>
      <c r="I32" s="3079"/>
      <c r="J32" s="3072"/>
      <c r="K32" s="3079"/>
      <c r="L32" s="3072"/>
      <c r="M32" s="3079"/>
      <c r="N32" s="3080"/>
      <c r="O32" s="3079"/>
      <c r="P32" s="3080"/>
      <c r="Q32" s="3079"/>
      <c r="R32" s="3073"/>
      <c r="S32" s="3079"/>
      <c r="Z32" s="3064"/>
      <c r="AA32" s="3064"/>
    </row>
    <row r="33" spans="1:27" ht="15" thickBot="1">
      <c r="A33" s="2461" t="s">
        <v>2621</v>
      </c>
      <c r="B33" s="3075">
        <f>1-B19-B14</f>
        <v>9.1800000000000104E-2</v>
      </c>
      <c r="C33" s="3071">
        <f>ROUND((C9)*$B$33,0)</f>
        <v>15531</v>
      </c>
      <c r="D33" s="2918"/>
      <c r="E33" s="3071">
        <v>0</v>
      </c>
      <c r="F33" s="3072"/>
      <c r="G33" s="3071">
        <v>0</v>
      </c>
      <c r="H33" s="3072"/>
      <c r="I33" s="3071">
        <v>0</v>
      </c>
      <c r="J33" s="3072"/>
      <c r="K33" s="3071">
        <v>0</v>
      </c>
      <c r="L33" s="3072"/>
      <c r="M33" s="3071">
        <v>0</v>
      </c>
      <c r="N33" s="2918"/>
      <c r="O33" s="3071">
        <v>0</v>
      </c>
      <c r="P33" s="2918"/>
      <c r="Q33" s="3071">
        <f>Q9</f>
        <v>0</v>
      </c>
      <c r="R33" s="3073"/>
      <c r="S33" s="3077">
        <f>SUM(C33,E33,G33,I33,K33,M33,O33,Q33)</f>
        <v>15531</v>
      </c>
      <c r="W33" s="3066" t="s">
        <v>681</v>
      </c>
      <c r="X33" s="3067" t="s">
        <v>763</v>
      </c>
      <c r="Y33" s="3038" t="s">
        <v>19</v>
      </c>
      <c r="Z33" s="3068"/>
      <c r="AA33" s="3069">
        <f>AA31-Z31</f>
        <v>35195.94</v>
      </c>
    </row>
    <row r="34" spans="1:27" ht="15" thickTop="1">
      <c r="E34" s="3057"/>
      <c r="F34" s="3058"/>
      <c r="H34" s="3058"/>
      <c r="J34" s="3058"/>
      <c r="L34" s="3058"/>
      <c r="O34" s="3057"/>
      <c r="Q34" s="3057"/>
      <c r="R34" s="3057"/>
      <c r="Z34" s="3056"/>
      <c r="AA34" s="3056"/>
    </row>
    <row r="35" spans="1:27">
      <c r="C35" s="3082">
        <f>SUM(C15:C33)-C9</f>
        <v>0.15999998897314072</v>
      </c>
      <c r="D35" s="3083"/>
      <c r="E35" s="2456">
        <f>SUM(E15:E33)-E9</f>
        <v>-0.5</v>
      </c>
      <c r="F35" s="3058"/>
      <c r="G35" s="3057">
        <f>SUM(G15:G33)-G9</f>
        <v>0</v>
      </c>
      <c r="H35" s="3058"/>
      <c r="I35" s="3057">
        <f>SUM(I15:I33)-I9</f>
        <v>0</v>
      </c>
      <c r="J35" s="3058"/>
      <c r="K35" s="2456">
        <f>SUM(K15:K33)-K9</f>
        <v>-0.18000000016763806</v>
      </c>
      <c r="L35" s="3058"/>
      <c r="M35" s="3057">
        <f>SUM(M15:M33)-M9</f>
        <v>0</v>
      </c>
      <c r="N35" s="3083"/>
      <c r="O35" s="3057">
        <f>SUM(O15:O33)-O9</f>
        <v>0</v>
      </c>
      <c r="P35" s="3083"/>
      <c r="Q35" s="3057">
        <f>SUM(Q15:Q33)-Q9</f>
        <v>0</v>
      </c>
      <c r="R35" s="3057"/>
      <c r="S35" s="3082">
        <f>SUM(C35:Q35)</f>
        <v>-0.52000001119449735</v>
      </c>
      <c r="W35" s="3037" t="s">
        <v>2332</v>
      </c>
      <c r="Z35" s="3084">
        <f>SUM(Z31,Z26)</f>
        <v>1267995.6699999997</v>
      </c>
      <c r="AA35" s="3084">
        <f>SUM(AA31,AA26)</f>
        <v>1305022.79</v>
      </c>
    </row>
    <row r="36" spans="1:27">
      <c r="Z36" s="3084"/>
      <c r="AA36" s="3084"/>
    </row>
    <row r="37" spans="1:27">
      <c r="W37" s="3038" t="s">
        <v>978</v>
      </c>
      <c r="Z37" s="3076">
        <f>SUM(Z35,Z20)</f>
        <v>20667967.429999996</v>
      </c>
      <c r="AA37" s="3076">
        <f>SUM(AA35,AA20)</f>
        <v>20846397.890000008</v>
      </c>
    </row>
    <row r="38" spans="1:27" ht="15" thickBot="1">
      <c r="Z38" s="3085"/>
      <c r="AA38" s="3085"/>
    </row>
    <row r="39" spans="1:27" ht="15" thickBot="1">
      <c r="Y39" s="3086" t="s">
        <v>1760</v>
      </c>
      <c r="Z39" s="3087"/>
      <c r="AA39" s="3069">
        <f>AA37-Z37</f>
        <v>178430.46000001207</v>
      </c>
    </row>
    <row r="42" spans="1:27">
      <c r="Z42" s="3085"/>
      <c r="AA42" s="3085"/>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BB8-FB2A-4878-9884-1A16EEF61672}">
  <sheetPr>
    <tabColor rgb="FFFFC000"/>
  </sheetPr>
  <dimension ref="A1:AN162"/>
  <sheetViews>
    <sheetView workbookViewId="0"/>
  </sheetViews>
  <sheetFormatPr defaultColWidth="9.1796875" defaultRowHeight="15.5"/>
  <cols>
    <col min="1" max="1" width="9.1796875" style="3088"/>
    <col min="2" max="2" width="9.26953125" style="3088" customWidth="1"/>
    <col min="3" max="3" width="9" style="3088" customWidth="1"/>
    <col min="4" max="4" width="32.26953125" style="3088" customWidth="1"/>
    <col min="5" max="5" width="13.1796875" style="273" bestFit="1" customWidth="1"/>
    <col min="6" max="6" width="16.54296875" style="3088" customWidth="1"/>
    <col min="7" max="7" width="15" style="3088" customWidth="1"/>
    <col min="8" max="8" width="11.81640625" style="3088" bestFit="1" customWidth="1"/>
    <col min="9" max="9" width="13.453125" style="3088" customWidth="1"/>
    <col min="10" max="10" width="16.1796875" style="3088" customWidth="1"/>
    <col min="11" max="11" width="15" style="3089" customWidth="1"/>
    <col min="12" max="12" width="15" style="3088" bestFit="1" customWidth="1"/>
    <col min="13" max="13" width="14" style="3089" customWidth="1"/>
    <col min="14" max="14" width="9.54296875" style="3088" bestFit="1" customWidth="1"/>
    <col min="15" max="15" width="12.26953125" style="3088" customWidth="1"/>
    <col min="16" max="16" width="16.1796875" style="3088" bestFit="1" customWidth="1"/>
    <col min="17" max="17" width="12.7265625" style="3088" customWidth="1"/>
    <col min="18" max="18" width="18.26953125" style="3088" customWidth="1"/>
    <col min="19" max="19" width="12" style="3088" customWidth="1"/>
    <col min="20" max="20" width="11.81640625" style="3088" customWidth="1"/>
    <col min="21" max="21" width="15.81640625" style="3088" customWidth="1"/>
    <col min="22" max="22" width="14.7265625" style="3088" customWidth="1"/>
    <col min="23" max="25" width="9.1796875" style="3088"/>
    <col min="26" max="26" width="15.26953125" style="3088" bestFit="1" customWidth="1"/>
    <col min="27" max="27" width="2.6328125" style="3823" customWidth="1"/>
    <col min="28" max="29" width="9.1796875" style="3088"/>
    <col min="30" max="30" width="15.81640625" style="3088" customWidth="1"/>
    <col min="31" max="31" width="22.54296875" style="3088" customWidth="1"/>
    <col min="32" max="32" width="26.1796875" style="3088" customWidth="1"/>
    <col min="33" max="33" width="16.453125" style="3088" customWidth="1"/>
    <col min="34" max="34" width="16.26953125" style="3088" customWidth="1"/>
    <col min="35" max="35" width="9.1796875" style="3088"/>
    <col min="36" max="36" width="14.7265625" style="3088" customWidth="1"/>
    <col min="37" max="16384" width="9.1796875" style="3088"/>
  </cols>
  <sheetData>
    <row r="1" spans="1:38">
      <c r="A1" s="3088" t="s">
        <v>1204</v>
      </c>
      <c r="C1" s="2824" t="s">
        <v>3462</v>
      </c>
      <c r="J1" s="4046" t="s">
        <v>2804</v>
      </c>
      <c r="K1" s="4046"/>
      <c r="L1" s="4046"/>
      <c r="M1" s="3088"/>
      <c r="O1" s="3112" t="s">
        <v>2803</v>
      </c>
      <c r="P1" s="3089"/>
      <c r="Q1" s="3089"/>
      <c r="AC1" s="3088" t="s">
        <v>1204</v>
      </c>
      <c r="AG1" s="273"/>
      <c r="AH1" s="4046"/>
      <c r="AI1" s="4046"/>
      <c r="AJ1" s="4046"/>
    </row>
    <row r="2" spans="1:38">
      <c r="A2" s="3088" t="s">
        <v>1577</v>
      </c>
      <c r="H2" s="3125">
        <v>2018</v>
      </c>
      <c r="I2" s="3125">
        <v>2019</v>
      </c>
      <c r="J2" s="3125">
        <v>2020</v>
      </c>
      <c r="K2" s="3125">
        <v>2021</v>
      </c>
      <c r="L2" s="3125">
        <v>2022</v>
      </c>
      <c r="M2" s="3125">
        <v>2023</v>
      </c>
      <c r="N2" s="3124" t="s">
        <v>2802</v>
      </c>
      <c r="O2" s="3112" t="s">
        <v>2801</v>
      </c>
      <c r="P2" s="3089"/>
      <c r="Q2" s="3089"/>
      <c r="AC2" s="3088" t="s">
        <v>1577</v>
      </c>
      <c r="AG2" s="273"/>
      <c r="AH2" s="3669"/>
      <c r="AI2" s="3669"/>
      <c r="AJ2" s="3669"/>
      <c r="AK2" s="3669"/>
      <c r="AL2" s="3779"/>
    </row>
    <row r="3" spans="1:38" ht="16" thickBot="1">
      <c r="A3" s="3088" t="s">
        <v>2800</v>
      </c>
      <c r="E3" s="3766"/>
      <c r="F3" s="3767" t="s">
        <v>2799</v>
      </c>
      <c r="G3" s="3768">
        <f>N5</f>
        <v>2.5000000000000001E-2</v>
      </c>
      <c r="H3" s="3123">
        <v>37298</v>
      </c>
      <c r="I3" s="3123">
        <v>39437</v>
      </c>
      <c r="J3" s="3123">
        <v>42735</v>
      </c>
      <c r="K3" s="3122">
        <v>40856</v>
      </c>
      <c r="L3" s="3122">
        <v>43529</v>
      </c>
      <c r="M3" s="3122">
        <v>45777</v>
      </c>
      <c r="N3" s="3769"/>
      <c r="O3" s="3112" t="s">
        <v>2798</v>
      </c>
      <c r="P3" s="3089"/>
      <c r="Q3" s="3089"/>
      <c r="U3" s="3088" t="s">
        <v>2797</v>
      </c>
      <c r="AC3" s="3088" t="s">
        <v>2800</v>
      </c>
      <c r="AG3" s="273"/>
      <c r="AH3" s="3805"/>
      <c r="AI3" s="3805"/>
      <c r="AJ3" s="3805"/>
      <c r="AK3" s="3805"/>
      <c r="AL3" s="3806"/>
    </row>
    <row r="4" spans="1:38" ht="16" thickTop="1">
      <c r="A4" s="3088" t="s">
        <v>3442</v>
      </c>
      <c r="H4" s="3112"/>
      <c r="I4" s="3770">
        <f>(I3-H3)/H3</f>
        <v>5.7348919513110622E-2</v>
      </c>
      <c r="J4" s="3770">
        <f>(J3-I3)/I3</f>
        <v>8.362705073915358E-2</v>
      </c>
      <c r="K4" s="3770">
        <f>(K3-J3)/J3</f>
        <v>-4.3968643968643965E-2</v>
      </c>
      <c r="L4" s="3770">
        <f>(L3-K3)/K3</f>
        <v>6.5424906990405332E-2</v>
      </c>
      <c r="M4" s="3771">
        <f>(M3-L3)/L3</f>
        <v>5.1643731765030211E-2</v>
      </c>
      <c r="N4" s="3771">
        <f>AVERAGE(I4:M4)</f>
        <v>4.2815193007811156E-2</v>
      </c>
      <c r="O4" s="3112" t="s">
        <v>2796</v>
      </c>
      <c r="P4" s="3089"/>
      <c r="Q4" s="3089"/>
      <c r="U4" s="3088" t="s">
        <v>2795</v>
      </c>
      <c r="AC4" s="3088" t="s">
        <v>3442</v>
      </c>
      <c r="AG4" s="273"/>
      <c r="AH4" s="3807"/>
      <c r="AI4" s="3807"/>
      <c r="AJ4" s="3807"/>
      <c r="AK4" s="3807"/>
      <c r="AL4" s="3807"/>
    </row>
    <row r="5" spans="1:38">
      <c r="A5" s="3088" t="s">
        <v>2794</v>
      </c>
      <c r="H5" s="3112"/>
      <c r="M5" s="3772" t="s">
        <v>3443</v>
      </c>
      <c r="N5" s="3773">
        <v>2.5000000000000001E-2</v>
      </c>
      <c r="O5" s="3089" t="s">
        <v>2793</v>
      </c>
      <c r="P5" s="3089"/>
      <c r="Q5" s="3089"/>
      <c r="U5" s="3088" t="s">
        <v>2792</v>
      </c>
      <c r="V5" s="3088" t="s">
        <v>2791</v>
      </c>
      <c r="AC5" s="3088" t="s">
        <v>2794</v>
      </c>
      <c r="AG5" s="273"/>
      <c r="AI5" s="3089"/>
      <c r="AK5" s="3121"/>
      <c r="AL5" s="3113"/>
    </row>
    <row r="6" spans="1:38" ht="16" thickBot="1">
      <c r="A6" s="3088" t="s">
        <v>2790</v>
      </c>
      <c r="K6" s="3120" t="s">
        <v>2789</v>
      </c>
      <c r="M6" s="3120" t="s">
        <v>2788</v>
      </c>
      <c r="O6" s="3112" t="s">
        <v>1544</v>
      </c>
      <c r="P6" s="3089"/>
      <c r="Q6" s="3089"/>
      <c r="T6" s="3088" t="s">
        <v>2787</v>
      </c>
      <c r="AC6" s="3088" t="s">
        <v>2790</v>
      </c>
      <c r="AG6" s="3091" t="s">
        <v>2778</v>
      </c>
      <c r="AI6" s="3120"/>
      <c r="AK6" s="3120"/>
    </row>
    <row r="7" spans="1:38">
      <c r="F7" s="4047" t="s">
        <v>2786</v>
      </c>
      <c r="G7" s="4048"/>
      <c r="H7" s="4049"/>
      <c r="I7" s="3119" t="s">
        <v>2785</v>
      </c>
      <c r="J7" s="3669" t="s">
        <v>2784</v>
      </c>
      <c r="K7" s="3118" t="s">
        <v>2783</v>
      </c>
      <c r="L7" s="3118" t="s">
        <v>2782</v>
      </c>
      <c r="M7" s="3118" t="s">
        <v>2587</v>
      </c>
      <c r="O7" s="3112" t="s">
        <v>2781</v>
      </c>
      <c r="P7" s="3089"/>
      <c r="Q7" s="3089"/>
      <c r="U7" s="3669" t="s">
        <v>1374</v>
      </c>
      <c r="AG7" s="3669" t="s">
        <v>2784</v>
      </c>
      <c r="AH7" s="3669" t="s">
        <v>2784</v>
      </c>
      <c r="AI7" s="3118"/>
      <c r="AJ7" s="3808" t="s">
        <v>3445</v>
      </c>
      <c r="AK7" s="3118"/>
    </row>
    <row r="8" spans="1:38" ht="16" thickBot="1">
      <c r="A8" s="3088" t="s">
        <v>1576</v>
      </c>
      <c r="B8" s="3088" t="s">
        <v>818</v>
      </c>
      <c r="C8" s="3088" t="s">
        <v>70</v>
      </c>
      <c r="E8" s="286" t="s">
        <v>524</v>
      </c>
      <c r="F8" s="3117" t="s">
        <v>123</v>
      </c>
      <c r="G8" s="3116" t="s">
        <v>2780</v>
      </c>
      <c r="H8" s="3115" t="s">
        <v>471</v>
      </c>
      <c r="I8" s="3114" t="s">
        <v>155</v>
      </c>
      <c r="J8" s="3669">
        <v>12.202299999999999</v>
      </c>
      <c r="K8" s="3774">
        <f>G3*2</f>
        <v>0.05</v>
      </c>
      <c r="L8" s="3774">
        <f>G3*3</f>
        <v>7.5000000000000011E-2</v>
      </c>
      <c r="M8" s="3089">
        <v>2026</v>
      </c>
      <c r="O8" s="3112" t="s">
        <v>2779</v>
      </c>
      <c r="P8" s="3089"/>
      <c r="Q8" s="3089"/>
      <c r="T8" s="3088" t="s">
        <v>818</v>
      </c>
      <c r="U8" s="3669" t="s">
        <v>24</v>
      </c>
      <c r="AC8" s="3088" t="s">
        <v>1576</v>
      </c>
      <c r="AD8" s="3088" t="s">
        <v>818</v>
      </c>
      <c r="AE8" s="3088" t="s">
        <v>70</v>
      </c>
      <c r="AG8" s="3669" t="s">
        <v>3457</v>
      </c>
      <c r="AH8" s="3669" t="s">
        <v>3458</v>
      </c>
      <c r="AI8" s="3809"/>
      <c r="AJ8" s="3810" t="s">
        <v>3459</v>
      </c>
      <c r="AK8" s="3089"/>
    </row>
    <row r="9" spans="1:38">
      <c r="A9" s="3669">
        <v>1</v>
      </c>
      <c r="B9" s="3101" t="s">
        <v>2778</v>
      </c>
      <c r="C9" s="3101"/>
      <c r="D9" s="3101"/>
      <c r="E9" s="3100"/>
      <c r="O9" s="3112" t="s">
        <v>2777</v>
      </c>
      <c r="P9" s="3089"/>
      <c r="Q9" s="3089"/>
      <c r="AC9" s="3669">
        <v>1</v>
      </c>
      <c r="AD9" s="3101" t="s">
        <v>2778</v>
      </c>
      <c r="AE9" s="3101"/>
      <c r="AF9" s="3101"/>
      <c r="AI9" s="3089"/>
      <c r="AK9" s="3089"/>
    </row>
    <row r="10" spans="1:38">
      <c r="A10" s="3669">
        <v>2</v>
      </c>
      <c r="B10" s="3101"/>
      <c r="C10" s="3099" t="s">
        <v>2776</v>
      </c>
      <c r="D10" s="3101"/>
      <c r="E10" s="3100"/>
      <c r="O10" s="3112" t="s">
        <v>2775</v>
      </c>
      <c r="P10" s="3089"/>
      <c r="Q10" s="3089"/>
      <c r="T10" s="3824">
        <v>813000</v>
      </c>
      <c r="U10" s="3104">
        <v>647767.01372159971</v>
      </c>
      <c r="X10" s="3110"/>
      <c r="Y10" s="3825"/>
      <c r="Z10" s="3775"/>
      <c r="AC10" s="3669">
        <v>2</v>
      </c>
      <c r="AD10" s="3101"/>
      <c r="AE10" s="3099" t="s">
        <v>2776</v>
      </c>
      <c r="AF10" s="3101"/>
      <c r="AI10" s="3089"/>
      <c r="AK10" s="3089"/>
    </row>
    <row r="11" spans="1:38">
      <c r="A11" s="3669">
        <v>3</v>
      </c>
      <c r="B11" s="3101" t="s">
        <v>2774</v>
      </c>
      <c r="C11" s="3101" t="s">
        <v>1849</v>
      </c>
      <c r="D11" s="3101"/>
      <c r="E11" s="3100">
        <v>138387386</v>
      </c>
      <c r="F11" s="3100"/>
      <c r="G11" s="3100">
        <f>E11</f>
        <v>138387386</v>
      </c>
      <c r="H11" s="3100"/>
      <c r="I11" s="3100"/>
      <c r="J11" s="3095">
        <f>E11-SUM(F11:H11)+I11</f>
        <v>0</v>
      </c>
      <c r="K11" s="3094">
        <f>$J11*K$8</f>
        <v>0</v>
      </c>
      <c r="L11" s="3095">
        <f>$J11*L$8</f>
        <v>0</v>
      </c>
      <c r="M11" s="3094">
        <f>L11-K11</f>
        <v>0</v>
      </c>
      <c r="O11" s="273" t="s">
        <v>3444</v>
      </c>
      <c r="P11" s="3089"/>
      <c r="Q11" s="3089"/>
      <c r="T11" s="3824"/>
      <c r="U11" s="3104"/>
      <c r="X11" s="3110"/>
      <c r="Y11" s="3825"/>
      <c r="Z11" s="3775"/>
      <c r="AC11" s="3669">
        <v>3</v>
      </c>
      <c r="AD11" s="3101" t="s">
        <v>2774</v>
      </c>
      <c r="AE11" s="3101" t="s">
        <v>1849</v>
      </c>
      <c r="AF11" s="3101"/>
      <c r="AG11" s="3095">
        <v>0</v>
      </c>
      <c r="AH11" s="3095">
        <v>0</v>
      </c>
      <c r="AI11" s="3094"/>
      <c r="AJ11" s="3095"/>
      <c r="AK11" s="3094"/>
    </row>
    <row r="12" spans="1:38">
      <c r="A12" s="3669">
        <v>4</v>
      </c>
      <c r="B12" s="3101" t="s">
        <v>2773</v>
      </c>
      <c r="C12" s="3101" t="s">
        <v>2772</v>
      </c>
      <c r="D12" s="3101"/>
      <c r="E12" s="3100"/>
      <c r="F12" s="3100"/>
      <c r="G12" s="3100"/>
      <c r="H12" s="3100"/>
      <c r="I12" s="3100"/>
      <c r="J12" s="3095">
        <f t="shared" ref="J12:J75" si="0">E12-SUM(F12:H12)+I12</f>
        <v>0</v>
      </c>
      <c r="K12" s="3094">
        <f t="shared" ref="K12:L27" si="1">$J12*K$8</f>
        <v>0</v>
      </c>
      <c r="L12" s="3095">
        <f t="shared" si="1"/>
        <v>0</v>
      </c>
      <c r="M12" s="3094">
        <f t="shared" ref="M12:M75" si="2">L12-K12</f>
        <v>0</v>
      </c>
      <c r="O12" s="3089"/>
      <c r="T12" s="3824">
        <v>870000</v>
      </c>
      <c r="U12" s="3104">
        <v>1461004.0735520001</v>
      </c>
      <c r="X12" s="3110"/>
      <c r="Y12" s="3825"/>
      <c r="Z12" s="3775"/>
      <c r="AC12" s="3669">
        <v>4</v>
      </c>
      <c r="AD12" s="3101" t="s">
        <v>2773</v>
      </c>
      <c r="AE12" s="3101" t="s">
        <v>2772</v>
      </c>
      <c r="AF12" s="3101"/>
      <c r="AG12" s="3095">
        <v>0</v>
      </c>
      <c r="AH12" s="3095">
        <v>0</v>
      </c>
      <c r="AI12" s="3094"/>
      <c r="AJ12" s="3095"/>
      <c r="AK12" s="3094"/>
    </row>
    <row r="13" spans="1:38">
      <c r="A13" s="3669">
        <v>5</v>
      </c>
      <c r="B13" s="3101" t="s">
        <v>2771</v>
      </c>
      <c r="C13" s="3101" t="s">
        <v>2770</v>
      </c>
      <c r="D13" s="3101"/>
      <c r="E13" s="3100"/>
      <c r="F13" s="3100"/>
      <c r="G13" s="3100"/>
      <c r="H13" s="3100"/>
      <c r="I13" s="3100"/>
      <c r="J13" s="3095">
        <f t="shared" si="0"/>
        <v>0</v>
      </c>
      <c r="K13" s="3094">
        <f t="shared" si="1"/>
        <v>0</v>
      </c>
      <c r="L13" s="3095">
        <f t="shared" si="1"/>
        <v>0</v>
      </c>
      <c r="M13" s="3094">
        <f t="shared" si="2"/>
        <v>0</v>
      </c>
      <c r="T13" s="3824">
        <v>874000</v>
      </c>
      <c r="U13" s="3104">
        <v>2624066.8378400048</v>
      </c>
      <c r="X13" s="3110"/>
      <c r="Y13" s="3825"/>
      <c r="Z13" s="3775"/>
      <c r="AC13" s="3669">
        <v>5</v>
      </c>
      <c r="AD13" s="3101" t="s">
        <v>2771</v>
      </c>
      <c r="AE13" s="3101" t="s">
        <v>2770</v>
      </c>
      <c r="AF13" s="3101"/>
      <c r="AG13" s="3095">
        <v>0</v>
      </c>
      <c r="AH13" s="3095">
        <v>0</v>
      </c>
      <c r="AI13" s="3094"/>
      <c r="AJ13" s="3095"/>
      <c r="AK13" s="3094"/>
    </row>
    <row r="14" spans="1:38">
      <c r="A14" s="3669">
        <v>6</v>
      </c>
      <c r="B14" s="3101" t="s">
        <v>2769</v>
      </c>
      <c r="C14" s="3101" t="s">
        <v>2768</v>
      </c>
      <c r="D14" s="3101"/>
      <c r="E14" s="3100"/>
      <c r="F14" s="3100"/>
      <c r="G14" s="3100"/>
      <c r="H14" s="3100"/>
      <c r="I14" s="3100"/>
      <c r="J14" s="3095">
        <f t="shared" si="0"/>
        <v>0</v>
      </c>
      <c r="K14" s="3094">
        <f t="shared" si="1"/>
        <v>0</v>
      </c>
      <c r="L14" s="3095">
        <f t="shared" si="1"/>
        <v>0</v>
      </c>
      <c r="M14" s="3094">
        <f t="shared" si="2"/>
        <v>0</v>
      </c>
      <c r="T14" s="3824">
        <v>875000</v>
      </c>
      <c r="U14" s="3104">
        <v>90382.91</v>
      </c>
      <c r="X14" s="3110"/>
      <c r="Y14" s="3825"/>
      <c r="Z14" s="3775"/>
      <c r="AC14" s="3669">
        <v>6</v>
      </c>
      <c r="AD14" s="3101" t="s">
        <v>2769</v>
      </c>
      <c r="AE14" s="3101" t="s">
        <v>2768</v>
      </c>
      <c r="AF14" s="3101"/>
      <c r="AG14" s="3095">
        <v>0</v>
      </c>
      <c r="AH14" s="3095">
        <v>0</v>
      </c>
      <c r="AI14" s="3094"/>
      <c r="AJ14" s="3095"/>
      <c r="AK14" s="3094"/>
    </row>
    <row r="15" spans="1:38">
      <c r="A15" s="3669">
        <v>7</v>
      </c>
      <c r="B15" s="3101" t="s">
        <v>2767</v>
      </c>
      <c r="C15" s="3101" t="s">
        <v>2766</v>
      </c>
      <c r="D15" s="3101"/>
      <c r="E15" s="3100"/>
      <c r="F15" s="3100"/>
      <c r="G15" s="3100"/>
      <c r="H15" s="3100"/>
      <c r="I15" s="3100"/>
      <c r="J15" s="3095">
        <f t="shared" si="0"/>
        <v>0</v>
      </c>
      <c r="K15" s="3094">
        <f>$J15*K$8</f>
        <v>0</v>
      </c>
      <c r="L15" s="3095">
        <f t="shared" si="1"/>
        <v>0</v>
      </c>
      <c r="M15" s="3094">
        <f t="shared" si="2"/>
        <v>0</v>
      </c>
      <c r="T15" s="3824">
        <v>876000</v>
      </c>
      <c r="U15" s="3104">
        <v>2652.7400000000002</v>
      </c>
      <c r="X15" s="3110"/>
      <c r="Y15" s="3825"/>
      <c r="Z15" s="3775"/>
      <c r="AC15" s="3669">
        <v>7</v>
      </c>
      <c r="AD15" s="3101" t="s">
        <v>2767</v>
      </c>
      <c r="AE15" s="3101" t="s">
        <v>2766</v>
      </c>
      <c r="AF15" s="3101"/>
      <c r="AG15" s="3095">
        <v>0</v>
      </c>
      <c r="AH15" s="3095">
        <v>0</v>
      </c>
      <c r="AI15" s="3094"/>
      <c r="AJ15" s="3095"/>
      <c r="AK15" s="3094"/>
    </row>
    <row r="16" spans="1:38">
      <c r="A16" s="3669">
        <v>8</v>
      </c>
      <c r="B16" s="3101" t="s">
        <v>2765</v>
      </c>
      <c r="C16" s="3101" t="s">
        <v>2764</v>
      </c>
      <c r="D16" s="3101"/>
      <c r="E16" s="3100"/>
      <c r="F16" s="3100"/>
      <c r="G16" s="3100"/>
      <c r="H16" s="3100"/>
      <c r="I16" s="3100"/>
      <c r="J16" s="3095">
        <f t="shared" si="0"/>
        <v>0</v>
      </c>
      <c r="K16" s="3094">
        <f t="shared" si="1"/>
        <v>0</v>
      </c>
      <c r="L16" s="3095">
        <f t="shared" si="1"/>
        <v>0</v>
      </c>
      <c r="M16" s="3094">
        <f t="shared" si="2"/>
        <v>0</v>
      </c>
      <c r="T16" s="3824">
        <v>877000</v>
      </c>
      <c r="U16" s="3104">
        <v>52768.070000000007</v>
      </c>
      <c r="X16" s="3110"/>
      <c r="Y16" s="3825"/>
      <c r="Z16" s="3775"/>
      <c r="AC16" s="3669">
        <v>8</v>
      </c>
      <c r="AD16" s="3101" t="s">
        <v>2765</v>
      </c>
      <c r="AE16" s="3101" t="s">
        <v>2764</v>
      </c>
      <c r="AF16" s="3101"/>
      <c r="AG16" s="3095">
        <v>0</v>
      </c>
      <c r="AH16" s="3095">
        <v>0</v>
      </c>
      <c r="AI16" s="3094"/>
      <c r="AJ16" s="3095"/>
      <c r="AK16" s="3094"/>
    </row>
    <row r="17" spans="1:37">
      <c r="A17" s="3669">
        <v>9</v>
      </c>
      <c r="B17" s="3101" t="s">
        <v>2763</v>
      </c>
      <c r="C17" s="3101" t="s">
        <v>2762</v>
      </c>
      <c r="D17" s="3101"/>
      <c r="E17" s="3100"/>
      <c r="F17" s="3100"/>
      <c r="G17" s="3100"/>
      <c r="H17" s="3100"/>
      <c r="I17" s="3100"/>
      <c r="J17" s="3095">
        <f t="shared" si="0"/>
        <v>0</v>
      </c>
      <c r="K17" s="3094">
        <f t="shared" si="1"/>
        <v>0</v>
      </c>
      <c r="L17" s="3095">
        <f t="shared" si="1"/>
        <v>0</v>
      </c>
      <c r="M17" s="3094">
        <f t="shared" si="2"/>
        <v>0</v>
      </c>
      <c r="T17" s="3824">
        <v>878000</v>
      </c>
      <c r="U17" s="3104">
        <v>4629.9899999999989</v>
      </c>
      <c r="X17" s="3110"/>
      <c r="Y17" s="3825"/>
      <c r="Z17" s="3775"/>
      <c r="AC17" s="3669">
        <v>9</v>
      </c>
      <c r="AD17" s="3101" t="s">
        <v>2763</v>
      </c>
      <c r="AE17" s="3101" t="s">
        <v>2762</v>
      </c>
      <c r="AF17" s="3101"/>
      <c r="AG17" s="3095">
        <v>0</v>
      </c>
      <c r="AH17" s="3095">
        <v>0</v>
      </c>
      <c r="AI17" s="3094"/>
      <c r="AJ17" s="3095"/>
      <c r="AK17" s="3094"/>
    </row>
    <row r="18" spans="1:37">
      <c r="A18" s="3669">
        <v>10</v>
      </c>
      <c r="B18" s="3101" t="s">
        <v>2761</v>
      </c>
      <c r="C18" s="3101" t="s">
        <v>2760</v>
      </c>
      <c r="D18" s="3101"/>
      <c r="E18" s="3100"/>
      <c r="F18" s="3100"/>
      <c r="G18" s="3100"/>
      <c r="H18" s="3100"/>
      <c r="I18" s="3100"/>
      <c r="J18" s="3095">
        <f t="shared" si="0"/>
        <v>0</v>
      </c>
      <c r="K18" s="3094">
        <f t="shared" si="1"/>
        <v>0</v>
      </c>
      <c r="L18" s="3095">
        <f t="shared" si="1"/>
        <v>0</v>
      </c>
      <c r="M18" s="3094">
        <f t="shared" si="2"/>
        <v>0</v>
      </c>
      <c r="T18" s="3824">
        <v>879000</v>
      </c>
      <c r="U18" s="3104">
        <v>1395781.7316640015</v>
      </c>
      <c r="X18" s="3110"/>
      <c r="Y18" s="3825"/>
      <c r="Z18" s="3775"/>
      <c r="AC18" s="3669">
        <v>10</v>
      </c>
      <c r="AD18" s="3101" t="s">
        <v>2761</v>
      </c>
      <c r="AE18" s="3101" t="s">
        <v>2760</v>
      </c>
      <c r="AF18" s="3101"/>
      <c r="AG18" s="3095">
        <v>0</v>
      </c>
      <c r="AH18" s="3095">
        <v>0</v>
      </c>
      <c r="AI18" s="3094"/>
      <c r="AJ18" s="3095"/>
      <c r="AK18" s="3094"/>
    </row>
    <row r="19" spans="1:37">
      <c r="A19" s="3669">
        <v>11</v>
      </c>
      <c r="B19" s="3101" t="s">
        <v>2759</v>
      </c>
      <c r="C19" s="3101" t="s">
        <v>2758</v>
      </c>
      <c r="D19" s="3101"/>
      <c r="E19" s="3100"/>
      <c r="F19" s="3100"/>
      <c r="G19" s="3100"/>
      <c r="H19" s="3100"/>
      <c r="I19" s="3100"/>
      <c r="J19" s="3095">
        <f t="shared" si="0"/>
        <v>0</v>
      </c>
      <c r="K19" s="3094">
        <f t="shared" si="1"/>
        <v>0</v>
      </c>
      <c r="L19" s="3095">
        <f t="shared" si="1"/>
        <v>0</v>
      </c>
      <c r="M19" s="3094">
        <f t="shared" si="2"/>
        <v>0</v>
      </c>
      <c r="T19" s="3824">
        <v>880000</v>
      </c>
      <c r="U19" s="3104">
        <v>1920824.1166719999</v>
      </c>
      <c r="X19" s="3110"/>
      <c r="Y19" s="3825"/>
      <c r="Z19" s="3775"/>
      <c r="AC19" s="3669">
        <v>11</v>
      </c>
      <c r="AD19" s="3101" t="s">
        <v>2759</v>
      </c>
      <c r="AE19" s="3101" t="s">
        <v>2758</v>
      </c>
      <c r="AF19" s="3101"/>
      <c r="AG19" s="3095">
        <v>0</v>
      </c>
      <c r="AH19" s="3095">
        <v>0</v>
      </c>
      <c r="AI19" s="3094"/>
      <c r="AJ19" s="3095"/>
      <c r="AK19" s="3094"/>
    </row>
    <row r="20" spans="1:37">
      <c r="A20" s="3669">
        <v>12</v>
      </c>
      <c r="B20" s="3101" t="s">
        <v>2757</v>
      </c>
      <c r="C20" s="3101" t="s">
        <v>2756</v>
      </c>
      <c r="D20" s="3101"/>
      <c r="E20" s="3100"/>
      <c r="F20" s="3100"/>
      <c r="G20" s="3100"/>
      <c r="H20" s="3100"/>
      <c r="I20" s="3100"/>
      <c r="J20" s="3095">
        <f t="shared" si="0"/>
        <v>0</v>
      </c>
      <c r="K20" s="3094">
        <f t="shared" si="1"/>
        <v>0</v>
      </c>
      <c r="L20" s="3095">
        <f t="shared" si="1"/>
        <v>0</v>
      </c>
      <c r="M20" s="3094">
        <f t="shared" si="2"/>
        <v>0</v>
      </c>
      <c r="T20" s="3824">
        <v>885000</v>
      </c>
      <c r="U20" s="3104">
        <v>35508.660000000011</v>
      </c>
      <c r="X20" s="3110"/>
      <c r="Y20" s="3825"/>
      <c r="Z20" s="3775"/>
      <c r="AC20" s="3669">
        <v>12</v>
      </c>
      <c r="AD20" s="3101" t="s">
        <v>2757</v>
      </c>
      <c r="AE20" s="3101" t="s">
        <v>2756</v>
      </c>
      <c r="AF20" s="3101"/>
      <c r="AG20" s="3095">
        <v>0</v>
      </c>
      <c r="AH20" s="3095">
        <v>0</v>
      </c>
      <c r="AI20" s="3094"/>
      <c r="AJ20" s="3095"/>
      <c r="AK20" s="3094"/>
    </row>
    <row r="21" spans="1:37">
      <c r="A21" s="3669">
        <v>13</v>
      </c>
      <c r="B21" s="3101" t="s">
        <v>2755</v>
      </c>
      <c r="C21" s="3101" t="s">
        <v>2754</v>
      </c>
      <c r="D21" s="3101"/>
      <c r="E21" s="3100"/>
      <c r="F21" s="3100"/>
      <c r="G21" s="3100"/>
      <c r="H21" s="3100"/>
      <c r="I21" s="3100"/>
      <c r="J21" s="3095">
        <f t="shared" si="0"/>
        <v>0</v>
      </c>
      <c r="K21" s="3094">
        <f t="shared" si="1"/>
        <v>0</v>
      </c>
      <c r="L21" s="3095">
        <f t="shared" si="1"/>
        <v>0</v>
      </c>
      <c r="M21" s="3094">
        <f t="shared" si="2"/>
        <v>0</v>
      </c>
      <c r="T21" s="3824">
        <v>887000</v>
      </c>
      <c r="U21" s="3104">
        <v>587680.6100000001</v>
      </c>
      <c r="X21" s="3110"/>
      <c r="Y21" s="3825"/>
      <c r="Z21" s="3775"/>
      <c r="AC21" s="3669">
        <v>13</v>
      </c>
      <c r="AD21" s="3101" t="s">
        <v>2755</v>
      </c>
      <c r="AE21" s="3101" t="s">
        <v>2754</v>
      </c>
      <c r="AF21" s="3101"/>
      <c r="AG21" s="3095">
        <v>0</v>
      </c>
      <c r="AH21" s="3095">
        <v>0</v>
      </c>
      <c r="AI21" s="3094"/>
      <c r="AJ21" s="3095"/>
      <c r="AK21" s="3094"/>
    </row>
    <row r="22" spans="1:37">
      <c r="A22" s="3669">
        <v>14</v>
      </c>
      <c r="B22" s="3101" t="s">
        <v>2753</v>
      </c>
      <c r="C22" s="3101" t="s">
        <v>2752</v>
      </c>
      <c r="D22" s="3101"/>
      <c r="E22" s="3100"/>
      <c r="F22" s="3100"/>
      <c r="G22" s="3100"/>
      <c r="H22" s="3100"/>
      <c r="I22" s="3100"/>
      <c r="J22" s="3095">
        <f t="shared" si="0"/>
        <v>0</v>
      </c>
      <c r="K22" s="3094">
        <f t="shared" si="1"/>
        <v>0</v>
      </c>
      <c r="L22" s="3095">
        <f t="shared" si="1"/>
        <v>0</v>
      </c>
      <c r="M22" s="3094">
        <f t="shared" si="2"/>
        <v>0</v>
      </c>
      <c r="T22" s="3824">
        <v>889000</v>
      </c>
      <c r="U22" s="3104">
        <v>92112.832272000014</v>
      </c>
      <c r="X22" s="3110"/>
      <c r="Y22" s="3825"/>
      <c r="Z22" s="3775"/>
      <c r="AC22" s="3669">
        <v>14</v>
      </c>
      <c r="AD22" s="3101" t="s">
        <v>2753</v>
      </c>
      <c r="AE22" s="3101" t="s">
        <v>2752</v>
      </c>
      <c r="AF22" s="3101"/>
      <c r="AG22" s="3095">
        <v>0</v>
      </c>
      <c r="AH22" s="3095">
        <v>0</v>
      </c>
      <c r="AI22" s="3094"/>
      <c r="AJ22" s="3095"/>
      <c r="AK22" s="3094"/>
    </row>
    <row r="23" spans="1:37">
      <c r="A23" s="3669">
        <v>15</v>
      </c>
      <c r="B23" s="3101" t="s">
        <v>2751</v>
      </c>
      <c r="C23" s="3101" t="s">
        <v>2750</v>
      </c>
      <c r="D23" s="3101"/>
      <c r="E23" s="3100"/>
      <c r="F23" s="3100"/>
      <c r="G23" s="3100"/>
      <c r="H23" s="3100"/>
      <c r="I23" s="3100"/>
      <c r="J23" s="3095">
        <f t="shared" si="0"/>
        <v>0</v>
      </c>
      <c r="K23" s="3094">
        <f t="shared" si="1"/>
        <v>0</v>
      </c>
      <c r="L23" s="3095">
        <f t="shared" si="1"/>
        <v>0</v>
      </c>
      <c r="M23" s="3094">
        <f t="shared" si="2"/>
        <v>0</v>
      </c>
      <c r="T23" s="3824">
        <v>890000</v>
      </c>
      <c r="U23" s="3104">
        <v>4245.4887679999993</v>
      </c>
      <c r="X23" s="3110"/>
      <c r="Y23" s="3825"/>
      <c r="Z23" s="3775"/>
      <c r="AC23" s="3669">
        <v>15</v>
      </c>
      <c r="AD23" s="3101" t="s">
        <v>2751</v>
      </c>
      <c r="AE23" s="3101" t="s">
        <v>2750</v>
      </c>
      <c r="AF23" s="3101"/>
      <c r="AG23" s="3095">
        <v>0</v>
      </c>
      <c r="AH23" s="3095">
        <v>0</v>
      </c>
      <c r="AI23" s="3094"/>
      <c r="AJ23" s="3095"/>
      <c r="AK23" s="3094"/>
    </row>
    <row r="24" spans="1:37">
      <c r="A24" s="3669">
        <v>16</v>
      </c>
      <c r="B24" s="3101" t="s">
        <v>2749</v>
      </c>
      <c r="C24" s="3101" t="s">
        <v>2748</v>
      </c>
      <c r="D24" s="3101"/>
      <c r="E24" s="3100"/>
      <c r="F24" s="3100"/>
      <c r="G24" s="3100"/>
      <c r="H24" s="3100"/>
      <c r="I24" s="3100"/>
      <c r="J24" s="3095">
        <f t="shared" si="0"/>
        <v>0</v>
      </c>
      <c r="K24" s="3094">
        <f t="shared" si="1"/>
        <v>0</v>
      </c>
      <c r="L24" s="3095">
        <f t="shared" si="1"/>
        <v>0</v>
      </c>
      <c r="M24" s="3094">
        <f t="shared" si="2"/>
        <v>0</v>
      </c>
      <c r="T24" s="3824">
        <v>891000</v>
      </c>
      <c r="U24" s="3104">
        <v>31005.977887999994</v>
      </c>
      <c r="X24" s="3110"/>
      <c r="Y24" s="3825"/>
      <c r="Z24" s="3775"/>
      <c r="AC24" s="3669">
        <v>16</v>
      </c>
      <c r="AD24" s="3101" t="s">
        <v>2749</v>
      </c>
      <c r="AE24" s="3101" t="s">
        <v>2748</v>
      </c>
      <c r="AF24" s="3101"/>
      <c r="AG24" s="3095">
        <v>0</v>
      </c>
      <c r="AH24" s="3095">
        <v>0</v>
      </c>
      <c r="AI24" s="3094"/>
      <c r="AJ24" s="3095"/>
      <c r="AK24" s="3094"/>
    </row>
    <row r="25" spans="1:37">
      <c r="A25" s="3669">
        <v>17</v>
      </c>
      <c r="B25" s="3101" t="s">
        <v>1334</v>
      </c>
      <c r="C25" s="3101" t="s">
        <v>1334</v>
      </c>
      <c r="D25" s="3101"/>
      <c r="E25" s="3100"/>
      <c r="F25" s="3100"/>
      <c r="G25" s="3100"/>
      <c r="H25" s="3100"/>
      <c r="I25" s="3100"/>
      <c r="J25" s="3095">
        <f t="shared" si="0"/>
        <v>0</v>
      </c>
      <c r="K25" s="3094">
        <f t="shared" si="1"/>
        <v>0</v>
      </c>
      <c r="L25" s="3095">
        <f t="shared" si="1"/>
        <v>0</v>
      </c>
      <c r="M25" s="3094">
        <f t="shared" si="2"/>
        <v>0</v>
      </c>
      <c r="T25" s="3824">
        <v>892000</v>
      </c>
      <c r="U25" s="3104">
        <v>638733.54000000039</v>
      </c>
      <c r="X25" s="3110"/>
      <c r="Y25" s="3825"/>
      <c r="Z25" s="3775"/>
      <c r="AC25" s="3669">
        <v>17</v>
      </c>
      <c r="AD25" s="3101" t="s">
        <v>1334</v>
      </c>
      <c r="AE25" s="3101" t="s">
        <v>1334</v>
      </c>
      <c r="AF25" s="3101"/>
      <c r="AG25" s="3095">
        <v>0</v>
      </c>
      <c r="AH25" s="3095">
        <v>0</v>
      </c>
      <c r="AI25" s="3094"/>
      <c r="AJ25" s="3095"/>
      <c r="AK25" s="3094"/>
    </row>
    <row r="26" spans="1:37">
      <c r="A26" s="3669">
        <v>18</v>
      </c>
      <c r="B26" s="3101" t="s">
        <v>2747</v>
      </c>
      <c r="C26" s="3101" t="s">
        <v>227</v>
      </c>
      <c r="D26" s="3101"/>
      <c r="E26" s="3100">
        <v>6717306</v>
      </c>
      <c r="F26" s="3100"/>
      <c r="G26" s="3100">
        <f>E26</f>
        <v>6717306</v>
      </c>
      <c r="H26" s="3100"/>
      <c r="I26" s="3100"/>
      <c r="J26" s="3095">
        <f t="shared" si="0"/>
        <v>0</v>
      </c>
      <c r="K26" s="3094">
        <f t="shared" si="1"/>
        <v>0</v>
      </c>
      <c r="L26" s="3095">
        <f t="shared" si="1"/>
        <v>0</v>
      </c>
      <c r="M26" s="3094">
        <f t="shared" si="2"/>
        <v>0</v>
      </c>
      <c r="T26" s="3824">
        <v>893000</v>
      </c>
      <c r="U26" s="3104">
        <v>835899.62651200057</v>
      </c>
      <c r="X26" s="3110"/>
      <c r="Y26" s="3825"/>
      <c r="Z26" s="3775"/>
      <c r="AC26" s="3669">
        <v>18</v>
      </c>
      <c r="AD26" s="3101" t="s">
        <v>2747</v>
      </c>
      <c r="AE26" s="3101" t="s">
        <v>227</v>
      </c>
      <c r="AF26" s="3101"/>
      <c r="AG26" s="3095">
        <v>0</v>
      </c>
      <c r="AH26" s="3095">
        <v>0</v>
      </c>
      <c r="AI26" s="3094"/>
      <c r="AJ26" s="3095"/>
      <c r="AK26" s="3094"/>
    </row>
    <row r="27" spans="1:37">
      <c r="A27" s="3669">
        <v>19</v>
      </c>
      <c r="B27" s="3101" t="s">
        <v>2746</v>
      </c>
      <c r="C27" s="3101" t="s">
        <v>2745</v>
      </c>
      <c r="D27" s="3101"/>
      <c r="E27" s="3100"/>
      <c r="F27" s="3100"/>
      <c r="G27" s="3100"/>
      <c r="H27" s="3100"/>
      <c r="I27" s="3100"/>
      <c r="J27" s="3095">
        <f t="shared" si="0"/>
        <v>0</v>
      </c>
      <c r="K27" s="3094">
        <f t="shared" si="1"/>
        <v>0</v>
      </c>
      <c r="L27" s="3095">
        <f t="shared" si="1"/>
        <v>0</v>
      </c>
      <c r="M27" s="3094">
        <f t="shared" si="2"/>
        <v>0</v>
      </c>
      <c r="T27" s="3824">
        <v>894000</v>
      </c>
      <c r="U27" s="3104">
        <v>66995.465471999996</v>
      </c>
      <c r="X27" s="3110"/>
      <c r="Y27" s="3825"/>
      <c r="Z27" s="3775"/>
      <c r="AC27" s="3669">
        <v>19</v>
      </c>
      <c r="AD27" s="3101" t="s">
        <v>2746</v>
      </c>
      <c r="AE27" s="3101" t="s">
        <v>2745</v>
      </c>
      <c r="AF27" s="3101"/>
      <c r="AG27" s="3095">
        <v>0</v>
      </c>
      <c r="AH27" s="3095">
        <v>0</v>
      </c>
      <c r="AI27" s="3094"/>
      <c r="AJ27" s="3095"/>
      <c r="AK27" s="3094"/>
    </row>
    <row r="28" spans="1:37">
      <c r="A28" s="3669">
        <v>20</v>
      </c>
      <c r="B28" s="3099"/>
      <c r="C28" s="3099" t="s">
        <v>2744</v>
      </c>
      <c r="D28" s="3099"/>
      <c r="E28" s="3111">
        <f t="shared" ref="E28:M28" si="3">SUM(E11:E27)</f>
        <v>145104692</v>
      </c>
      <c r="F28" s="3111">
        <f t="shared" si="3"/>
        <v>0</v>
      </c>
      <c r="G28" s="3111">
        <f t="shared" si="3"/>
        <v>145104692</v>
      </c>
      <c r="H28" s="3111">
        <f t="shared" si="3"/>
        <v>0</v>
      </c>
      <c r="I28" s="3111">
        <f t="shared" si="3"/>
        <v>0</v>
      </c>
      <c r="J28" s="3111">
        <f t="shared" si="3"/>
        <v>0</v>
      </c>
      <c r="K28" s="3826">
        <f t="shared" si="3"/>
        <v>0</v>
      </c>
      <c r="L28" s="3111">
        <f t="shared" si="3"/>
        <v>0</v>
      </c>
      <c r="M28" s="3826">
        <f t="shared" si="3"/>
        <v>0</v>
      </c>
      <c r="T28" s="3824">
        <v>901000</v>
      </c>
      <c r="U28" s="3104">
        <v>54497.548023099989</v>
      </c>
      <c r="X28" s="3110"/>
      <c r="Y28" s="3825"/>
      <c r="Z28" s="3775"/>
      <c r="AC28" s="3669">
        <v>20</v>
      </c>
      <c r="AD28" s="3099"/>
      <c r="AE28" s="3099" t="s">
        <v>2744</v>
      </c>
      <c r="AF28" s="3099"/>
      <c r="AG28" s="3111">
        <v>0</v>
      </c>
      <c r="AH28" s="3111">
        <v>0</v>
      </c>
      <c r="AI28" s="3811"/>
      <c r="AJ28" s="3812"/>
      <c r="AK28" s="3811"/>
    </row>
    <row r="29" spans="1:37">
      <c r="A29" s="3669">
        <v>21</v>
      </c>
      <c r="B29" s="3101" t="s">
        <v>2743</v>
      </c>
      <c r="C29" s="3101" t="s">
        <v>228</v>
      </c>
      <c r="D29" s="3101"/>
      <c r="E29" s="3100">
        <v>-264411</v>
      </c>
      <c r="F29" s="3100"/>
      <c r="G29" s="3100">
        <f>E29</f>
        <v>-264411</v>
      </c>
      <c r="H29" s="3100"/>
      <c r="I29" s="3100"/>
      <c r="J29" s="3095">
        <f t="shared" si="0"/>
        <v>0</v>
      </c>
      <c r="K29" s="3094">
        <f t="shared" ref="K29:L90" si="4">$J29*K$8</f>
        <v>0</v>
      </c>
      <c r="L29" s="3095">
        <f t="shared" si="4"/>
        <v>0</v>
      </c>
      <c r="M29" s="3094">
        <f t="shared" si="2"/>
        <v>0</v>
      </c>
      <c r="T29" s="3824">
        <v>902000</v>
      </c>
      <c r="U29" s="3104">
        <v>231298.59996630007</v>
      </c>
      <c r="X29" s="3110"/>
      <c r="Y29" s="3825"/>
      <c r="Z29" s="3775"/>
      <c r="AC29" s="3669">
        <v>21</v>
      </c>
      <c r="AD29" s="3101" t="s">
        <v>2743</v>
      </c>
      <c r="AE29" s="3101" t="s">
        <v>228</v>
      </c>
      <c r="AF29" s="3101"/>
      <c r="AG29" s="3095">
        <v>0</v>
      </c>
      <c r="AH29" s="3095">
        <v>0</v>
      </c>
      <c r="AI29" s="3094"/>
      <c r="AJ29" s="3095"/>
      <c r="AK29" s="3094"/>
    </row>
    <row r="30" spans="1:37">
      <c r="A30" s="3669">
        <v>22</v>
      </c>
      <c r="B30" s="3101" t="s">
        <v>2742</v>
      </c>
      <c r="C30" s="3101" t="s">
        <v>2741</v>
      </c>
      <c r="D30" s="3101"/>
      <c r="E30" s="3100">
        <v>83734</v>
      </c>
      <c r="F30" s="3100"/>
      <c r="G30" s="3100">
        <f>E30</f>
        <v>83734</v>
      </c>
      <c r="H30" s="3100"/>
      <c r="I30" s="3100"/>
      <c r="J30" s="3095">
        <f t="shared" si="0"/>
        <v>0</v>
      </c>
      <c r="K30" s="3094">
        <f t="shared" si="4"/>
        <v>0</v>
      </c>
      <c r="L30" s="3095">
        <f t="shared" si="4"/>
        <v>0</v>
      </c>
      <c r="M30" s="3094">
        <f t="shared" si="2"/>
        <v>0</v>
      </c>
      <c r="O30" s="3776" t="s">
        <v>3445</v>
      </c>
      <c r="P30" s="3777" t="s">
        <v>3446</v>
      </c>
      <c r="T30" s="3824">
        <v>903000</v>
      </c>
      <c r="U30" s="3104">
        <v>2041691.6978347928</v>
      </c>
      <c r="X30" s="3110"/>
      <c r="Y30" s="3825"/>
      <c r="Z30" s="3775"/>
      <c r="AC30" s="3669">
        <v>22</v>
      </c>
      <c r="AD30" s="3101" t="s">
        <v>2742</v>
      </c>
      <c r="AE30" s="3101" t="s">
        <v>2741</v>
      </c>
      <c r="AF30" s="3101"/>
      <c r="AG30" s="3095">
        <v>0</v>
      </c>
      <c r="AH30" s="3095">
        <v>0</v>
      </c>
      <c r="AI30" s="3094"/>
      <c r="AJ30" s="3095"/>
      <c r="AK30" s="3094"/>
    </row>
    <row r="31" spans="1:37" ht="16" thickBot="1">
      <c r="A31" s="3669">
        <v>23</v>
      </c>
      <c r="B31" s="3101" t="s">
        <v>2740</v>
      </c>
      <c r="C31" s="3101" t="s">
        <v>229</v>
      </c>
      <c r="D31" s="3101"/>
      <c r="E31" s="3100">
        <v>759910</v>
      </c>
      <c r="F31" s="3100">
        <f>U10</f>
        <v>647767.01372159971</v>
      </c>
      <c r="G31" s="3100"/>
      <c r="H31" s="3100"/>
      <c r="I31" s="3100"/>
      <c r="J31" s="3095">
        <f t="shared" si="0"/>
        <v>112142.98627840029</v>
      </c>
      <c r="K31" s="3094">
        <f>$J31*K$8</f>
        <v>5607.1493139200147</v>
      </c>
      <c r="L31" s="3095">
        <f t="shared" si="4"/>
        <v>8410.7239708800225</v>
      </c>
      <c r="M31" s="3094">
        <f t="shared" si="2"/>
        <v>2803.5746569600078</v>
      </c>
      <c r="O31" s="3778">
        <v>2023</v>
      </c>
      <c r="P31" s="3779" t="s">
        <v>3447</v>
      </c>
      <c r="Q31" s="3779" t="s">
        <v>2565</v>
      </c>
      <c r="T31" s="3824">
        <v>905000</v>
      </c>
      <c r="U31" s="3104">
        <v>97903.276109100436</v>
      </c>
      <c r="X31" s="3110"/>
      <c r="Y31" s="3825"/>
      <c r="Z31" s="3775"/>
      <c r="AC31" s="3669">
        <v>23</v>
      </c>
      <c r="AD31" s="3101" t="s">
        <v>2740</v>
      </c>
      <c r="AE31" s="3101" t="s">
        <v>229</v>
      </c>
      <c r="AF31" s="3101"/>
      <c r="AG31" s="3095">
        <v>110030.49828160019</v>
      </c>
      <c r="AH31" s="3095">
        <v>112142.98627840029</v>
      </c>
      <c r="AI31" s="3094"/>
      <c r="AJ31" s="3095"/>
      <c r="AK31" s="3094"/>
    </row>
    <row r="32" spans="1:37" ht="16" thickBot="1">
      <c r="A32" s="3669">
        <v>24</v>
      </c>
      <c r="B32" s="3099"/>
      <c r="C32" s="3099" t="s">
        <v>2739</v>
      </c>
      <c r="D32" s="3099"/>
      <c r="E32" s="3102">
        <f>SUM(E28:E31)</f>
        <v>145683925</v>
      </c>
      <c r="F32" s="3102">
        <f t="shared" ref="F32:M32" si="5">SUM(F28:F31)</f>
        <v>647767.01372159971</v>
      </c>
      <c r="G32" s="3102">
        <f t="shared" si="5"/>
        <v>144924015</v>
      </c>
      <c r="H32" s="3102">
        <f t="shared" si="5"/>
        <v>0</v>
      </c>
      <c r="I32" s="3102">
        <f t="shared" si="5"/>
        <v>0</v>
      </c>
      <c r="J32" s="3102">
        <f t="shared" si="5"/>
        <v>112142.98627840029</v>
      </c>
      <c r="K32" s="3827">
        <f t="shared" si="5"/>
        <v>5607.1493139200147</v>
      </c>
      <c r="L32" s="3102">
        <f t="shared" si="5"/>
        <v>8410.7239708800225</v>
      </c>
      <c r="M32" s="3827">
        <f t="shared" si="5"/>
        <v>2803.5746569600078</v>
      </c>
      <c r="O32" s="3776">
        <f>'[4]Nat Gas - 06.2023 vs 12.2023'!H32</f>
        <v>2112.4879968001042</v>
      </c>
      <c r="P32" s="3780">
        <f>K32+O32</f>
        <v>7719.6373107201189</v>
      </c>
      <c r="Q32" s="3781">
        <f>M32</f>
        <v>2803.5746569600078</v>
      </c>
      <c r="T32" s="3824">
        <v>908000</v>
      </c>
      <c r="U32" s="3104">
        <v>125286.61319649999</v>
      </c>
      <c r="X32" s="3110"/>
      <c r="Y32" s="3825"/>
      <c r="Z32" s="3775"/>
      <c r="AC32" s="3669">
        <v>24</v>
      </c>
      <c r="AD32" s="3099"/>
      <c r="AE32" s="3099" t="s">
        <v>2739</v>
      </c>
      <c r="AF32" s="3099"/>
      <c r="AG32" s="3102">
        <v>110030.49828160019</v>
      </c>
      <c r="AH32" s="3102">
        <v>112142.98627840029</v>
      </c>
      <c r="AI32" s="3813"/>
      <c r="AJ32" s="3814">
        <f>AH32-AG32</f>
        <v>2112.4879968001042</v>
      </c>
      <c r="AK32" s="3813"/>
    </row>
    <row r="33" spans="1:37">
      <c r="A33" s="3669">
        <v>25</v>
      </c>
      <c r="B33" s="3101"/>
      <c r="C33" s="3101"/>
      <c r="D33" s="3101"/>
      <c r="E33" s="3105"/>
      <c r="F33" s="3105"/>
      <c r="G33" s="3105"/>
      <c r="H33" s="3105"/>
      <c r="I33" s="3105"/>
      <c r="J33" s="3105"/>
      <c r="K33" s="3815"/>
      <c r="L33" s="3105"/>
      <c r="M33" s="3815"/>
      <c r="T33" s="3824">
        <v>909000</v>
      </c>
      <c r="U33" s="3104">
        <v>16019.438661799999</v>
      </c>
      <c r="X33" s="3110"/>
      <c r="Y33" s="3825"/>
      <c r="Z33" s="3775"/>
      <c r="AC33" s="3669">
        <v>25</v>
      </c>
      <c r="AD33" s="3101"/>
      <c r="AE33" s="3101"/>
      <c r="AF33" s="3101"/>
      <c r="AG33" s="3105"/>
      <c r="AH33" s="3105"/>
      <c r="AI33" s="3815"/>
      <c r="AJ33" s="3105"/>
      <c r="AK33" s="3815"/>
    </row>
    <row r="34" spans="1:37">
      <c r="A34" s="3669">
        <v>26</v>
      </c>
      <c r="B34" s="3101"/>
      <c r="C34" s="3099" t="s">
        <v>2738</v>
      </c>
      <c r="D34" s="3101"/>
      <c r="E34" s="3100"/>
      <c r="F34" s="3100"/>
      <c r="G34" s="3100"/>
      <c r="H34" s="3100"/>
      <c r="I34" s="3100"/>
      <c r="J34" s="3100"/>
      <c r="K34" s="3816"/>
      <c r="L34" s="3100"/>
      <c r="M34" s="3816"/>
      <c r="T34" s="3824">
        <v>910000</v>
      </c>
      <c r="U34" s="3104">
        <v>23945.0130661</v>
      </c>
      <c r="X34" s="3110"/>
      <c r="Y34" s="3825"/>
      <c r="Z34" s="3775"/>
      <c r="AC34" s="3669">
        <v>26</v>
      </c>
      <c r="AD34" s="3101"/>
      <c r="AE34" s="3099" t="s">
        <v>2738</v>
      </c>
      <c r="AF34" s="3101"/>
      <c r="AG34" s="3100"/>
      <c r="AH34" s="3100"/>
      <c r="AI34" s="3816"/>
      <c r="AJ34" s="3100"/>
      <c r="AK34" s="3816"/>
    </row>
    <row r="35" spans="1:37">
      <c r="A35" s="3669">
        <v>27</v>
      </c>
      <c r="B35" s="3101" t="s">
        <v>2737</v>
      </c>
      <c r="C35" s="3101" t="s">
        <v>233</v>
      </c>
      <c r="D35" s="3101"/>
      <c r="E35" s="3100">
        <v>0</v>
      </c>
      <c r="F35" s="3100">
        <f>U11</f>
        <v>0</v>
      </c>
      <c r="G35" s="3100"/>
      <c r="H35" s="3100"/>
      <c r="I35" s="3100"/>
      <c r="J35" s="3095">
        <f t="shared" si="0"/>
        <v>0</v>
      </c>
      <c r="K35" s="3094">
        <f t="shared" si="4"/>
        <v>0</v>
      </c>
      <c r="L35" s="3095">
        <f t="shared" si="4"/>
        <v>0</v>
      </c>
      <c r="M35" s="3094">
        <f t="shared" si="2"/>
        <v>0</v>
      </c>
      <c r="T35" s="3824">
        <v>920000</v>
      </c>
      <c r="U35" s="3104">
        <v>5974292.9254633961</v>
      </c>
      <c r="X35" s="3110"/>
      <c r="Y35" s="3825"/>
      <c r="Z35" s="3775"/>
      <c r="AC35" s="3669">
        <v>27</v>
      </c>
      <c r="AD35" s="3101" t="s">
        <v>2737</v>
      </c>
      <c r="AE35" s="3101" t="s">
        <v>233</v>
      </c>
      <c r="AF35" s="3101"/>
      <c r="AG35" s="3095">
        <v>0</v>
      </c>
      <c r="AH35" s="3095">
        <v>0</v>
      </c>
      <c r="AI35" s="3094"/>
      <c r="AJ35" s="3095"/>
      <c r="AK35" s="3094"/>
    </row>
    <row r="36" spans="1:37">
      <c r="A36" s="3669">
        <v>28</v>
      </c>
      <c r="B36" s="3101" t="s">
        <v>2736</v>
      </c>
      <c r="C36" s="3101" t="s">
        <v>2719</v>
      </c>
      <c r="D36" s="3101"/>
      <c r="E36" s="3100">
        <v>0</v>
      </c>
      <c r="F36" s="3100"/>
      <c r="G36" s="3100"/>
      <c r="H36" s="3100"/>
      <c r="I36" s="3100"/>
      <c r="J36" s="3095">
        <f t="shared" si="0"/>
        <v>0</v>
      </c>
      <c r="K36" s="3094">
        <f t="shared" si="4"/>
        <v>0</v>
      </c>
      <c r="L36" s="3095">
        <f t="shared" si="4"/>
        <v>0</v>
      </c>
      <c r="M36" s="3094">
        <f t="shared" si="2"/>
        <v>0</v>
      </c>
      <c r="T36" s="3824">
        <v>921000</v>
      </c>
      <c r="U36" s="3104">
        <v>35415.53315480001</v>
      </c>
      <c r="X36" s="3110"/>
      <c r="Y36" s="3825"/>
      <c r="Z36" s="3775"/>
      <c r="AC36" s="3669">
        <v>28</v>
      </c>
      <c r="AD36" s="3101" t="s">
        <v>2736</v>
      </c>
      <c r="AE36" s="3101" t="s">
        <v>2719</v>
      </c>
      <c r="AF36" s="3101"/>
      <c r="AG36" s="3095">
        <v>0</v>
      </c>
      <c r="AH36" s="3095">
        <v>0</v>
      </c>
      <c r="AI36" s="3094"/>
      <c r="AJ36" s="3095"/>
      <c r="AK36" s="3094"/>
    </row>
    <row r="37" spans="1:37">
      <c r="A37" s="3669">
        <v>29</v>
      </c>
      <c r="B37" s="3101" t="s">
        <v>2735</v>
      </c>
      <c r="C37" s="3101" t="s">
        <v>2717</v>
      </c>
      <c r="D37" s="3101"/>
      <c r="E37" s="3100">
        <v>0</v>
      </c>
      <c r="F37" s="3100"/>
      <c r="G37" s="3100"/>
      <c r="H37" s="3100"/>
      <c r="I37" s="3100"/>
      <c r="J37" s="3095">
        <f t="shared" si="0"/>
        <v>0</v>
      </c>
      <c r="K37" s="3094">
        <f t="shared" si="4"/>
        <v>0</v>
      </c>
      <c r="L37" s="3095">
        <f t="shared" si="4"/>
        <v>0</v>
      </c>
      <c r="M37" s="3094">
        <f t="shared" si="2"/>
        <v>0</v>
      </c>
      <c r="T37" s="3824">
        <v>923000</v>
      </c>
      <c r="U37" s="3104">
        <v>644.83869880000009</v>
      </c>
      <c r="X37" s="3110"/>
      <c r="Y37" s="3825"/>
      <c r="Z37" s="3775"/>
      <c r="AC37" s="3669">
        <v>29</v>
      </c>
      <c r="AD37" s="3101" t="s">
        <v>2735</v>
      </c>
      <c r="AE37" s="3101" t="s">
        <v>2717</v>
      </c>
      <c r="AF37" s="3101"/>
      <c r="AG37" s="3095">
        <v>0</v>
      </c>
      <c r="AH37" s="3095">
        <v>0</v>
      </c>
      <c r="AI37" s="3094"/>
      <c r="AJ37" s="3095"/>
      <c r="AK37" s="3094"/>
    </row>
    <row r="38" spans="1:37">
      <c r="A38" s="3669">
        <v>30</v>
      </c>
      <c r="B38" s="3101" t="s">
        <v>2733</v>
      </c>
      <c r="C38" s="3101" t="s">
        <v>2714</v>
      </c>
      <c r="D38" s="3101"/>
      <c r="E38" s="3100">
        <v>0</v>
      </c>
      <c r="F38" s="3100"/>
      <c r="G38" s="3100"/>
      <c r="H38" s="3100"/>
      <c r="I38" s="3100"/>
      <c r="J38" s="3095">
        <f t="shared" si="0"/>
        <v>0</v>
      </c>
      <c r="K38" s="3094">
        <f t="shared" si="4"/>
        <v>0</v>
      </c>
      <c r="L38" s="3095">
        <f t="shared" si="4"/>
        <v>0</v>
      </c>
      <c r="M38" s="3094">
        <f t="shared" si="2"/>
        <v>0</v>
      </c>
      <c r="T38" s="3824">
        <v>925100</v>
      </c>
      <c r="U38" s="3104">
        <v>18.5319918</v>
      </c>
      <c r="X38" s="3110"/>
      <c r="Y38" s="3825"/>
      <c r="Z38" s="3775"/>
      <c r="AC38" s="3669">
        <v>30</v>
      </c>
      <c r="AD38" s="3101" t="s">
        <v>2733</v>
      </c>
      <c r="AE38" s="3101" t="s">
        <v>2714</v>
      </c>
      <c r="AF38" s="3101"/>
      <c r="AG38" s="3095">
        <v>0</v>
      </c>
      <c r="AH38" s="3095">
        <v>0</v>
      </c>
      <c r="AI38" s="3094"/>
      <c r="AJ38" s="3095"/>
      <c r="AK38" s="3094"/>
    </row>
    <row r="39" spans="1:37">
      <c r="A39" s="3669">
        <v>31</v>
      </c>
      <c r="B39" s="3101" t="s">
        <v>2732</v>
      </c>
      <c r="C39" s="3101" t="s">
        <v>2712</v>
      </c>
      <c r="D39" s="3101"/>
      <c r="E39" s="3100">
        <v>0</v>
      </c>
      <c r="F39" s="3100"/>
      <c r="G39" s="3100"/>
      <c r="H39" s="3100"/>
      <c r="I39" s="3100"/>
      <c r="J39" s="3095">
        <f t="shared" si="0"/>
        <v>0</v>
      </c>
      <c r="K39" s="3094">
        <f t="shared" si="4"/>
        <v>0</v>
      </c>
      <c r="L39" s="3095">
        <f t="shared" si="4"/>
        <v>0</v>
      </c>
      <c r="M39" s="3094">
        <f t="shared" si="2"/>
        <v>0</v>
      </c>
      <c r="T39" s="3824">
        <v>926100</v>
      </c>
      <c r="U39" s="3104">
        <v>79471.738867999986</v>
      </c>
      <c r="X39" s="3110"/>
      <c r="Y39" s="3825"/>
      <c r="Z39" s="3775"/>
      <c r="AC39" s="3669">
        <v>31</v>
      </c>
      <c r="AD39" s="3101" t="s">
        <v>2732</v>
      </c>
      <c r="AE39" s="3101" t="s">
        <v>2712</v>
      </c>
      <c r="AF39" s="3101"/>
      <c r="AG39" s="3095">
        <v>0</v>
      </c>
      <c r="AH39" s="3095">
        <v>0</v>
      </c>
      <c r="AI39" s="3094"/>
      <c r="AJ39" s="3095"/>
      <c r="AK39" s="3094"/>
    </row>
    <row r="40" spans="1:37">
      <c r="A40" s="3669">
        <v>32</v>
      </c>
      <c r="B40" s="3101" t="s">
        <v>2731</v>
      </c>
      <c r="C40" s="3101" t="s">
        <v>2710</v>
      </c>
      <c r="D40" s="3101"/>
      <c r="E40" s="3100">
        <v>0</v>
      </c>
      <c r="F40" s="3100"/>
      <c r="G40" s="3100"/>
      <c r="H40" s="3100"/>
      <c r="I40" s="3100"/>
      <c r="J40" s="3095">
        <f t="shared" si="0"/>
        <v>0</v>
      </c>
      <c r="K40" s="3094">
        <f t="shared" si="4"/>
        <v>0</v>
      </c>
      <c r="L40" s="3095">
        <f t="shared" si="4"/>
        <v>0</v>
      </c>
      <c r="M40" s="3094">
        <f t="shared" si="2"/>
        <v>0</v>
      </c>
      <c r="T40" s="3824">
        <v>928000</v>
      </c>
      <c r="U40" s="3104">
        <v>227654.15280680003</v>
      </c>
      <c r="X40" s="3110"/>
      <c r="Y40" s="3825"/>
      <c r="Z40" s="3775"/>
      <c r="AC40" s="3669">
        <v>32</v>
      </c>
      <c r="AD40" s="3101" t="s">
        <v>2731</v>
      </c>
      <c r="AE40" s="3101" t="s">
        <v>2710</v>
      </c>
      <c r="AF40" s="3101"/>
      <c r="AG40" s="3095">
        <v>0</v>
      </c>
      <c r="AH40" s="3095">
        <v>0</v>
      </c>
      <c r="AI40" s="3094"/>
      <c r="AJ40" s="3095"/>
      <c r="AK40" s="3094"/>
    </row>
    <row r="41" spans="1:37">
      <c r="A41" s="3669">
        <v>33</v>
      </c>
      <c r="B41" s="3101" t="s">
        <v>2730</v>
      </c>
      <c r="C41" s="3101" t="s">
        <v>2729</v>
      </c>
      <c r="D41" s="3101"/>
      <c r="E41" s="3100">
        <v>0</v>
      </c>
      <c r="F41" s="3100"/>
      <c r="G41" s="3100"/>
      <c r="H41" s="3100"/>
      <c r="I41" s="3100"/>
      <c r="J41" s="3095">
        <f t="shared" si="0"/>
        <v>0</v>
      </c>
      <c r="K41" s="3094">
        <f t="shared" si="4"/>
        <v>0</v>
      </c>
      <c r="L41" s="3095">
        <f t="shared" si="4"/>
        <v>0</v>
      </c>
      <c r="M41" s="3094">
        <f t="shared" si="2"/>
        <v>0</v>
      </c>
      <c r="T41" s="3824">
        <v>930200</v>
      </c>
      <c r="U41" s="3104">
        <v>165533.84912280002</v>
      </c>
      <c r="X41" s="3110"/>
      <c r="Y41" s="3825"/>
      <c r="Z41" s="3775"/>
      <c r="AC41" s="3669">
        <v>33</v>
      </c>
      <c r="AD41" s="3101" t="s">
        <v>2730</v>
      </c>
      <c r="AE41" s="3101" t="s">
        <v>2729</v>
      </c>
      <c r="AF41" s="3101"/>
      <c r="AG41" s="3095">
        <v>0</v>
      </c>
      <c r="AH41" s="3095">
        <v>0</v>
      </c>
      <c r="AI41" s="3094"/>
      <c r="AJ41" s="3095"/>
      <c r="AK41" s="3094"/>
    </row>
    <row r="42" spans="1:37">
      <c r="A42" s="3669">
        <v>34</v>
      </c>
      <c r="B42" s="3101" t="s">
        <v>2727</v>
      </c>
      <c r="C42" s="3101" t="s">
        <v>2726</v>
      </c>
      <c r="D42" s="3101"/>
      <c r="E42" s="3100">
        <v>0</v>
      </c>
      <c r="F42" s="3100"/>
      <c r="G42" s="3100"/>
      <c r="H42" s="3100"/>
      <c r="I42" s="3100"/>
      <c r="J42" s="3095">
        <f t="shared" si="0"/>
        <v>0</v>
      </c>
      <c r="K42" s="3094">
        <f t="shared" si="4"/>
        <v>0</v>
      </c>
      <c r="L42" s="3095">
        <f t="shared" si="4"/>
        <v>0</v>
      </c>
      <c r="M42" s="3094">
        <f t="shared" si="2"/>
        <v>0</v>
      </c>
      <c r="T42" s="3824">
        <v>931000</v>
      </c>
      <c r="U42" s="3104">
        <v>831.85899700000016</v>
      </c>
      <c r="X42" s="3110"/>
      <c r="Y42" s="3825"/>
      <c r="Z42" s="3775"/>
      <c r="AC42" s="3669">
        <v>34</v>
      </c>
      <c r="AD42" s="3101" t="s">
        <v>2727</v>
      </c>
      <c r="AE42" s="3101" t="s">
        <v>2726</v>
      </c>
      <c r="AF42" s="3101"/>
      <c r="AG42" s="3095">
        <v>0</v>
      </c>
      <c r="AH42" s="3095">
        <v>0</v>
      </c>
      <c r="AI42" s="3094"/>
      <c r="AJ42" s="3095"/>
      <c r="AK42" s="3094"/>
    </row>
    <row r="43" spans="1:37">
      <c r="A43" s="3669">
        <v>35</v>
      </c>
      <c r="B43" s="3101" t="s">
        <v>2725</v>
      </c>
      <c r="C43" s="3101" t="s">
        <v>234</v>
      </c>
      <c r="D43" s="3101"/>
      <c r="E43" s="3100">
        <v>636507</v>
      </c>
      <c r="F43" s="3100"/>
      <c r="G43" s="3100"/>
      <c r="H43" s="3100"/>
      <c r="I43" s="3100"/>
      <c r="J43" s="3095">
        <f t="shared" si="0"/>
        <v>636507</v>
      </c>
      <c r="K43" s="3094">
        <f t="shared" si="4"/>
        <v>31825.350000000002</v>
      </c>
      <c r="L43" s="3095">
        <f t="shared" si="4"/>
        <v>47738.025000000009</v>
      </c>
      <c r="M43" s="3094">
        <f t="shared" si="2"/>
        <v>15912.675000000007</v>
      </c>
      <c r="T43" s="3824">
        <v>935000</v>
      </c>
      <c r="U43" s="3104">
        <v>251160.25873959996</v>
      </c>
      <c r="X43" s="3110"/>
      <c r="Y43" s="3825"/>
      <c r="Z43" s="3775"/>
      <c r="AC43" s="3669">
        <v>35</v>
      </c>
      <c r="AD43" s="3101" t="s">
        <v>2725</v>
      </c>
      <c r="AE43" s="3101" t="s">
        <v>234</v>
      </c>
      <c r="AF43" s="3101"/>
      <c r="AG43" s="3095">
        <v>570704</v>
      </c>
      <c r="AH43" s="3095">
        <v>636507</v>
      </c>
      <c r="AI43" s="3094"/>
      <c r="AJ43" s="3095"/>
      <c r="AK43" s="3094"/>
    </row>
    <row r="44" spans="1:37">
      <c r="A44" s="3669">
        <v>36</v>
      </c>
      <c r="B44" s="3101" t="s">
        <v>2724</v>
      </c>
      <c r="C44" s="3101" t="s">
        <v>2723</v>
      </c>
      <c r="D44" s="3101"/>
      <c r="E44" s="3100">
        <v>0</v>
      </c>
      <c r="F44" s="3100"/>
      <c r="G44" s="3100"/>
      <c r="H44" s="3100"/>
      <c r="I44" s="3100"/>
      <c r="J44" s="3095">
        <f t="shared" si="0"/>
        <v>0</v>
      </c>
      <c r="K44" s="3094">
        <f t="shared" si="4"/>
        <v>0</v>
      </c>
      <c r="L44" s="3095">
        <f t="shared" si="4"/>
        <v>0</v>
      </c>
      <c r="M44" s="3094">
        <f t="shared" si="2"/>
        <v>0</v>
      </c>
      <c r="T44" s="273"/>
      <c r="U44" s="3104">
        <f>SUM(U10:U43)</f>
        <v>19817725.559062295</v>
      </c>
      <c r="X44" s="3110"/>
      <c r="Y44" s="3104"/>
      <c r="AC44" s="3669">
        <v>36</v>
      </c>
      <c r="AD44" s="3101" t="s">
        <v>2724</v>
      </c>
      <c r="AE44" s="3101" t="s">
        <v>2723</v>
      </c>
      <c r="AF44" s="3101"/>
      <c r="AG44" s="3095">
        <v>0</v>
      </c>
      <c r="AH44" s="3095">
        <v>0</v>
      </c>
      <c r="AI44" s="3094"/>
      <c r="AJ44" s="3095"/>
      <c r="AK44" s="3094"/>
    </row>
    <row r="45" spans="1:37">
      <c r="A45" s="3669">
        <v>37</v>
      </c>
      <c r="B45" s="3101" t="s">
        <v>2722</v>
      </c>
      <c r="C45" s="3101" t="s">
        <v>251</v>
      </c>
      <c r="D45" s="3101"/>
      <c r="E45" s="3100">
        <v>0</v>
      </c>
      <c r="F45" s="3100"/>
      <c r="G45" s="3100"/>
      <c r="H45" s="3100"/>
      <c r="I45" s="3100"/>
      <c r="J45" s="3095">
        <f t="shared" si="0"/>
        <v>0</v>
      </c>
      <c r="K45" s="3094">
        <f t="shared" si="4"/>
        <v>0</v>
      </c>
      <c r="L45" s="3095">
        <f t="shared" si="4"/>
        <v>0</v>
      </c>
      <c r="M45" s="3094">
        <f t="shared" si="2"/>
        <v>0</v>
      </c>
      <c r="T45" s="273"/>
      <c r="U45" s="3104"/>
      <c r="AC45" s="3669">
        <v>37</v>
      </c>
      <c r="AD45" s="3101" t="s">
        <v>2722</v>
      </c>
      <c r="AE45" s="3101" t="s">
        <v>251</v>
      </c>
      <c r="AF45" s="3101"/>
      <c r="AG45" s="3095">
        <v>0</v>
      </c>
      <c r="AH45" s="3095">
        <v>0</v>
      </c>
      <c r="AI45" s="3094"/>
      <c r="AJ45" s="3095"/>
      <c r="AK45" s="3094"/>
    </row>
    <row r="46" spans="1:37">
      <c r="A46" s="3669">
        <v>38</v>
      </c>
      <c r="B46" s="3101"/>
      <c r="C46" s="3101"/>
      <c r="D46" s="3101"/>
      <c r="E46" s="3100"/>
      <c r="F46" s="3100"/>
      <c r="G46" s="3100"/>
      <c r="H46" s="3100"/>
      <c r="I46" s="3100"/>
      <c r="J46" s="3095">
        <f t="shared" si="0"/>
        <v>0</v>
      </c>
      <c r="K46" s="3094">
        <f t="shared" si="4"/>
        <v>0</v>
      </c>
      <c r="L46" s="3095">
        <f t="shared" si="4"/>
        <v>0</v>
      </c>
      <c r="M46" s="3094">
        <f t="shared" si="2"/>
        <v>0</v>
      </c>
      <c r="T46" s="273"/>
      <c r="U46" s="3104"/>
      <c r="AC46" s="3669">
        <v>38</v>
      </c>
      <c r="AD46" s="3101"/>
      <c r="AE46" s="3101"/>
      <c r="AF46" s="3101"/>
      <c r="AG46" s="3095">
        <v>0</v>
      </c>
      <c r="AH46" s="3095">
        <v>0</v>
      </c>
      <c r="AI46" s="3094"/>
      <c r="AJ46" s="3095"/>
      <c r="AK46" s="3094"/>
    </row>
    <row r="47" spans="1:37">
      <c r="A47" s="3669">
        <v>39</v>
      </c>
      <c r="B47" s="3101" t="s">
        <v>2721</v>
      </c>
      <c r="C47" s="3101" t="s">
        <v>233</v>
      </c>
      <c r="D47" s="3101"/>
      <c r="E47" s="3100">
        <v>0</v>
      </c>
      <c r="F47" s="3100"/>
      <c r="G47" s="3100"/>
      <c r="H47" s="3100"/>
      <c r="I47" s="3100"/>
      <c r="J47" s="3095">
        <f t="shared" si="0"/>
        <v>0</v>
      </c>
      <c r="K47" s="3094">
        <f t="shared" si="4"/>
        <v>0</v>
      </c>
      <c r="L47" s="3095">
        <f t="shared" si="4"/>
        <v>0</v>
      </c>
      <c r="M47" s="3094">
        <f t="shared" si="2"/>
        <v>0</v>
      </c>
      <c r="R47" s="3109" t="s">
        <v>3448</v>
      </c>
      <c r="U47" s="3669" t="s">
        <v>24</v>
      </c>
      <c r="V47" s="3669" t="s">
        <v>539</v>
      </c>
      <c r="AC47" s="3669">
        <v>39</v>
      </c>
      <c r="AD47" s="3101" t="s">
        <v>2721</v>
      </c>
      <c r="AE47" s="3101" t="s">
        <v>233</v>
      </c>
      <c r="AF47" s="3101"/>
      <c r="AG47" s="3095">
        <v>0</v>
      </c>
      <c r="AH47" s="3095">
        <v>0</v>
      </c>
      <c r="AI47" s="3094"/>
      <c r="AJ47" s="3095"/>
      <c r="AK47" s="3094"/>
    </row>
    <row r="48" spans="1:37">
      <c r="A48" s="3669">
        <v>40</v>
      </c>
      <c r="B48" s="3101" t="s">
        <v>2720</v>
      </c>
      <c r="C48" s="3101" t="s">
        <v>2719</v>
      </c>
      <c r="D48" s="3101"/>
      <c r="E48" s="3100">
        <v>0</v>
      </c>
      <c r="F48" s="3100"/>
      <c r="G48" s="3100"/>
      <c r="H48" s="3100"/>
      <c r="I48" s="3100"/>
      <c r="J48" s="3095">
        <f t="shared" si="0"/>
        <v>0</v>
      </c>
      <c r="K48" s="3094">
        <f t="shared" si="4"/>
        <v>0</v>
      </c>
      <c r="L48" s="3095">
        <f t="shared" si="4"/>
        <v>0</v>
      </c>
      <c r="M48" s="3094">
        <f t="shared" si="2"/>
        <v>0</v>
      </c>
      <c r="R48" s="3088" t="s">
        <v>839</v>
      </c>
      <c r="S48" s="3108">
        <v>0.20707999999999999</v>
      </c>
      <c r="T48" s="3108">
        <v>0.71745999999999999</v>
      </c>
      <c r="U48" s="3104">
        <v>19323555</v>
      </c>
      <c r="V48" s="3104">
        <f>U48*S48*T48</f>
        <v>2870931.8086737236</v>
      </c>
      <c r="AC48" s="3669">
        <v>40</v>
      </c>
      <c r="AD48" s="3101" t="s">
        <v>2720</v>
      </c>
      <c r="AE48" s="3101" t="s">
        <v>2719</v>
      </c>
      <c r="AF48" s="3101"/>
      <c r="AG48" s="3095">
        <v>0</v>
      </c>
      <c r="AH48" s="3095">
        <v>0</v>
      </c>
      <c r="AI48" s="3094"/>
      <c r="AJ48" s="3095"/>
      <c r="AK48" s="3094"/>
    </row>
    <row r="49" spans="1:37">
      <c r="A49" s="3669">
        <v>41</v>
      </c>
      <c r="B49" s="3101" t="s">
        <v>2718</v>
      </c>
      <c r="C49" s="3101" t="s">
        <v>2717</v>
      </c>
      <c r="D49" s="3101"/>
      <c r="E49" s="3100">
        <v>0</v>
      </c>
      <c r="F49" s="3100"/>
      <c r="G49" s="3100"/>
      <c r="H49" s="3100"/>
      <c r="I49" s="3100"/>
      <c r="J49" s="3095">
        <f t="shared" si="0"/>
        <v>0</v>
      </c>
      <c r="K49" s="3094">
        <f t="shared" si="4"/>
        <v>0</v>
      </c>
      <c r="L49" s="3095">
        <f t="shared" si="4"/>
        <v>0</v>
      </c>
      <c r="M49" s="3094">
        <f t="shared" si="2"/>
        <v>0</v>
      </c>
      <c r="R49" s="3088" t="s">
        <v>2716</v>
      </c>
      <c r="S49" s="3108">
        <v>0.22856000000000001</v>
      </c>
      <c r="T49" s="3108">
        <v>0.71745999999999999</v>
      </c>
      <c r="U49" s="3104">
        <v>76417</v>
      </c>
      <c r="V49" s="3104">
        <f>U49*S49*T49</f>
        <v>12531.062745819199</v>
      </c>
      <c r="AC49" s="3669">
        <v>41</v>
      </c>
      <c r="AD49" s="3101" t="s">
        <v>2718</v>
      </c>
      <c r="AE49" s="3101" t="s">
        <v>2717</v>
      </c>
      <c r="AF49" s="3101"/>
      <c r="AG49" s="3095">
        <v>0</v>
      </c>
      <c r="AH49" s="3095">
        <v>0</v>
      </c>
      <c r="AI49" s="3094"/>
      <c r="AJ49" s="3095"/>
      <c r="AK49" s="3094"/>
    </row>
    <row r="50" spans="1:37">
      <c r="A50" s="3669">
        <v>42</v>
      </c>
      <c r="B50" s="3101" t="s">
        <v>2715</v>
      </c>
      <c r="C50" s="3101" t="s">
        <v>2714</v>
      </c>
      <c r="D50" s="3101"/>
      <c r="E50" s="3100">
        <v>0</v>
      </c>
      <c r="F50" s="3100"/>
      <c r="G50" s="3100"/>
      <c r="H50" s="3100"/>
      <c r="I50" s="3100"/>
      <c r="J50" s="3095">
        <f t="shared" si="0"/>
        <v>0</v>
      </c>
      <c r="K50" s="3094">
        <f t="shared" si="4"/>
        <v>0</v>
      </c>
      <c r="L50" s="3095">
        <f t="shared" si="4"/>
        <v>0</v>
      </c>
      <c r="M50" s="3094">
        <f t="shared" si="2"/>
        <v>0</v>
      </c>
      <c r="S50" s="3108"/>
      <c r="T50" s="3108"/>
      <c r="U50" s="3104">
        <v>0</v>
      </c>
      <c r="V50" s="3104">
        <f>U50*S50*T50</f>
        <v>0</v>
      </c>
      <c r="AC50" s="3669">
        <v>42</v>
      </c>
      <c r="AD50" s="3101" t="s">
        <v>2715</v>
      </c>
      <c r="AE50" s="3101" t="s">
        <v>2714</v>
      </c>
      <c r="AF50" s="3101"/>
      <c r="AG50" s="3095">
        <v>0</v>
      </c>
      <c r="AH50" s="3095">
        <v>0</v>
      </c>
      <c r="AI50" s="3094"/>
      <c r="AJ50" s="3095"/>
      <c r="AK50" s="3094"/>
    </row>
    <row r="51" spans="1:37">
      <c r="A51" s="3669">
        <v>43</v>
      </c>
      <c r="B51" s="3101" t="s">
        <v>2713</v>
      </c>
      <c r="C51" s="3101" t="s">
        <v>2712</v>
      </c>
      <c r="D51" s="3101"/>
      <c r="E51" s="3100">
        <v>0</v>
      </c>
      <c r="F51" s="3100"/>
      <c r="G51" s="3100"/>
      <c r="H51" s="3100"/>
      <c r="I51" s="3100"/>
      <c r="J51" s="3095">
        <f t="shared" si="0"/>
        <v>0</v>
      </c>
      <c r="K51" s="3094">
        <f t="shared" si="4"/>
        <v>0</v>
      </c>
      <c r="L51" s="3095">
        <f t="shared" si="4"/>
        <v>0</v>
      </c>
      <c r="M51" s="3094">
        <f t="shared" si="2"/>
        <v>0</v>
      </c>
      <c r="S51" s="3108"/>
      <c r="T51" s="3108"/>
      <c r="U51" s="3104">
        <v>0</v>
      </c>
      <c r="V51" s="3104">
        <f>U51*S51*T51</f>
        <v>0</v>
      </c>
      <c r="AC51" s="3669">
        <v>43</v>
      </c>
      <c r="AD51" s="3101" t="s">
        <v>2713</v>
      </c>
      <c r="AE51" s="3101" t="s">
        <v>2712</v>
      </c>
      <c r="AF51" s="3101"/>
      <c r="AG51" s="3095">
        <v>0</v>
      </c>
      <c r="AH51" s="3095">
        <v>0</v>
      </c>
      <c r="AI51" s="3094"/>
      <c r="AJ51" s="3095"/>
      <c r="AK51" s="3094"/>
    </row>
    <row r="52" spans="1:37">
      <c r="A52" s="3669">
        <v>44</v>
      </c>
      <c r="B52" s="3101" t="s">
        <v>2711</v>
      </c>
      <c r="C52" s="3101" t="s">
        <v>2710</v>
      </c>
      <c r="D52" s="3101"/>
      <c r="E52" s="3100">
        <v>0</v>
      </c>
      <c r="F52" s="3100"/>
      <c r="G52" s="3100"/>
      <c r="H52" s="3100"/>
      <c r="I52" s="3100"/>
      <c r="J52" s="3095">
        <f t="shared" si="0"/>
        <v>0</v>
      </c>
      <c r="K52" s="3094">
        <f t="shared" si="4"/>
        <v>0</v>
      </c>
      <c r="L52" s="3095">
        <f t="shared" si="4"/>
        <v>0</v>
      </c>
      <c r="M52" s="3094">
        <f t="shared" si="2"/>
        <v>0</v>
      </c>
      <c r="V52" s="3107">
        <f>SUM(V48:V51)</f>
        <v>2883462.8714195429</v>
      </c>
      <c r="AC52" s="3669">
        <v>44</v>
      </c>
      <c r="AD52" s="3101" t="s">
        <v>2711</v>
      </c>
      <c r="AE52" s="3101" t="s">
        <v>2710</v>
      </c>
      <c r="AF52" s="3101"/>
      <c r="AG52" s="3095">
        <v>0</v>
      </c>
      <c r="AH52" s="3095">
        <v>0</v>
      </c>
      <c r="AI52" s="3094"/>
      <c r="AJ52" s="3095"/>
      <c r="AK52" s="3094"/>
    </row>
    <row r="53" spans="1:37">
      <c r="A53" s="3669">
        <v>45</v>
      </c>
      <c r="B53" s="3101" t="s">
        <v>2709</v>
      </c>
      <c r="C53" s="3101" t="s">
        <v>2708</v>
      </c>
      <c r="D53" s="3101"/>
      <c r="E53" s="3100">
        <v>0</v>
      </c>
      <c r="F53" s="3100"/>
      <c r="G53" s="3100"/>
      <c r="H53" s="3100"/>
      <c r="I53" s="3100"/>
      <c r="J53" s="3095">
        <f t="shared" si="0"/>
        <v>0</v>
      </c>
      <c r="K53" s="3094">
        <f t="shared" si="4"/>
        <v>0</v>
      </c>
      <c r="L53" s="3095">
        <f t="shared" si="4"/>
        <v>0</v>
      </c>
      <c r="M53" s="3094">
        <f t="shared" si="2"/>
        <v>0</v>
      </c>
      <c r="O53" s="3776" t="s">
        <v>3445</v>
      </c>
      <c r="T53" s="273"/>
      <c r="U53" s="3104"/>
      <c r="AC53" s="3669">
        <v>45</v>
      </c>
      <c r="AD53" s="3101" t="s">
        <v>2709</v>
      </c>
      <c r="AE53" s="3101" t="s">
        <v>2708</v>
      </c>
      <c r="AF53" s="3101"/>
      <c r="AG53" s="3095">
        <v>0</v>
      </c>
      <c r="AH53" s="3095">
        <v>0</v>
      </c>
      <c r="AI53" s="3094"/>
      <c r="AJ53" s="3095"/>
      <c r="AK53" s="3094"/>
    </row>
    <row r="54" spans="1:37" ht="16" thickBot="1">
      <c r="A54" s="3669">
        <v>46</v>
      </c>
      <c r="B54" s="3101" t="s">
        <v>2707</v>
      </c>
      <c r="C54" s="3101" t="s">
        <v>235</v>
      </c>
      <c r="D54" s="3101"/>
      <c r="E54" s="3100">
        <v>1295846</v>
      </c>
      <c r="F54" s="3100"/>
      <c r="G54" s="3100"/>
      <c r="H54" s="3100"/>
      <c r="I54" s="3100"/>
      <c r="J54" s="3095">
        <f t="shared" si="0"/>
        <v>1295846</v>
      </c>
      <c r="K54" s="3094">
        <f t="shared" si="4"/>
        <v>64792.3</v>
      </c>
      <c r="L54" s="3095">
        <f t="shared" si="4"/>
        <v>97188.450000000012</v>
      </c>
      <c r="M54" s="3094">
        <f t="shared" si="2"/>
        <v>32396.150000000009</v>
      </c>
      <c r="O54" s="3778">
        <v>2023</v>
      </c>
      <c r="P54" s="3779" t="s">
        <v>3447</v>
      </c>
      <c r="Q54" s="3779" t="s">
        <v>2565</v>
      </c>
      <c r="T54" s="273"/>
      <c r="U54" s="3104"/>
      <c r="AC54" s="3669">
        <v>46</v>
      </c>
      <c r="AD54" s="3101" t="s">
        <v>2707</v>
      </c>
      <c r="AE54" s="3101" t="s">
        <v>235</v>
      </c>
      <c r="AF54" s="3101"/>
      <c r="AG54" s="3095">
        <v>1491595</v>
      </c>
      <c r="AH54" s="3095">
        <v>1295846</v>
      </c>
      <c r="AI54" s="3094"/>
      <c r="AJ54" s="3095"/>
      <c r="AK54" s="3094"/>
    </row>
    <row r="55" spans="1:37" ht="16" thickBot="1">
      <c r="A55" s="3669">
        <v>47</v>
      </c>
      <c r="B55" s="3099"/>
      <c r="C55" s="3099" t="s">
        <v>2706</v>
      </c>
      <c r="D55" s="3099"/>
      <c r="E55" s="3102">
        <f t="shared" ref="E55:M55" si="6">SUM(E35:E54)</f>
        <v>1932353</v>
      </c>
      <c r="F55" s="3102">
        <f t="shared" si="6"/>
        <v>0</v>
      </c>
      <c r="G55" s="3102">
        <f t="shared" si="6"/>
        <v>0</v>
      </c>
      <c r="H55" s="3102">
        <f t="shared" si="6"/>
        <v>0</v>
      </c>
      <c r="I55" s="3102">
        <f t="shared" si="6"/>
        <v>0</v>
      </c>
      <c r="J55" s="3102">
        <f t="shared" si="6"/>
        <v>1932353</v>
      </c>
      <c r="K55" s="3827">
        <f t="shared" si="6"/>
        <v>96617.650000000009</v>
      </c>
      <c r="L55" s="3102">
        <f t="shared" si="6"/>
        <v>144926.47500000003</v>
      </c>
      <c r="M55" s="3827">
        <f t="shared" si="6"/>
        <v>48308.825000000012</v>
      </c>
      <c r="O55" s="3776">
        <f>'[4]Nat Gas - 06.2023 vs 12.2023'!H55</f>
        <v>-129946</v>
      </c>
      <c r="P55" s="3780">
        <f>K55+O55</f>
        <v>-33328.349999999991</v>
      </c>
      <c r="Q55" s="3781">
        <f>M55</f>
        <v>48308.825000000012</v>
      </c>
      <c r="T55" s="273"/>
      <c r="U55" s="3104"/>
      <c r="AC55" s="3669">
        <v>47</v>
      </c>
      <c r="AD55" s="3099"/>
      <c r="AE55" s="3099" t="s">
        <v>2706</v>
      </c>
      <c r="AF55" s="3099"/>
      <c r="AG55" s="3102">
        <v>2062299</v>
      </c>
      <c r="AH55" s="3102">
        <v>1932353</v>
      </c>
      <c r="AI55" s="3813"/>
      <c r="AJ55" s="3814">
        <f>AH55-AG55</f>
        <v>-129946</v>
      </c>
      <c r="AK55" s="3813"/>
    </row>
    <row r="56" spans="1:37">
      <c r="A56" s="3669">
        <v>48</v>
      </c>
      <c r="B56" s="3101"/>
      <c r="C56" s="3101"/>
      <c r="D56" s="3101"/>
      <c r="E56" s="3100"/>
      <c r="F56" s="3100"/>
      <c r="G56" s="3100"/>
      <c r="H56" s="3100"/>
      <c r="I56" s="3100"/>
      <c r="J56" s="3100"/>
      <c r="K56" s="3816"/>
      <c r="L56" s="3100"/>
      <c r="M56" s="3816"/>
      <c r="T56" s="273"/>
      <c r="U56" s="3104"/>
      <c r="AC56" s="3669">
        <v>48</v>
      </c>
      <c r="AD56" s="3101"/>
      <c r="AE56" s="3101"/>
      <c r="AF56" s="3101"/>
      <c r="AG56" s="3100"/>
      <c r="AH56" s="3100"/>
      <c r="AI56" s="3816"/>
      <c r="AJ56" s="3100"/>
      <c r="AK56" s="3816"/>
    </row>
    <row r="57" spans="1:37">
      <c r="A57" s="3669">
        <v>49</v>
      </c>
      <c r="B57" s="3101"/>
      <c r="C57" s="3099" t="s">
        <v>2705</v>
      </c>
      <c r="D57" s="3101"/>
      <c r="E57" s="3103"/>
      <c r="F57" s="3103"/>
      <c r="G57" s="3103"/>
      <c r="H57" s="3103"/>
      <c r="I57" s="3103"/>
      <c r="J57" s="3103"/>
      <c r="K57" s="3817"/>
      <c r="L57" s="3103"/>
      <c r="M57" s="3817"/>
      <c r="T57" s="273"/>
      <c r="U57" s="3104"/>
      <c r="AC57" s="3669">
        <v>49</v>
      </c>
      <c r="AD57" s="3101"/>
      <c r="AE57" s="3099" t="s">
        <v>2705</v>
      </c>
      <c r="AF57" s="3101"/>
      <c r="AG57" s="3103"/>
      <c r="AH57" s="3103"/>
      <c r="AI57" s="3817"/>
      <c r="AJ57" s="3103"/>
      <c r="AK57" s="3817"/>
    </row>
    <row r="58" spans="1:37">
      <c r="A58" s="3669">
        <v>50</v>
      </c>
      <c r="B58" s="3101"/>
      <c r="C58" s="3106" t="s">
        <v>2704</v>
      </c>
      <c r="D58" s="3101"/>
      <c r="E58" s="3100"/>
      <c r="F58" s="3100"/>
      <c r="G58" s="3100"/>
      <c r="H58" s="3100"/>
      <c r="I58" s="3100"/>
      <c r="J58" s="3100"/>
      <c r="K58" s="3816"/>
      <c r="L58" s="3100"/>
      <c r="M58" s="3816"/>
      <c r="T58" s="273"/>
      <c r="U58" s="3104"/>
      <c r="AC58" s="3669">
        <v>50</v>
      </c>
      <c r="AD58" s="3101"/>
      <c r="AE58" s="3106" t="s">
        <v>2704</v>
      </c>
      <c r="AF58" s="3101"/>
      <c r="AG58" s="3100"/>
      <c r="AH58" s="3100"/>
      <c r="AI58" s="3816"/>
      <c r="AJ58" s="3100"/>
      <c r="AK58" s="3816"/>
    </row>
    <row r="59" spans="1:37">
      <c r="A59" s="3669">
        <v>51</v>
      </c>
      <c r="B59" s="3101" t="s">
        <v>2703</v>
      </c>
      <c r="C59" s="3101" t="s">
        <v>233</v>
      </c>
      <c r="D59" s="3101"/>
      <c r="E59" s="3100">
        <v>1727725</v>
      </c>
      <c r="F59" s="3100">
        <f>U12</f>
        <v>1461004.0735520001</v>
      </c>
      <c r="G59" s="3100"/>
      <c r="H59" s="3100"/>
      <c r="I59" s="3782">
        <f>-62958*$T$49</f>
        <v>-45169.846680000002</v>
      </c>
      <c r="J59" s="3095">
        <f t="shared" si="0"/>
        <v>221551.07976799988</v>
      </c>
      <c r="K59" s="3094">
        <f t="shared" si="4"/>
        <v>11077.553988399995</v>
      </c>
      <c r="L59" s="3095">
        <f t="shared" si="4"/>
        <v>16616.330982599993</v>
      </c>
      <c r="M59" s="3094">
        <f t="shared" si="2"/>
        <v>5538.7769941999977</v>
      </c>
      <c r="T59" s="273"/>
      <c r="U59" s="3104"/>
      <c r="AC59" s="3669">
        <v>51</v>
      </c>
      <c r="AD59" s="3101" t="s">
        <v>2703</v>
      </c>
      <c r="AE59" s="3101" t="s">
        <v>233</v>
      </c>
      <c r="AF59" s="3101"/>
      <c r="AG59" s="3095">
        <v>299326.26901499974</v>
      </c>
      <c r="AH59" s="3095">
        <v>221551.07976799988</v>
      </c>
      <c r="AI59" s="3094"/>
      <c r="AJ59" s="3095"/>
      <c r="AK59" s="3094"/>
    </row>
    <row r="60" spans="1:37">
      <c r="A60" s="3669">
        <v>52</v>
      </c>
      <c r="B60" s="3101" t="s">
        <v>2702</v>
      </c>
      <c r="C60" s="3101" t="s">
        <v>244</v>
      </c>
      <c r="D60" s="3101"/>
      <c r="E60" s="3100">
        <v>0</v>
      </c>
      <c r="F60" s="3100"/>
      <c r="G60" s="3100"/>
      <c r="H60" s="3100"/>
      <c r="I60" s="3100"/>
      <c r="J60" s="3095">
        <f t="shared" si="0"/>
        <v>0</v>
      </c>
      <c r="K60" s="3094">
        <f t="shared" si="4"/>
        <v>0</v>
      </c>
      <c r="L60" s="3095">
        <f t="shared" si="4"/>
        <v>0</v>
      </c>
      <c r="M60" s="3094">
        <f t="shared" si="2"/>
        <v>0</v>
      </c>
      <c r="T60" s="273"/>
      <c r="U60" s="3104"/>
      <c r="AC60" s="3669">
        <v>52</v>
      </c>
      <c r="AD60" s="3101" t="s">
        <v>2702</v>
      </c>
      <c r="AE60" s="3101" t="s">
        <v>244</v>
      </c>
      <c r="AF60" s="3101"/>
      <c r="AG60" s="3095">
        <v>0</v>
      </c>
      <c r="AH60" s="3095">
        <v>0</v>
      </c>
      <c r="AI60" s="3094"/>
      <c r="AJ60" s="3095"/>
      <c r="AK60" s="3094"/>
    </row>
    <row r="61" spans="1:37">
      <c r="A61" s="3669">
        <v>53</v>
      </c>
      <c r="B61" s="3101" t="s">
        <v>2701</v>
      </c>
      <c r="C61" s="3101" t="s">
        <v>2700</v>
      </c>
      <c r="D61" s="3101"/>
      <c r="E61" s="3100">
        <v>0</v>
      </c>
      <c r="F61" s="3100"/>
      <c r="G61" s="3100"/>
      <c r="H61" s="3100"/>
      <c r="I61" s="3100"/>
      <c r="J61" s="3095">
        <f t="shared" si="0"/>
        <v>0</v>
      </c>
      <c r="K61" s="3094">
        <f t="shared" si="4"/>
        <v>0</v>
      </c>
      <c r="L61" s="3095">
        <f t="shared" si="4"/>
        <v>0</v>
      </c>
      <c r="M61" s="3094">
        <f t="shared" si="2"/>
        <v>0</v>
      </c>
      <c r="T61" s="273"/>
      <c r="U61" s="3104"/>
      <c r="AC61" s="3669">
        <v>53</v>
      </c>
      <c r="AD61" s="3101" t="s">
        <v>2701</v>
      </c>
      <c r="AE61" s="3101" t="s">
        <v>2700</v>
      </c>
      <c r="AF61" s="3101"/>
      <c r="AG61" s="3095">
        <v>0</v>
      </c>
      <c r="AH61" s="3095">
        <v>0</v>
      </c>
      <c r="AI61" s="3094"/>
      <c r="AJ61" s="3095"/>
      <c r="AK61" s="3094"/>
    </row>
    <row r="62" spans="1:37">
      <c r="A62" s="3669">
        <v>54</v>
      </c>
      <c r="B62" s="3101" t="s">
        <v>2699</v>
      </c>
      <c r="C62" s="3101" t="s">
        <v>2698</v>
      </c>
      <c r="D62" s="3101"/>
      <c r="E62" s="3100">
        <v>5207343</v>
      </c>
      <c r="F62" s="3100">
        <f>U13</f>
        <v>2624066.8378400048</v>
      </c>
      <c r="G62" s="3100"/>
      <c r="H62" s="3100"/>
      <c r="I62" s="3782">
        <f>-1156-(555755*T49)</f>
        <v>-399887.98229999997</v>
      </c>
      <c r="J62" s="3095">
        <f t="shared" si="0"/>
        <v>2183388.1798599954</v>
      </c>
      <c r="K62" s="3094">
        <f t="shared" si="4"/>
        <v>109169.40899299977</v>
      </c>
      <c r="L62" s="3095">
        <f t="shared" si="4"/>
        <v>163754.11348949966</v>
      </c>
      <c r="M62" s="3094">
        <f t="shared" si="2"/>
        <v>54584.704496499893</v>
      </c>
      <c r="T62" s="273"/>
      <c r="U62" s="3104"/>
      <c r="AC62" s="3669">
        <v>54</v>
      </c>
      <c r="AD62" s="3101" t="s">
        <v>2699</v>
      </c>
      <c r="AE62" s="3101" t="s">
        <v>2698</v>
      </c>
      <c r="AF62" s="3101"/>
      <c r="AG62" s="3095">
        <v>1784458.5649279989</v>
      </c>
      <c r="AH62" s="3095">
        <v>2183388.1798599954</v>
      </c>
      <c r="AI62" s="3094"/>
      <c r="AJ62" s="3095"/>
      <c r="AK62" s="3094"/>
    </row>
    <row r="63" spans="1:37">
      <c r="A63" s="3669">
        <v>55</v>
      </c>
      <c r="B63" s="3101" t="s">
        <v>2697</v>
      </c>
      <c r="C63" s="3101" t="s">
        <v>2681</v>
      </c>
      <c r="D63" s="3101"/>
      <c r="E63" s="3100">
        <v>118232</v>
      </c>
      <c r="F63" s="3100">
        <f t="shared" ref="F63:F68" si="7">U14</f>
        <v>90382.91</v>
      </c>
      <c r="G63" s="3100"/>
      <c r="H63" s="3100"/>
      <c r="I63" s="3100"/>
      <c r="J63" s="3095">
        <f t="shared" si="0"/>
        <v>27849.089999999997</v>
      </c>
      <c r="K63" s="3094">
        <f t="shared" si="4"/>
        <v>1392.4544999999998</v>
      </c>
      <c r="L63" s="3095">
        <f t="shared" si="4"/>
        <v>2088.6817500000002</v>
      </c>
      <c r="M63" s="3094">
        <f t="shared" si="2"/>
        <v>696.22725000000037</v>
      </c>
      <c r="T63" s="273"/>
      <c r="U63" s="3104"/>
      <c r="AC63" s="3669">
        <v>55</v>
      </c>
      <c r="AD63" s="3101" t="s">
        <v>2697</v>
      </c>
      <c r="AE63" s="3101" t="s">
        <v>2681</v>
      </c>
      <c r="AF63" s="3101"/>
      <c r="AG63" s="3095">
        <v>17948.809999999983</v>
      </c>
      <c r="AH63" s="3095">
        <v>27849.089999999997</v>
      </c>
      <c r="AI63" s="3094"/>
      <c r="AJ63" s="3095"/>
      <c r="AK63" s="3094"/>
    </row>
    <row r="64" spans="1:37">
      <c r="A64" s="3669">
        <v>56</v>
      </c>
      <c r="B64" s="3101" t="s">
        <v>2696</v>
      </c>
      <c r="C64" s="3101" t="s">
        <v>2679</v>
      </c>
      <c r="D64" s="3101"/>
      <c r="E64" s="3100">
        <v>4347</v>
      </c>
      <c r="F64" s="3100">
        <f t="shared" si="7"/>
        <v>2652.7400000000002</v>
      </c>
      <c r="G64" s="3100"/>
      <c r="H64" s="3100"/>
      <c r="I64" s="3100"/>
      <c r="J64" s="3095">
        <f t="shared" si="0"/>
        <v>1694.2599999999998</v>
      </c>
      <c r="K64" s="3094">
        <f t="shared" si="4"/>
        <v>84.712999999999994</v>
      </c>
      <c r="L64" s="3095">
        <f t="shared" si="4"/>
        <v>127.06950000000001</v>
      </c>
      <c r="M64" s="3094">
        <f t="shared" si="2"/>
        <v>42.356500000000011</v>
      </c>
      <c r="T64" s="273"/>
      <c r="U64" s="3104"/>
      <c r="AC64" s="3669">
        <v>56</v>
      </c>
      <c r="AD64" s="3101" t="s">
        <v>2696</v>
      </c>
      <c r="AE64" s="3101" t="s">
        <v>2679</v>
      </c>
      <c r="AF64" s="3101"/>
      <c r="AG64" s="3095">
        <v>982.82999999999993</v>
      </c>
      <c r="AH64" s="3095">
        <v>1694.2599999999998</v>
      </c>
      <c r="AI64" s="3094"/>
      <c r="AJ64" s="3095"/>
      <c r="AK64" s="3094"/>
    </row>
    <row r="65" spans="1:37">
      <c r="A65" s="3669">
        <v>57</v>
      </c>
      <c r="B65" s="3101" t="s">
        <v>2695</v>
      </c>
      <c r="C65" s="3101" t="s">
        <v>2677</v>
      </c>
      <c r="D65" s="3101"/>
      <c r="E65" s="3100">
        <v>62692</v>
      </c>
      <c r="F65" s="3100">
        <f t="shared" si="7"/>
        <v>52768.070000000007</v>
      </c>
      <c r="G65" s="3100"/>
      <c r="H65" s="3100"/>
      <c r="I65" s="3100"/>
      <c r="J65" s="3095">
        <f t="shared" si="0"/>
        <v>9923.929999999993</v>
      </c>
      <c r="K65" s="3094">
        <f t="shared" si="4"/>
        <v>496.19649999999967</v>
      </c>
      <c r="L65" s="3095">
        <f t="shared" si="4"/>
        <v>744.29474999999957</v>
      </c>
      <c r="M65" s="3094">
        <f t="shared" si="2"/>
        <v>248.09824999999989</v>
      </c>
      <c r="T65" s="273"/>
      <c r="U65" s="3104"/>
      <c r="AC65" s="3669">
        <v>57</v>
      </c>
      <c r="AD65" s="3101" t="s">
        <v>2695</v>
      </c>
      <c r="AE65" s="3101" t="s">
        <v>2677</v>
      </c>
      <c r="AF65" s="3101"/>
      <c r="AG65" s="3095">
        <v>6952.7299999999886</v>
      </c>
      <c r="AH65" s="3095">
        <v>9923.929999999993</v>
      </c>
      <c r="AI65" s="3094"/>
      <c r="AJ65" s="3095"/>
      <c r="AK65" s="3094"/>
    </row>
    <row r="66" spans="1:37">
      <c r="A66" s="3669">
        <v>58</v>
      </c>
      <c r="B66" s="3101" t="s">
        <v>2694</v>
      </c>
      <c r="C66" s="3101" t="s">
        <v>2693</v>
      </c>
      <c r="D66" s="3101"/>
      <c r="E66" s="3100">
        <v>250473</v>
      </c>
      <c r="F66" s="3100">
        <f t="shared" si="7"/>
        <v>4629.9899999999989</v>
      </c>
      <c r="G66" s="3100"/>
      <c r="H66" s="3100"/>
      <c r="I66" s="3100"/>
      <c r="J66" s="3095">
        <f t="shared" si="0"/>
        <v>245843.01</v>
      </c>
      <c r="K66" s="3094">
        <f t="shared" si="4"/>
        <v>12292.150500000002</v>
      </c>
      <c r="L66" s="3095">
        <f t="shared" si="4"/>
        <v>18438.225750000005</v>
      </c>
      <c r="M66" s="3094">
        <f t="shared" si="2"/>
        <v>6146.0752500000035</v>
      </c>
      <c r="T66" s="273"/>
      <c r="U66" s="3104"/>
      <c r="AC66" s="3669">
        <v>58</v>
      </c>
      <c r="AD66" s="3101" t="s">
        <v>2694</v>
      </c>
      <c r="AE66" s="3101" t="s">
        <v>2693</v>
      </c>
      <c r="AF66" s="3101"/>
      <c r="AG66" s="3095">
        <v>352574.43</v>
      </c>
      <c r="AH66" s="3095">
        <v>245843.01</v>
      </c>
      <c r="AI66" s="3094"/>
      <c r="AJ66" s="3095"/>
      <c r="AK66" s="3094"/>
    </row>
    <row r="67" spans="1:37">
      <c r="A67" s="3669">
        <v>59</v>
      </c>
      <c r="B67" s="3101" t="s">
        <v>2692</v>
      </c>
      <c r="C67" s="3101" t="s">
        <v>2691</v>
      </c>
      <c r="D67" s="3101"/>
      <c r="E67" s="3100">
        <v>5922662</v>
      </c>
      <c r="F67" s="3100">
        <f t="shared" si="7"/>
        <v>1395781.7316640015</v>
      </c>
      <c r="G67" s="3100"/>
      <c r="H67" s="3100"/>
      <c r="I67" s="3782">
        <f>-6035651*$T$49</f>
        <v>-4330338.16646</v>
      </c>
      <c r="J67" s="3095">
        <f t="shared" si="0"/>
        <v>196542.10187599808</v>
      </c>
      <c r="K67" s="3094">
        <f t="shared" si="4"/>
        <v>9827.1050937999044</v>
      </c>
      <c r="L67" s="3095">
        <f t="shared" si="4"/>
        <v>14740.657640699857</v>
      </c>
      <c r="M67" s="3094">
        <f t="shared" si="2"/>
        <v>4913.5525468999531</v>
      </c>
      <c r="T67" s="273"/>
      <c r="U67" s="3104"/>
      <c r="AC67" s="3669">
        <v>59</v>
      </c>
      <c r="AD67" s="3101" t="s">
        <v>2692</v>
      </c>
      <c r="AE67" s="3101" t="s">
        <v>2691</v>
      </c>
      <c r="AF67" s="3101"/>
      <c r="AG67" s="3095">
        <v>252288.97737599793</v>
      </c>
      <c r="AH67" s="3095">
        <v>196542.10187599808</v>
      </c>
      <c r="AI67" s="3094"/>
      <c r="AJ67" s="3095"/>
      <c r="AK67" s="3094"/>
    </row>
    <row r="68" spans="1:37">
      <c r="A68" s="3669">
        <v>60</v>
      </c>
      <c r="B68" s="3101" t="s">
        <v>2690</v>
      </c>
      <c r="C68" s="3101" t="s">
        <v>2689</v>
      </c>
      <c r="D68" s="3101"/>
      <c r="E68" s="3100">
        <v>3072702</v>
      </c>
      <c r="F68" s="3100">
        <f t="shared" si="7"/>
        <v>1920824.1166719999</v>
      </c>
      <c r="G68" s="3100"/>
      <c r="H68" s="3100"/>
      <c r="I68" s="3782">
        <f>-946802*$T$49</f>
        <v>-679292.56291999994</v>
      </c>
      <c r="J68" s="3095">
        <f t="shared" si="0"/>
        <v>472585.32040800015</v>
      </c>
      <c r="K68" s="3094">
        <f t="shared" si="4"/>
        <v>23629.266020400009</v>
      </c>
      <c r="L68" s="3095">
        <f t="shared" si="4"/>
        <v>35443.89903060002</v>
      </c>
      <c r="M68" s="3094">
        <f t="shared" si="2"/>
        <v>11814.63301020001</v>
      </c>
      <c r="T68" s="273"/>
      <c r="U68" s="3104"/>
      <c r="AC68" s="3669">
        <v>60</v>
      </c>
      <c r="AD68" s="3101" t="s">
        <v>2690</v>
      </c>
      <c r="AE68" s="3101" t="s">
        <v>2689</v>
      </c>
      <c r="AF68" s="3101"/>
      <c r="AG68" s="3095">
        <v>709726.23748799716</v>
      </c>
      <c r="AH68" s="3095">
        <v>472585.32040800015</v>
      </c>
      <c r="AI68" s="3094"/>
      <c r="AJ68" s="3095"/>
      <c r="AK68" s="3094"/>
    </row>
    <row r="69" spans="1:37">
      <c r="A69" s="3669">
        <v>61</v>
      </c>
      <c r="B69" s="3101" t="s">
        <v>2688</v>
      </c>
      <c r="C69" s="3101" t="s">
        <v>251</v>
      </c>
      <c r="D69" s="3101"/>
      <c r="E69" s="3100">
        <v>-850</v>
      </c>
      <c r="F69" s="3100"/>
      <c r="G69" s="3100"/>
      <c r="H69" s="3100"/>
      <c r="I69" s="3100">
        <v>0</v>
      </c>
      <c r="J69" s="3095">
        <f>E69-SUM(F69:H69)+I69</f>
        <v>-850</v>
      </c>
      <c r="K69" s="3094">
        <f t="shared" si="4"/>
        <v>-42.5</v>
      </c>
      <c r="L69" s="3095">
        <f t="shared" si="4"/>
        <v>-63.750000000000007</v>
      </c>
      <c r="M69" s="3094">
        <f t="shared" si="2"/>
        <v>-21.250000000000007</v>
      </c>
      <c r="T69" s="273"/>
      <c r="U69" s="3104"/>
      <c r="AC69" s="3669">
        <v>61</v>
      </c>
      <c r="AD69" s="3101" t="s">
        <v>2688</v>
      </c>
      <c r="AE69" s="3101" t="s">
        <v>251</v>
      </c>
      <c r="AF69" s="3101"/>
      <c r="AG69" s="3095">
        <v>-5121</v>
      </c>
      <c r="AH69" s="3095">
        <v>-850</v>
      </c>
      <c r="AI69" s="3094"/>
      <c r="AJ69" s="3095"/>
      <c r="AK69" s="3094"/>
    </row>
    <row r="70" spans="1:37">
      <c r="A70" s="3669">
        <v>62</v>
      </c>
      <c r="B70" s="3099"/>
      <c r="C70" s="3099" t="s">
        <v>2687</v>
      </c>
      <c r="D70" s="3099"/>
      <c r="E70" s="3102">
        <f t="shared" ref="E70:M70" si="8">SUM(E59:E69)</f>
        <v>16365326</v>
      </c>
      <c r="F70" s="3102">
        <f t="shared" si="8"/>
        <v>7552110.4697280079</v>
      </c>
      <c r="G70" s="3102">
        <f t="shared" si="8"/>
        <v>0</v>
      </c>
      <c r="H70" s="3102">
        <f t="shared" si="8"/>
        <v>0</v>
      </c>
      <c r="I70" s="3102">
        <f t="shared" si="8"/>
        <v>-5454688.5583599992</v>
      </c>
      <c r="J70" s="3102">
        <f t="shared" si="8"/>
        <v>3358526.9719119933</v>
      </c>
      <c r="K70" s="3827">
        <f t="shared" si="8"/>
        <v>167926.34859559967</v>
      </c>
      <c r="L70" s="3102">
        <f t="shared" si="8"/>
        <v>251889.52289339952</v>
      </c>
      <c r="M70" s="3827">
        <f t="shared" si="8"/>
        <v>83963.174297799866</v>
      </c>
      <c r="T70" s="273"/>
      <c r="U70" s="3104"/>
      <c r="AC70" s="3669">
        <v>62</v>
      </c>
      <c r="AD70" s="3099"/>
      <c r="AE70" s="3099" t="s">
        <v>2687</v>
      </c>
      <c r="AF70" s="3099"/>
      <c r="AG70" s="3102">
        <v>3419137.848806994</v>
      </c>
      <c r="AH70" s="3102">
        <v>3358526.9719119933</v>
      </c>
      <c r="AI70" s="3813"/>
      <c r="AJ70" s="3098"/>
      <c r="AK70" s="3813"/>
    </row>
    <row r="71" spans="1:37">
      <c r="A71" s="3669">
        <v>63</v>
      </c>
      <c r="B71" s="3101"/>
      <c r="C71" s="3106" t="s">
        <v>2686</v>
      </c>
      <c r="D71" s="3101"/>
      <c r="E71" s="3100"/>
      <c r="F71" s="3100"/>
      <c r="G71" s="3100"/>
      <c r="H71" s="3100"/>
      <c r="I71" s="3100"/>
      <c r="J71" s="3100"/>
      <c r="K71" s="3816"/>
      <c r="L71" s="3100"/>
      <c r="M71" s="3816"/>
      <c r="T71" s="273"/>
      <c r="U71" s="3104"/>
      <c r="AC71" s="3669">
        <v>63</v>
      </c>
      <c r="AD71" s="3101"/>
      <c r="AE71" s="3106" t="s">
        <v>2686</v>
      </c>
      <c r="AF71" s="3101"/>
      <c r="AG71" s="3100"/>
      <c r="AH71" s="3100"/>
      <c r="AI71" s="3816"/>
      <c r="AJ71" s="3100"/>
      <c r="AK71" s="3816"/>
    </row>
    <row r="72" spans="1:37">
      <c r="A72" s="3669">
        <v>64</v>
      </c>
      <c r="B72" s="3101" t="s">
        <v>2685</v>
      </c>
      <c r="C72" s="3101" t="s">
        <v>233</v>
      </c>
      <c r="D72" s="3101"/>
      <c r="E72" s="3100">
        <v>38367</v>
      </c>
      <c r="F72" s="3104">
        <f>U20</f>
        <v>35508.660000000011</v>
      </c>
      <c r="J72" s="3095">
        <f t="shared" si="0"/>
        <v>2858.3399999999892</v>
      </c>
      <c r="K72" s="3094">
        <f t="shared" si="4"/>
        <v>142.91699999999946</v>
      </c>
      <c r="L72" s="3095">
        <f t="shared" si="4"/>
        <v>214.37549999999922</v>
      </c>
      <c r="M72" s="3094">
        <f t="shared" si="2"/>
        <v>71.458499999999759</v>
      </c>
      <c r="T72" s="273"/>
      <c r="U72" s="3104"/>
      <c r="AC72" s="3669">
        <v>64</v>
      </c>
      <c r="AD72" s="3101" t="s">
        <v>2685</v>
      </c>
      <c r="AE72" s="3101" t="s">
        <v>233</v>
      </c>
      <c r="AF72" s="3101"/>
      <c r="AG72" s="3095">
        <v>7294.9699999999993</v>
      </c>
      <c r="AH72" s="3095">
        <v>2858.3399999999892</v>
      </c>
      <c r="AI72" s="3094"/>
      <c r="AJ72" s="3095"/>
      <c r="AK72" s="3094"/>
    </row>
    <row r="73" spans="1:37">
      <c r="A73" s="3669">
        <v>65</v>
      </c>
      <c r="B73" s="3101" t="s">
        <v>2684</v>
      </c>
      <c r="C73" s="3101" t="s">
        <v>253</v>
      </c>
      <c r="D73" s="3101"/>
      <c r="E73" s="3100">
        <v>1013924</v>
      </c>
      <c r="F73" s="3104">
        <f>U21</f>
        <v>587680.6100000001</v>
      </c>
      <c r="J73" s="3095">
        <f t="shared" si="0"/>
        <v>426243.3899999999</v>
      </c>
      <c r="K73" s="3094">
        <f t="shared" si="4"/>
        <v>21312.169499999996</v>
      </c>
      <c r="L73" s="3095">
        <f t="shared" si="4"/>
        <v>31968.254249999998</v>
      </c>
      <c r="M73" s="3094">
        <f t="shared" si="2"/>
        <v>10656.084750000002</v>
      </c>
      <c r="T73" s="273"/>
      <c r="U73" s="3104"/>
      <c r="AC73" s="3669">
        <v>65</v>
      </c>
      <c r="AD73" s="3101" t="s">
        <v>2684</v>
      </c>
      <c r="AE73" s="3101" t="s">
        <v>253</v>
      </c>
      <c r="AF73" s="3101"/>
      <c r="AG73" s="3095">
        <v>414324.68999999843</v>
      </c>
      <c r="AH73" s="3095">
        <v>426243.3899999999</v>
      </c>
      <c r="AI73" s="3094"/>
      <c r="AJ73" s="3095"/>
      <c r="AK73" s="3094"/>
    </row>
    <row r="74" spans="1:37">
      <c r="A74" s="3669">
        <v>66</v>
      </c>
      <c r="B74" s="3101" t="s">
        <v>2683</v>
      </c>
      <c r="C74" s="3101" t="s">
        <v>316</v>
      </c>
      <c r="D74" s="3101"/>
      <c r="E74" s="3100">
        <v>0</v>
      </c>
      <c r="J74" s="3095">
        <f t="shared" si="0"/>
        <v>0</v>
      </c>
      <c r="K74" s="3094">
        <f t="shared" si="4"/>
        <v>0</v>
      </c>
      <c r="L74" s="3095">
        <f t="shared" si="4"/>
        <v>0</v>
      </c>
      <c r="M74" s="3094">
        <f t="shared" si="2"/>
        <v>0</v>
      </c>
      <c r="T74" s="273"/>
      <c r="U74" s="3104"/>
      <c r="AC74" s="3669">
        <v>66</v>
      </c>
      <c r="AD74" s="3101" t="s">
        <v>2683</v>
      </c>
      <c r="AE74" s="3101" t="s">
        <v>316</v>
      </c>
      <c r="AF74" s="3101"/>
      <c r="AG74" s="3095">
        <v>0</v>
      </c>
      <c r="AH74" s="3095">
        <v>0</v>
      </c>
      <c r="AI74" s="3094"/>
      <c r="AJ74" s="3095"/>
      <c r="AK74" s="3094"/>
    </row>
    <row r="75" spans="1:37">
      <c r="A75" s="3669">
        <v>67</v>
      </c>
      <c r="B75" s="3101" t="s">
        <v>2682</v>
      </c>
      <c r="C75" s="3101" t="s">
        <v>2681</v>
      </c>
      <c r="D75" s="3101"/>
      <c r="E75" s="3100">
        <v>187900</v>
      </c>
      <c r="F75" s="3104">
        <f>U22</f>
        <v>92112.832272000014</v>
      </c>
      <c r="J75" s="3095">
        <f t="shared" si="0"/>
        <v>95787.167727999986</v>
      </c>
      <c r="K75" s="3094">
        <f t="shared" si="4"/>
        <v>4789.3583863999993</v>
      </c>
      <c r="L75" s="3095">
        <f t="shared" si="4"/>
        <v>7184.0375795999998</v>
      </c>
      <c r="M75" s="3094">
        <f t="shared" si="2"/>
        <v>2394.6791932000006</v>
      </c>
      <c r="T75" s="273"/>
      <c r="U75" s="3104"/>
      <c r="AC75" s="3669">
        <v>67</v>
      </c>
      <c r="AD75" s="3101" t="s">
        <v>2682</v>
      </c>
      <c r="AE75" s="3101" t="s">
        <v>2681</v>
      </c>
      <c r="AF75" s="3101"/>
      <c r="AG75" s="3095">
        <v>90576.959792000096</v>
      </c>
      <c r="AH75" s="3095">
        <v>95787.167727999986</v>
      </c>
      <c r="AI75" s="3094"/>
      <c r="AJ75" s="3095"/>
      <c r="AK75" s="3094"/>
    </row>
    <row r="76" spans="1:37">
      <c r="A76" s="3669">
        <v>68</v>
      </c>
      <c r="B76" s="3101" t="s">
        <v>2680</v>
      </c>
      <c r="C76" s="3101" t="s">
        <v>2679</v>
      </c>
      <c r="D76" s="3101"/>
      <c r="E76" s="3100">
        <v>19751</v>
      </c>
      <c r="F76" s="3104">
        <f t="shared" ref="F76:F80" si="9">U23</f>
        <v>4245.4887679999993</v>
      </c>
      <c r="J76" s="3095">
        <f t="shared" ref="J76:J80" si="10">E76-SUM(F76:H76)+I76</f>
        <v>15505.511232000001</v>
      </c>
      <c r="K76" s="3094">
        <f t="shared" si="4"/>
        <v>775.27556160000006</v>
      </c>
      <c r="L76" s="3095">
        <f t="shared" si="4"/>
        <v>1162.9133424000001</v>
      </c>
      <c r="M76" s="3094">
        <f t="shared" ref="M76:M80" si="11">L76-K76</f>
        <v>387.63778080000009</v>
      </c>
      <c r="T76" s="273"/>
      <c r="U76" s="3104"/>
      <c r="AC76" s="3669">
        <v>68</v>
      </c>
      <c r="AD76" s="3101" t="s">
        <v>2680</v>
      </c>
      <c r="AE76" s="3101" t="s">
        <v>2679</v>
      </c>
      <c r="AF76" s="3101"/>
      <c r="AG76" s="3095">
        <v>2720.0654400000012</v>
      </c>
      <c r="AH76" s="3095">
        <v>15505.511232000001</v>
      </c>
      <c r="AI76" s="3094"/>
      <c r="AJ76" s="3095"/>
      <c r="AK76" s="3094"/>
    </row>
    <row r="77" spans="1:37">
      <c r="A77" s="3669">
        <v>69</v>
      </c>
      <c r="B77" s="3101" t="s">
        <v>2678</v>
      </c>
      <c r="C77" s="3101" t="s">
        <v>2677</v>
      </c>
      <c r="D77" s="3101"/>
      <c r="E77" s="3100">
        <v>61936</v>
      </c>
      <c r="F77" s="3104">
        <f t="shared" si="9"/>
        <v>31005.977887999994</v>
      </c>
      <c r="J77" s="3095">
        <f t="shared" si="10"/>
        <v>30930.022112000006</v>
      </c>
      <c r="K77" s="3094">
        <f t="shared" si="4"/>
        <v>1546.5011056000003</v>
      </c>
      <c r="L77" s="3095">
        <f t="shared" si="4"/>
        <v>2319.7516584000009</v>
      </c>
      <c r="M77" s="3094">
        <f t="shared" si="11"/>
        <v>773.25055280000061</v>
      </c>
      <c r="T77" s="273"/>
      <c r="U77" s="3104"/>
      <c r="AC77" s="3669">
        <v>69</v>
      </c>
      <c r="AD77" s="3101" t="s">
        <v>2678</v>
      </c>
      <c r="AE77" s="3101" t="s">
        <v>2677</v>
      </c>
      <c r="AF77" s="3101"/>
      <c r="AG77" s="3095">
        <v>45650.633040000001</v>
      </c>
      <c r="AH77" s="3095">
        <v>30930.022112000006</v>
      </c>
      <c r="AI77" s="3094"/>
      <c r="AJ77" s="3095"/>
      <c r="AK77" s="3094"/>
    </row>
    <row r="78" spans="1:37">
      <c r="A78" s="3669">
        <v>70</v>
      </c>
      <c r="B78" s="3101" t="s">
        <v>2676</v>
      </c>
      <c r="C78" s="3101" t="s">
        <v>254</v>
      </c>
      <c r="D78" s="3101"/>
      <c r="E78" s="3100">
        <v>1084925</v>
      </c>
      <c r="F78" s="3104">
        <f t="shared" si="9"/>
        <v>638733.54000000039</v>
      </c>
      <c r="I78" s="3100">
        <v>0</v>
      </c>
      <c r="J78" s="3095">
        <f t="shared" si="10"/>
        <v>446191.45999999961</v>
      </c>
      <c r="K78" s="3094">
        <f t="shared" si="4"/>
        <v>22309.572999999982</v>
      </c>
      <c r="L78" s="3095">
        <f t="shared" si="4"/>
        <v>33464.359499999977</v>
      </c>
      <c r="M78" s="3094">
        <f t="shared" si="11"/>
        <v>11154.786499999995</v>
      </c>
      <c r="T78" s="273"/>
      <c r="U78" s="3104"/>
      <c r="AC78" s="3669">
        <v>70</v>
      </c>
      <c r="AD78" s="3101" t="s">
        <v>2676</v>
      </c>
      <c r="AE78" s="3101" t="s">
        <v>254</v>
      </c>
      <c r="AF78" s="3101"/>
      <c r="AG78" s="3095">
        <v>506544.34999999928</v>
      </c>
      <c r="AH78" s="3095">
        <v>446191.45999999961</v>
      </c>
      <c r="AI78" s="3094"/>
      <c r="AJ78" s="3095"/>
      <c r="AK78" s="3094"/>
    </row>
    <row r="79" spans="1:37">
      <c r="A79" s="3669">
        <v>71</v>
      </c>
      <c r="B79" s="3101" t="s">
        <v>2675</v>
      </c>
      <c r="C79" s="3101" t="s">
        <v>255</v>
      </c>
      <c r="D79" s="3101"/>
      <c r="E79" s="3100">
        <v>1284803</v>
      </c>
      <c r="F79" s="3104">
        <f t="shared" si="9"/>
        <v>835899.62651200057</v>
      </c>
      <c r="J79" s="3095">
        <f t="shared" si="10"/>
        <v>448903.37348799943</v>
      </c>
      <c r="K79" s="3094">
        <f t="shared" si="4"/>
        <v>22445.168674399974</v>
      </c>
      <c r="L79" s="3095">
        <f t="shared" si="4"/>
        <v>33667.753011599962</v>
      </c>
      <c r="M79" s="3094">
        <f t="shared" si="11"/>
        <v>11222.584337199987</v>
      </c>
      <c r="T79" s="273"/>
      <c r="U79" s="3104"/>
      <c r="AC79" s="3669">
        <v>71</v>
      </c>
      <c r="AD79" s="3101" t="s">
        <v>2675</v>
      </c>
      <c r="AE79" s="3101" t="s">
        <v>255</v>
      </c>
      <c r="AF79" s="3101"/>
      <c r="AG79" s="3095">
        <v>541776.40398399963</v>
      </c>
      <c r="AH79" s="3095">
        <v>448903.37348799943</v>
      </c>
      <c r="AI79" s="3094"/>
      <c r="AJ79" s="3095"/>
      <c r="AK79" s="3094"/>
    </row>
    <row r="80" spans="1:37">
      <c r="A80" s="3669">
        <v>72</v>
      </c>
      <c r="B80" s="3101" t="s">
        <v>2674</v>
      </c>
      <c r="C80" s="3101" t="s">
        <v>235</v>
      </c>
      <c r="D80" s="3101"/>
      <c r="E80" s="3100">
        <v>172690</v>
      </c>
      <c r="F80" s="3104">
        <f t="shared" si="9"/>
        <v>66995.465471999996</v>
      </c>
      <c r="J80" s="3095">
        <f t="shared" si="10"/>
        <v>105694.534528</v>
      </c>
      <c r="K80" s="3094">
        <f t="shared" si="4"/>
        <v>5284.7267264000002</v>
      </c>
      <c r="L80" s="3095">
        <f t="shared" si="4"/>
        <v>7927.0900896000012</v>
      </c>
      <c r="M80" s="3094">
        <f t="shared" si="11"/>
        <v>2642.363363200001</v>
      </c>
      <c r="T80" s="273"/>
      <c r="U80" s="3104"/>
      <c r="AC80" s="3669">
        <v>72</v>
      </c>
      <c r="AD80" s="3101" t="s">
        <v>2674</v>
      </c>
      <c r="AE80" s="3101" t="s">
        <v>235</v>
      </c>
      <c r="AF80" s="3101"/>
      <c r="AG80" s="3095">
        <v>47116.066047999979</v>
      </c>
      <c r="AH80" s="3095">
        <v>105694.534528</v>
      </c>
      <c r="AI80" s="3094"/>
      <c r="AJ80" s="3095"/>
      <c r="AK80" s="3094"/>
    </row>
    <row r="81" spans="1:37">
      <c r="A81" s="3669">
        <v>73</v>
      </c>
      <c r="B81" s="3099"/>
      <c r="C81" s="3099" t="s">
        <v>2673</v>
      </c>
      <c r="D81" s="3099"/>
      <c r="E81" s="3102">
        <f t="shared" ref="E81:L81" si="12">SUM(E72:E76)+ SUM(E77:E80)</f>
        <v>3864296</v>
      </c>
      <c r="F81" s="3102">
        <f t="shared" si="12"/>
        <v>2292182.2009120011</v>
      </c>
      <c r="G81" s="3102">
        <f t="shared" si="12"/>
        <v>0</v>
      </c>
      <c r="H81" s="3102">
        <f t="shared" si="12"/>
        <v>0</v>
      </c>
      <c r="I81" s="3102">
        <f t="shared" si="12"/>
        <v>0</v>
      </c>
      <c r="J81" s="3102">
        <f t="shared" si="12"/>
        <v>1572113.7990879989</v>
      </c>
      <c r="K81" s="3827">
        <f t="shared" si="12"/>
        <v>78605.689954399946</v>
      </c>
      <c r="L81" s="3102">
        <f t="shared" si="12"/>
        <v>117908.53493159993</v>
      </c>
      <c r="M81" s="3827">
        <f t="shared" ref="M81" si="13">SUM(M72:M76)+ SUM(M77:M80)</f>
        <v>39302.844977199988</v>
      </c>
      <c r="O81" s="3776" t="s">
        <v>3445</v>
      </c>
      <c r="T81" s="273"/>
      <c r="U81" s="3104"/>
      <c r="AC81" s="3669">
        <v>73</v>
      </c>
      <c r="AD81" s="3099"/>
      <c r="AE81" s="3099" t="s">
        <v>2673</v>
      </c>
      <c r="AF81" s="3099"/>
      <c r="AG81" s="3102">
        <v>1656004.1383039975</v>
      </c>
      <c r="AH81" s="3102">
        <v>1572113.7990879989</v>
      </c>
      <c r="AI81" s="3813"/>
      <c r="AJ81" s="3098"/>
      <c r="AK81" s="3813"/>
    </row>
    <row r="82" spans="1:37" ht="16" thickBot="1">
      <c r="A82" s="3669">
        <v>74</v>
      </c>
      <c r="B82" s="3101"/>
      <c r="C82" s="3101"/>
      <c r="D82" s="3101"/>
      <c r="E82" s="3105"/>
      <c r="F82" s="3105"/>
      <c r="G82" s="3105"/>
      <c r="H82" s="3105"/>
      <c r="I82" s="3105"/>
      <c r="J82" s="3105"/>
      <c r="K82" s="3815"/>
      <c r="L82" s="3105"/>
      <c r="M82" s="3815"/>
      <c r="O82" s="3778">
        <v>2023</v>
      </c>
      <c r="P82" s="3779" t="s">
        <v>3447</v>
      </c>
      <c r="Q82" s="3779" t="s">
        <v>2565</v>
      </c>
      <c r="T82" s="273"/>
      <c r="U82" s="3104"/>
      <c r="AC82" s="3669">
        <v>74</v>
      </c>
      <c r="AD82" s="3101"/>
      <c r="AE82" s="3101"/>
      <c r="AF82" s="3101"/>
      <c r="AG82" s="3105"/>
      <c r="AH82" s="3105"/>
      <c r="AI82" s="3815"/>
      <c r="AJ82" s="3105"/>
      <c r="AK82" s="3815"/>
    </row>
    <row r="83" spans="1:37" ht="16" thickBot="1">
      <c r="A83" s="3669">
        <v>75</v>
      </c>
      <c r="B83" s="3099"/>
      <c r="C83" s="3099" t="s">
        <v>2672</v>
      </c>
      <c r="D83" s="3099"/>
      <c r="E83" s="3098">
        <f t="shared" ref="E83:M83" si="14">E70+E81</f>
        <v>20229622</v>
      </c>
      <c r="F83" s="3098">
        <f t="shared" si="14"/>
        <v>9844292.6706400085</v>
      </c>
      <c r="G83" s="3098">
        <f t="shared" si="14"/>
        <v>0</v>
      </c>
      <c r="H83" s="3098">
        <f t="shared" si="14"/>
        <v>0</v>
      </c>
      <c r="I83" s="3098">
        <f t="shared" si="14"/>
        <v>-5454688.5583599992</v>
      </c>
      <c r="J83" s="3098">
        <f t="shared" si="14"/>
        <v>4930640.7709999923</v>
      </c>
      <c r="K83" s="3813">
        <f t="shared" si="14"/>
        <v>246532.03854999962</v>
      </c>
      <c r="L83" s="3098">
        <f t="shared" si="14"/>
        <v>369798.05782499944</v>
      </c>
      <c r="M83" s="3813">
        <f t="shared" si="14"/>
        <v>123266.01927499985</v>
      </c>
      <c r="O83" s="3776">
        <f>'[4]Nat Gas - 06.2023 vs 12.2023'!H83</f>
        <v>-144501.21611099876</v>
      </c>
      <c r="P83" s="3780">
        <f>K83+O83</f>
        <v>102030.82243900085</v>
      </c>
      <c r="Q83" s="3781">
        <f>M83</f>
        <v>123266.01927499985</v>
      </c>
      <c r="T83" s="273"/>
      <c r="U83" s="3104"/>
      <c r="AC83" s="3669">
        <v>75</v>
      </c>
      <c r="AD83" s="3099"/>
      <c r="AE83" s="3099" t="s">
        <v>2672</v>
      </c>
      <c r="AF83" s="3099"/>
      <c r="AG83" s="3098">
        <v>5075141.987110991</v>
      </c>
      <c r="AH83" s="3098">
        <v>4930640.7709999923</v>
      </c>
      <c r="AI83" s="3813"/>
      <c r="AJ83" s="3814">
        <f>AH83-AG83</f>
        <v>-144501.21611099876</v>
      </c>
      <c r="AK83" s="3813"/>
    </row>
    <row r="84" spans="1:37">
      <c r="A84" s="3669">
        <v>76</v>
      </c>
      <c r="B84" s="3101"/>
      <c r="C84" s="3101"/>
      <c r="D84" s="3101"/>
      <c r="E84" s="3100"/>
      <c r="F84" s="3100"/>
      <c r="G84" s="3100"/>
      <c r="H84" s="3100"/>
      <c r="I84" s="3100"/>
      <c r="J84" s="3100"/>
      <c r="K84" s="3816"/>
      <c r="L84" s="3100"/>
      <c r="M84" s="3094">
        <f t="shared" ref="M84:M120" si="15">L84-K84</f>
        <v>0</v>
      </c>
      <c r="T84" s="273"/>
      <c r="U84" s="3104"/>
      <c r="AC84" s="3669">
        <v>76</v>
      </c>
      <c r="AD84" s="3101"/>
      <c r="AE84" s="3101"/>
      <c r="AF84" s="3101"/>
      <c r="AG84" s="3100"/>
      <c r="AH84" s="3100"/>
      <c r="AI84" s="3816"/>
      <c r="AJ84" s="3100"/>
      <c r="AK84" s="3094"/>
    </row>
    <row r="85" spans="1:37">
      <c r="A85" s="3669">
        <v>77</v>
      </c>
      <c r="B85" s="3101"/>
      <c r="C85" s="3099" t="s">
        <v>2671</v>
      </c>
      <c r="D85" s="3101"/>
      <c r="E85" s="3100"/>
      <c r="F85" s="3100"/>
      <c r="G85" s="3100"/>
      <c r="H85" s="3100"/>
      <c r="I85" s="3100"/>
      <c r="J85" s="3100"/>
      <c r="K85" s="3816"/>
      <c r="L85" s="3100"/>
      <c r="M85" s="3094">
        <f t="shared" si="15"/>
        <v>0</v>
      </c>
      <c r="T85" s="273"/>
      <c r="U85" s="3104"/>
      <c r="AC85" s="3669">
        <v>77</v>
      </c>
      <c r="AD85" s="3101"/>
      <c r="AE85" s="3099" t="s">
        <v>2671</v>
      </c>
      <c r="AF85" s="3101"/>
      <c r="AG85" s="3100"/>
      <c r="AH85" s="3100"/>
      <c r="AI85" s="3816"/>
      <c r="AJ85" s="3100"/>
      <c r="AK85" s="3094"/>
    </row>
    <row r="86" spans="1:37">
      <c r="A86" s="3669">
        <v>78</v>
      </c>
      <c r="B86" s="3101" t="s">
        <v>2670</v>
      </c>
      <c r="C86" s="3101" t="s">
        <v>261</v>
      </c>
      <c r="D86" s="3101"/>
      <c r="E86" s="3100">
        <v>58124</v>
      </c>
      <c r="F86" s="3100">
        <f>U28</f>
        <v>54497.548023099989</v>
      </c>
      <c r="G86" s="3100"/>
      <c r="H86" s="3100"/>
      <c r="I86" s="3100"/>
      <c r="J86" s="3095">
        <f t="shared" ref="J86:J120" si="16">E86-SUM(F86:H86)+I86</f>
        <v>3626.4519769000108</v>
      </c>
      <c r="K86" s="3094">
        <f t="shared" si="4"/>
        <v>181.32259884500056</v>
      </c>
      <c r="L86" s="3095">
        <f t="shared" si="4"/>
        <v>271.98389826750088</v>
      </c>
      <c r="M86" s="3094">
        <f t="shared" si="15"/>
        <v>90.661299422500321</v>
      </c>
      <c r="T86" s="273"/>
      <c r="U86" s="3104"/>
      <c r="AC86" s="3669">
        <v>78</v>
      </c>
      <c r="AD86" s="3101" t="s">
        <v>2670</v>
      </c>
      <c r="AE86" s="3101" t="s">
        <v>261</v>
      </c>
      <c r="AF86" s="3101"/>
      <c r="AG86" s="3095">
        <v>-1369.4959999999919</v>
      </c>
      <c r="AH86" s="3095">
        <v>3626.4519769000108</v>
      </c>
      <c r="AI86" s="3094"/>
      <c r="AJ86" s="3095"/>
      <c r="AK86" s="3094"/>
    </row>
    <row r="87" spans="1:37">
      <c r="A87" s="3669">
        <v>79</v>
      </c>
      <c r="B87" s="3101" t="s">
        <v>2669</v>
      </c>
      <c r="C87" s="3101" t="s">
        <v>2668</v>
      </c>
      <c r="D87" s="3101"/>
      <c r="E87" s="3100">
        <v>296375</v>
      </c>
      <c r="F87" s="3100">
        <f t="shared" ref="F87:F88" si="17">U29</f>
        <v>231298.59996630007</v>
      </c>
      <c r="G87" s="3100"/>
      <c r="H87" s="3100"/>
      <c r="I87" s="3100">
        <v>0</v>
      </c>
      <c r="J87" s="3095">
        <f t="shared" si="16"/>
        <v>65076.400033699931</v>
      </c>
      <c r="K87" s="3094">
        <f t="shared" si="4"/>
        <v>3253.8200016849969</v>
      </c>
      <c r="L87" s="3095">
        <f t="shared" si="4"/>
        <v>4880.7300025274953</v>
      </c>
      <c r="M87" s="3094">
        <f t="shared" si="15"/>
        <v>1626.9100008424984</v>
      </c>
      <c r="T87" s="273"/>
      <c r="U87" s="3104"/>
      <c r="AC87" s="3669">
        <v>79</v>
      </c>
      <c r="AD87" s="3101" t="s">
        <v>2669</v>
      </c>
      <c r="AE87" s="3101" t="s">
        <v>2668</v>
      </c>
      <c r="AF87" s="3101"/>
      <c r="AG87" s="3095">
        <v>99221.445107099891</v>
      </c>
      <c r="AH87" s="3095">
        <v>65076.400033699931</v>
      </c>
      <c r="AI87" s="3094"/>
      <c r="AJ87" s="3095"/>
      <c r="AK87" s="3094"/>
    </row>
    <row r="88" spans="1:37">
      <c r="A88" s="3669">
        <v>80</v>
      </c>
      <c r="B88" s="3101" t="s">
        <v>2667</v>
      </c>
      <c r="C88" s="3101" t="s">
        <v>2666</v>
      </c>
      <c r="D88" s="3101"/>
      <c r="E88" s="3100">
        <v>3555593</v>
      </c>
      <c r="F88" s="3100">
        <f t="shared" si="17"/>
        <v>2041691.6978347928</v>
      </c>
      <c r="G88" s="3100"/>
      <c r="H88" s="3100"/>
      <c r="I88" s="3100"/>
      <c r="J88" s="3095">
        <f t="shared" si="16"/>
        <v>1513901.3021652072</v>
      </c>
      <c r="K88" s="3094">
        <f t="shared" si="4"/>
        <v>75695.065108260358</v>
      </c>
      <c r="L88" s="3095">
        <f t="shared" si="4"/>
        <v>113542.59766239056</v>
      </c>
      <c r="M88" s="3094">
        <f t="shared" si="15"/>
        <v>37847.532554130201</v>
      </c>
      <c r="U88" s="3104"/>
      <c r="AC88" s="3669">
        <v>80</v>
      </c>
      <c r="AD88" s="3101" t="s">
        <v>2667</v>
      </c>
      <c r="AE88" s="3101" t="s">
        <v>2666</v>
      </c>
      <c r="AF88" s="3101"/>
      <c r="AG88" s="3095">
        <v>1482821.7363950976</v>
      </c>
      <c r="AH88" s="3095">
        <v>1513901.3021652072</v>
      </c>
      <c r="AI88" s="3094"/>
      <c r="AJ88" s="3095"/>
      <c r="AK88" s="3094"/>
    </row>
    <row r="89" spans="1:37">
      <c r="A89" s="3669">
        <v>81</v>
      </c>
      <c r="B89" s="3101" t="s">
        <v>2665</v>
      </c>
      <c r="C89" s="3101" t="s">
        <v>265</v>
      </c>
      <c r="D89" s="3101"/>
      <c r="E89" s="3100">
        <v>944032</v>
      </c>
      <c r="F89" s="3100"/>
      <c r="G89" s="3100"/>
      <c r="H89" s="3100">
        <f>E89</f>
        <v>944032</v>
      </c>
      <c r="I89" s="3100"/>
      <c r="J89" s="3095">
        <f t="shared" si="16"/>
        <v>0</v>
      </c>
      <c r="K89" s="3094">
        <f t="shared" si="4"/>
        <v>0</v>
      </c>
      <c r="L89" s="3095">
        <f t="shared" si="4"/>
        <v>0</v>
      </c>
      <c r="M89" s="3094">
        <f t="shared" si="15"/>
        <v>0</v>
      </c>
      <c r="O89" s="3776" t="s">
        <v>3445</v>
      </c>
      <c r="AC89" s="3669">
        <v>81</v>
      </c>
      <c r="AD89" s="3101" t="s">
        <v>2665</v>
      </c>
      <c r="AE89" s="3101" t="s">
        <v>265</v>
      </c>
      <c r="AF89" s="3101"/>
      <c r="AG89" s="3095">
        <v>0</v>
      </c>
      <c r="AH89" s="3095">
        <v>0</v>
      </c>
      <c r="AI89" s="3094"/>
      <c r="AJ89" s="3095"/>
      <c r="AK89" s="3094"/>
    </row>
    <row r="90" spans="1:37" ht="16" thickBot="1">
      <c r="A90" s="3669">
        <v>82</v>
      </c>
      <c r="B90" s="3101" t="s">
        <v>2664</v>
      </c>
      <c r="C90" s="3101" t="s">
        <v>2663</v>
      </c>
      <c r="D90" s="3101"/>
      <c r="E90" s="3100">
        <v>119204</v>
      </c>
      <c r="F90" s="3100">
        <f>U31</f>
        <v>97903.276109100436</v>
      </c>
      <c r="G90" s="3100"/>
      <c r="H90" s="3100"/>
      <c r="I90" s="3100"/>
      <c r="J90" s="3095">
        <f t="shared" si="16"/>
        <v>21300.723890899564</v>
      </c>
      <c r="K90" s="3094">
        <f t="shared" si="4"/>
        <v>1065.0361945449783</v>
      </c>
      <c r="L90" s="3095">
        <f t="shared" si="4"/>
        <v>1597.5542918174676</v>
      </c>
      <c r="M90" s="3094">
        <f t="shared" si="15"/>
        <v>532.51809727248929</v>
      </c>
      <c r="O90" s="3778">
        <v>2023</v>
      </c>
      <c r="P90" s="3779" t="s">
        <v>3447</v>
      </c>
      <c r="Q90" s="3779" t="s">
        <v>2565</v>
      </c>
      <c r="AC90" s="3669">
        <v>82</v>
      </c>
      <c r="AD90" s="3101" t="s">
        <v>2664</v>
      </c>
      <c r="AE90" s="3101" t="s">
        <v>2663</v>
      </c>
      <c r="AF90" s="3101"/>
      <c r="AG90" s="3095">
        <v>24280.603808699729</v>
      </c>
      <c r="AH90" s="3095">
        <v>21300.723890899564</v>
      </c>
      <c r="AI90" s="3094"/>
      <c r="AJ90" s="3095"/>
      <c r="AK90" s="3094"/>
    </row>
    <row r="91" spans="1:37" ht="16" thickBot="1">
      <c r="A91" s="3669">
        <v>83</v>
      </c>
      <c r="B91" s="3099"/>
      <c r="C91" s="3099" t="s">
        <v>2662</v>
      </c>
      <c r="D91" s="3099"/>
      <c r="E91" s="3102">
        <f t="shared" ref="E91:L91" si="18">SUM(E86:E90)</f>
        <v>4973328</v>
      </c>
      <c r="F91" s="3102">
        <f t="shared" si="18"/>
        <v>2425391.1219332931</v>
      </c>
      <c r="G91" s="3102">
        <f t="shared" si="18"/>
        <v>0</v>
      </c>
      <c r="H91" s="3102">
        <f t="shared" si="18"/>
        <v>944032</v>
      </c>
      <c r="I91" s="3102">
        <f t="shared" si="18"/>
        <v>0</v>
      </c>
      <c r="J91" s="3102">
        <f t="shared" si="18"/>
        <v>1603904.8780667069</v>
      </c>
      <c r="K91" s="3827">
        <f t="shared" si="18"/>
        <v>80195.243903335344</v>
      </c>
      <c r="L91" s="3102">
        <f t="shared" si="18"/>
        <v>120292.86585500302</v>
      </c>
      <c r="M91" s="3827">
        <f t="shared" ref="M91" si="19">SUM(M86:M90)</f>
        <v>40097.621951667694</v>
      </c>
      <c r="O91" s="3776">
        <f>'[4]Nat Gas - 06.2023 vs 12.2023'!H91</f>
        <v>-1049.411244190298</v>
      </c>
      <c r="P91" s="3780">
        <f>K91+O91</f>
        <v>79145.832659145046</v>
      </c>
      <c r="Q91" s="3781">
        <f>M91</f>
        <v>40097.621951667694</v>
      </c>
      <c r="AC91" s="3669">
        <v>83</v>
      </c>
      <c r="AD91" s="3099"/>
      <c r="AE91" s="3099" t="s">
        <v>2662</v>
      </c>
      <c r="AF91" s="3099"/>
      <c r="AG91" s="3102">
        <v>1604954.2893108972</v>
      </c>
      <c r="AH91" s="3102">
        <v>1603904.8780667069</v>
      </c>
      <c r="AI91" s="3813"/>
      <c r="AJ91" s="3814">
        <f>AH91-AG91</f>
        <v>-1049.411244190298</v>
      </c>
      <c r="AK91" s="3813"/>
    </row>
    <row r="92" spans="1:37">
      <c r="A92" s="3669">
        <v>84</v>
      </c>
      <c r="B92" s="3101"/>
      <c r="C92" s="3101"/>
      <c r="D92" s="3101"/>
      <c r="E92" s="3100"/>
      <c r="F92" s="3100"/>
      <c r="G92" s="3100"/>
      <c r="H92" s="3100"/>
      <c r="I92" s="3100"/>
      <c r="J92" s="3100"/>
      <c r="K92" s="3816"/>
      <c r="L92" s="3100"/>
      <c r="M92" s="3816"/>
      <c r="AC92" s="3669">
        <v>84</v>
      </c>
      <c r="AD92" s="3101"/>
      <c r="AE92" s="3101"/>
      <c r="AF92" s="3101"/>
      <c r="AG92" s="3100"/>
      <c r="AH92" s="3100"/>
      <c r="AI92" s="3816"/>
      <c r="AJ92" s="3100"/>
      <c r="AK92" s="3816"/>
    </row>
    <row r="93" spans="1:37">
      <c r="A93" s="3669">
        <v>85</v>
      </c>
      <c r="B93" s="3101"/>
      <c r="C93" s="3099" t="s">
        <v>2661</v>
      </c>
      <c r="D93" s="3101"/>
      <c r="E93" s="3100"/>
      <c r="F93" s="3100"/>
      <c r="G93" s="3100"/>
      <c r="H93" s="3100"/>
      <c r="I93" s="3100"/>
      <c r="J93" s="3100"/>
      <c r="K93" s="3816"/>
      <c r="L93" s="3100"/>
      <c r="M93" s="3816"/>
      <c r="AC93" s="3669">
        <v>85</v>
      </c>
      <c r="AD93" s="3101"/>
      <c r="AE93" s="3099" t="s">
        <v>2661</v>
      </c>
      <c r="AF93" s="3101"/>
      <c r="AG93" s="3100"/>
      <c r="AH93" s="3100"/>
      <c r="AI93" s="3816"/>
      <c r="AJ93" s="3100"/>
      <c r="AK93" s="3816"/>
    </row>
    <row r="94" spans="1:37">
      <c r="A94" s="3669">
        <v>86</v>
      </c>
      <c r="B94" s="3101" t="s">
        <v>2660</v>
      </c>
      <c r="C94" s="3101" t="s">
        <v>261</v>
      </c>
      <c r="D94" s="3101"/>
      <c r="E94" s="3100">
        <v>0</v>
      </c>
      <c r="F94" s="3100"/>
      <c r="G94" s="3100"/>
      <c r="H94" s="3100"/>
      <c r="I94" s="3100"/>
      <c r="J94" s="3095">
        <f t="shared" si="16"/>
        <v>0</v>
      </c>
      <c r="K94" s="3094">
        <f t="shared" ref="K94:L120" si="20">$J94*K$8</f>
        <v>0</v>
      </c>
      <c r="L94" s="3095">
        <f t="shared" si="20"/>
        <v>0</v>
      </c>
      <c r="M94" s="3094">
        <f t="shared" si="15"/>
        <v>0</v>
      </c>
      <c r="AC94" s="3669">
        <v>86</v>
      </c>
      <c r="AD94" s="3101" t="s">
        <v>2660</v>
      </c>
      <c r="AE94" s="3101" t="s">
        <v>261</v>
      </c>
      <c r="AF94" s="3101"/>
      <c r="AG94" s="3095">
        <v>0</v>
      </c>
      <c r="AH94" s="3095">
        <v>0</v>
      </c>
      <c r="AI94" s="3094"/>
      <c r="AJ94" s="3095"/>
      <c r="AK94" s="3094"/>
    </row>
    <row r="95" spans="1:37">
      <c r="A95" s="3669">
        <v>87</v>
      </c>
      <c r="B95" s="3101" t="s">
        <v>2659</v>
      </c>
      <c r="C95" s="3101" t="s">
        <v>270</v>
      </c>
      <c r="D95" s="3101"/>
      <c r="E95" s="3100">
        <v>14218797</v>
      </c>
      <c r="F95" s="3100">
        <f>U32</f>
        <v>125286.61319649999</v>
      </c>
      <c r="G95" s="3100"/>
      <c r="H95" s="3100"/>
      <c r="I95" s="3100">
        <f>-(13967818+86532)</f>
        <v>-14054350</v>
      </c>
      <c r="J95" s="3095">
        <f t="shared" si="16"/>
        <v>39160.386803500354</v>
      </c>
      <c r="K95" s="3094">
        <f t="shared" si="20"/>
        <v>1958.0193401750178</v>
      </c>
      <c r="L95" s="3095">
        <f t="shared" si="20"/>
        <v>2937.0290102625272</v>
      </c>
      <c r="M95" s="3094">
        <f t="shared" si="15"/>
        <v>979.00967008750945</v>
      </c>
      <c r="AC95" s="3669">
        <v>87</v>
      </c>
      <c r="AD95" s="3101" t="s">
        <v>2659</v>
      </c>
      <c r="AE95" s="3101" t="s">
        <v>270</v>
      </c>
      <c r="AF95" s="3101"/>
      <c r="AG95" s="3095">
        <v>141898.95506110042</v>
      </c>
      <c r="AH95" s="3095">
        <v>39160.386803500354</v>
      </c>
      <c r="AI95" s="3094"/>
      <c r="AJ95" s="3095"/>
      <c r="AK95" s="3094"/>
    </row>
    <row r="96" spans="1:37">
      <c r="A96" s="3669">
        <v>88</v>
      </c>
      <c r="B96" s="3101" t="s">
        <v>2658</v>
      </c>
      <c r="C96" s="3101" t="s">
        <v>271</v>
      </c>
      <c r="D96" s="3101"/>
      <c r="E96" s="3100">
        <v>361039</v>
      </c>
      <c r="F96" s="3100">
        <f t="shared" ref="F96:F97" si="21">U33</f>
        <v>16019.438661799999</v>
      </c>
      <c r="G96" s="3100"/>
      <c r="H96" s="3100"/>
      <c r="I96" s="3100">
        <v>0</v>
      </c>
      <c r="J96" s="3095">
        <f t="shared" si="16"/>
        <v>345019.5613382</v>
      </c>
      <c r="K96" s="3094">
        <f t="shared" si="20"/>
        <v>17250.97806691</v>
      </c>
      <c r="L96" s="3095">
        <f t="shared" si="20"/>
        <v>25876.467100365004</v>
      </c>
      <c r="M96" s="3094">
        <f t="shared" si="15"/>
        <v>8625.4890334550037</v>
      </c>
      <c r="O96" s="3776" t="s">
        <v>3445</v>
      </c>
      <c r="AC96" s="3669">
        <v>88</v>
      </c>
      <c r="AD96" s="3101" t="s">
        <v>2658</v>
      </c>
      <c r="AE96" s="3101" t="s">
        <v>271</v>
      </c>
      <c r="AF96" s="3101"/>
      <c r="AG96" s="3095">
        <v>343782.41278949997</v>
      </c>
      <c r="AH96" s="3095">
        <v>345019.5613382</v>
      </c>
      <c r="AI96" s="3094"/>
      <c r="AJ96" s="3095"/>
      <c r="AK96" s="3094"/>
    </row>
    <row r="97" spans="1:37" ht="16" thickBot="1">
      <c r="A97" s="3669">
        <v>89</v>
      </c>
      <c r="B97" s="3101" t="s">
        <v>2657</v>
      </c>
      <c r="C97" s="3101" t="s">
        <v>2656</v>
      </c>
      <c r="D97" s="3101"/>
      <c r="E97" s="3100">
        <v>98322</v>
      </c>
      <c r="F97" s="3100">
        <f t="shared" si="21"/>
        <v>23945.0130661</v>
      </c>
      <c r="G97" s="3100"/>
      <c r="H97" s="3100"/>
      <c r="I97" s="3100">
        <v>0</v>
      </c>
      <c r="J97" s="3095">
        <f t="shared" si="16"/>
        <v>74376.9869339</v>
      </c>
      <c r="K97" s="3094">
        <f t="shared" si="20"/>
        <v>3718.8493466950003</v>
      </c>
      <c r="L97" s="3095">
        <f t="shared" si="20"/>
        <v>5578.2740200425005</v>
      </c>
      <c r="M97" s="3094">
        <f t="shared" si="15"/>
        <v>1859.4246733475002</v>
      </c>
      <c r="O97" s="3778">
        <v>2023</v>
      </c>
      <c r="P97" s="3779" t="s">
        <v>3447</v>
      </c>
      <c r="Q97" s="3779" t="s">
        <v>2565</v>
      </c>
      <c r="AC97" s="3669">
        <v>89</v>
      </c>
      <c r="AD97" s="3101" t="s">
        <v>2657</v>
      </c>
      <c r="AE97" s="3101" t="s">
        <v>2656</v>
      </c>
      <c r="AF97" s="3101"/>
      <c r="AG97" s="3095">
        <v>82502.639397999999</v>
      </c>
      <c r="AH97" s="3095">
        <v>74376.9869339</v>
      </c>
      <c r="AI97" s="3094"/>
      <c r="AJ97" s="3095"/>
      <c r="AK97" s="3094"/>
    </row>
    <row r="98" spans="1:37" ht="16" thickBot="1">
      <c r="A98" s="3669">
        <v>90</v>
      </c>
      <c r="B98" s="3099"/>
      <c r="C98" s="3099" t="s">
        <v>2655</v>
      </c>
      <c r="D98" s="3099"/>
      <c r="E98" s="3102">
        <f t="shared" ref="E98:L98" si="22">SUM(E94:E97)</f>
        <v>14678158</v>
      </c>
      <c r="F98" s="3102">
        <f t="shared" si="22"/>
        <v>165251.06492440001</v>
      </c>
      <c r="G98" s="3102">
        <f t="shared" si="22"/>
        <v>0</v>
      </c>
      <c r="H98" s="3102">
        <f t="shared" si="22"/>
        <v>0</v>
      </c>
      <c r="I98" s="3102">
        <f t="shared" si="22"/>
        <v>-14054350</v>
      </c>
      <c r="J98" s="3102">
        <f t="shared" si="22"/>
        <v>458556.93507560034</v>
      </c>
      <c r="K98" s="3827">
        <f t="shared" si="22"/>
        <v>22927.846753780017</v>
      </c>
      <c r="L98" s="3102">
        <f t="shared" si="22"/>
        <v>34391.770130670033</v>
      </c>
      <c r="M98" s="3827">
        <f t="shared" ref="M98" si="23">SUM(M94:M97)</f>
        <v>11463.923376890012</v>
      </c>
      <c r="O98" s="3776">
        <f>'[4]Nat Gas - 06.2023 vs 12.2023'!H98</f>
        <v>-109627.07217300002</v>
      </c>
      <c r="P98" s="3780">
        <f>K98+O98</f>
        <v>-86699.225419220005</v>
      </c>
      <c r="Q98" s="3781">
        <f>M98</f>
        <v>11463.923376890012</v>
      </c>
      <c r="AC98" s="3669">
        <v>90</v>
      </c>
      <c r="AD98" s="3099"/>
      <c r="AE98" s="3099" t="s">
        <v>2655</v>
      </c>
      <c r="AF98" s="3099"/>
      <c r="AG98" s="3102">
        <v>568184.00724860036</v>
      </c>
      <c r="AH98" s="3102">
        <v>458556.93507560034</v>
      </c>
      <c r="AI98" s="3813"/>
      <c r="AJ98" s="3814">
        <f>AH98-AG98</f>
        <v>-109627.07217300002</v>
      </c>
      <c r="AK98" s="3813"/>
    </row>
    <row r="99" spans="1:37">
      <c r="A99" s="3669">
        <v>91</v>
      </c>
      <c r="B99" s="3101"/>
      <c r="C99" s="3101"/>
      <c r="D99" s="3101"/>
      <c r="E99" s="3100"/>
      <c r="F99" s="3100"/>
      <c r="G99" s="3100"/>
      <c r="H99" s="3100"/>
      <c r="I99" s="3100"/>
      <c r="J99" s="3100"/>
      <c r="K99" s="3816"/>
      <c r="L99" s="3100"/>
      <c r="M99" s="3816"/>
      <c r="AC99" s="3669">
        <v>91</v>
      </c>
      <c r="AD99" s="3101"/>
      <c r="AE99" s="3101"/>
      <c r="AF99" s="3101"/>
      <c r="AG99" s="3100"/>
      <c r="AH99" s="3100"/>
      <c r="AI99" s="3816"/>
      <c r="AJ99" s="3100"/>
      <c r="AK99" s="3816"/>
    </row>
    <row r="100" spans="1:37">
      <c r="A100" s="3669">
        <v>92</v>
      </c>
      <c r="B100" s="3101"/>
      <c r="C100" s="3099" t="s">
        <v>49</v>
      </c>
      <c r="D100" s="3101"/>
      <c r="E100" s="3100"/>
      <c r="F100" s="3100"/>
      <c r="G100" s="3100"/>
      <c r="H100" s="3100"/>
      <c r="I100" s="3100"/>
      <c r="J100" s="3100"/>
      <c r="K100" s="3816"/>
      <c r="L100" s="3100"/>
      <c r="M100" s="3816"/>
      <c r="AC100" s="3669">
        <v>92</v>
      </c>
      <c r="AD100" s="3101"/>
      <c r="AE100" s="3099" t="s">
        <v>49</v>
      </c>
      <c r="AF100" s="3101"/>
      <c r="AG100" s="3100"/>
      <c r="AH100" s="3100"/>
      <c r="AI100" s="3816"/>
      <c r="AJ100" s="3100"/>
      <c r="AK100" s="3816"/>
    </row>
    <row r="101" spans="1:37">
      <c r="A101" s="3669">
        <v>93</v>
      </c>
      <c r="B101" s="3101" t="s">
        <v>2654</v>
      </c>
      <c r="C101" s="3101" t="s">
        <v>261</v>
      </c>
      <c r="D101" s="3101"/>
      <c r="E101" s="3100">
        <v>0</v>
      </c>
      <c r="J101" s="3095">
        <f t="shared" si="16"/>
        <v>0</v>
      </c>
      <c r="K101" s="3094">
        <f t="shared" si="20"/>
        <v>0</v>
      </c>
      <c r="L101" s="3095">
        <f t="shared" si="20"/>
        <v>0</v>
      </c>
      <c r="M101" s="3094">
        <f t="shared" si="15"/>
        <v>0</v>
      </c>
      <c r="AC101" s="3669">
        <v>93</v>
      </c>
      <c r="AD101" s="3101" t="s">
        <v>2654</v>
      </c>
      <c r="AE101" s="3101" t="s">
        <v>261</v>
      </c>
      <c r="AF101" s="3101"/>
      <c r="AG101" s="3095">
        <v>0</v>
      </c>
      <c r="AH101" s="3095">
        <v>0</v>
      </c>
      <c r="AI101" s="3094"/>
      <c r="AJ101" s="3095"/>
      <c r="AK101" s="3094"/>
    </row>
    <row r="102" spans="1:37">
      <c r="A102" s="3669">
        <v>94</v>
      </c>
      <c r="B102" s="3101" t="s">
        <v>2653</v>
      </c>
      <c r="C102" s="3101" t="s">
        <v>275</v>
      </c>
      <c r="D102" s="3101"/>
      <c r="E102" s="3100">
        <v>0</v>
      </c>
      <c r="J102" s="3095">
        <f t="shared" si="16"/>
        <v>0</v>
      </c>
      <c r="K102" s="3094">
        <f t="shared" si="20"/>
        <v>0</v>
      </c>
      <c r="L102" s="3095">
        <f t="shared" si="20"/>
        <v>0</v>
      </c>
      <c r="M102" s="3094">
        <f t="shared" si="15"/>
        <v>0</v>
      </c>
      <c r="AC102" s="3669">
        <v>94</v>
      </c>
      <c r="AD102" s="3101" t="s">
        <v>2653</v>
      </c>
      <c r="AE102" s="3101" t="s">
        <v>275</v>
      </c>
      <c r="AF102" s="3101"/>
      <c r="AG102" s="3095">
        <v>0</v>
      </c>
      <c r="AH102" s="3095">
        <v>0</v>
      </c>
      <c r="AI102" s="3094"/>
      <c r="AJ102" s="3095"/>
      <c r="AK102" s="3094"/>
    </row>
    <row r="103" spans="1:37">
      <c r="A103" s="3669">
        <v>95</v>
      </c>
      <c r="B103" s="3101" t="s">
        <v>2652</v>
      </c>
      <c r="C103" s="3101" t="s">
        <v>2651</v>
      </c>
      <c r="D103" s="3101"/>
      <c r="E103" s="3100">
        <v>0</v>
      </c>
      <c r="J103" s="3095">
        <f t="shared" si="16"/>
        <v>0</v>
      </c>
      <c r="K103" s="3094">
        <f t="shared" si="20"/>
        <v>0</v>
      </c>
      <c r="L103" s="3095">
        <f t="shared" si="20"/>
        <v>0</v>
      </c>
      <c r="M103" s="3094">
        <f t="shared" si="15"/>
        <v>0</v>
      </c>
      <c r="O103" s="3776" t="s">
        <v>3445</v>
      </c>
      <c r="AC103" s="3669">
        <v>95</v>
      </c>
      <c r="AD103" s="3101" t="s">
        <v>2652</v>
      </c>
      <c r="AE103" s="3101" t="s">
        <v>2651</v>
      </c>
      <c r="AF103" s="3101"/>
      <c r="AG103" s="3095">
        <v>0</v>
      </c>
      <c r="AH103" s="3095">
        <v>0</v>
      </c>
      <c r="AI103" s="3094"/>
      <c r="AJ103" s="3095"/>
      <c r="AK103" s="3094"/>
    </row>
    <row r="104" spans="1:37" ht="16" thickBot="1">
      <c r="A104" s="3669">
        <v>96</v>
      </c>
      <c r="B104" s="3101" t="s">
        <v>2650</v>
      </c>
      <c r="C104" s="3101" t="s">
        <v>2649</v>
      </c>
      <c r="D104" s="3101"/>
      <c r="E104" s="3100">
        <v>-3</v>
      </c>
      <c r="J104" s="3095">
        <f t="shared" si="16"/>
        <v>-3</v>
      </c>
      <c r="K104" s="3094">
        <f t="shared" si="20"/>
        <v>-0.15000000000000002</v>
      </c>
      <c r="L104" s="3095">
        <f t="shared" si="20"/>
        <v>-0.22500000000000003</v>
      </c>
      <c r="M104" s="3094">
        <f t="shared" si="15"/>
        <v>-7.5000000000000011E-2</v>
      </c>
      <c r="O104" s="3778">
        <v>2023</v>
      </c>
      <c r="P104" s="3779" t="s">
        <v>3447</v>
      </c>
      <c r="Q104" s="3779" t="s">
        <v>2565</v>
      </c>
      <c r="AC104" s="3669">
        <v>96</v>
      </c>
      <c r="AD104" s="3101" t="s">
        <v>2650</v>
      </c>
      <c r="AE104" s="3101" t="s">
        <v>2649</v>
      </c>
      <c r="AF104" s="3101"/>
      <c r="AG104" s="3095">
        <v>279</v>
      </c>
      <c r="AH104" s="3095">
        <v>-3</v>
      </c>
      <c r="AI104" s="3094"/>
      <c r="AJ104" s="3095"/>
      <c r="AK104" s="3094"/>
    </row>
    <row r="105" spans="1:37" ht="16" thickBot="1">
      <c r="A105" s="3669">
        <v>97</v>
      </c>
      <c r="B105" s="3099"/>
      <c r="C105" s="3099" t="s">
        <v>2648</v>
      </c>
      <c r="D105" s="3099"/>
      <c r="E105" s="3102">
        <f t="shared" ref="E105:M105" si="24">SUM(E101:E104)</f>
        <v>-3</v>
      </c>
      <c r="F105" s="3102">
        <f t="shared" si="24"/>
        <v>0</v>
      </c>
      <c r="G105" s="3102">
        <f t="shared" si="24"/>
        <v>0</v>
      </c>
      <c r="H105" s="3102">
        <f t="shared" si="24"/>
        <v>0</v>
      </c>
      <c r="I105" s="3102">
        <f t="shared" si="24"/>
        <v>0</v>
      </c>
      <c r="J105" s="3102">
        <f t="shared" si="24"/>
        <v>-3</v>
      </c>
      <c r="K105" s="3827">
        <f t="shared" si="24"/>
        <v>-0.15000000000000002</v>
      </c>
      <c r="L105" s="3102">
        <f t="shared" si="24"/>
        <v>-0.22500000000000003</v>
      </c>
      <c r="M105" s="3827">
        <f t="shared" si="24"/>
        <v>-7.5000000000000011E-2</v>
      </c>
      <c r="O105" s="3776">
        <f>'[4]Nat Gas - 06.2023 vs 12.2023'!H105</f>
        <v>-282</v>
      </c>
      <c r="P105" s="3780">
        <f>K105+O105</f>
        <v>-282.14999999999998</v>
      </c>
      <c r="Q105" s="3781">
        <f>M105</f>
        <v>-7.5000000000000011E-2</v>
      </c>
      <c r="AC105" s="3669">
        <v>97</v>
      </c>
      <c r="AD105" s="3099"/>
      <c r="AE105" s="3099" t="s">
        <v>2648</v>
      </c>
      <c r="AF105" s="3099"/>
      <c r="AG105" s="3102">
        <v>279</v>
      </c>
      <c r="AH105" s="3102">
        <v>-3</v>
      </c>
      <c r="AI105" s="3813"/>
      <c r="AJ105" s="3814">
        <f>AH105-AG105</f>
        <v>-282</v>
      </c>
      <c r="AK105" s="3813"/>
    </row>
    <row r="106" spans="1:37">
      <c r="A106" s="3669">
        <v>98</v>
      </c>
      <c r="B106" s="3101"/>
      <c r="C106" s="3101"/>
      <c r="D106" s="3101"/>
      <c r="E106" s="3100"/>
      <c r="F106" s="3100"/>
      <c r="G106" s="3100"/>
      <c r="H106" s="3100"/>
      <c r="I106" s="3100"/>
      <c r="J106" s="3100"/>
      <c r="K106" s="3816"/>
      <c r="L106" s="3100"/>
      <c r="M106" s="3816"/>
      <c r="AC106" s="3669">
        <v>98</v>
      </c>
      <c r="AD106" s="3101"/>
      <c r="AE106" s="3101"/>
      <c r="AF106" s="3101"/>
      <c r="AG106" s="3100"/>
      <c r="AH106" s="3100"/>
      <c r="AI106" s="3816"/>
      <c r="AJ106" s="3100"/>
      <c r="AK106" s="3816"/>
    </row>
    <row r="107" spans="1:37">
      <c r="A107" s="3669">
        <v>99</v>
      </c>
      <c r="B107" s="3099"/>
      <c r="C107" s="3099" t="s">
        <v>2647</v>
      </c>
      <c r="D107" s="3099"/>
      <c r="E107" s="3098">
        <f>E105+E98+E91+E83+E55+E32</f>
        <v>187497383</v>
      </c>
      <c r="F107" s="3098">
        <f t="shared" ref="F107:M107" si="25">F105+F98+F91+F83+F55+F32</f>
        <v>13082701.871219302</v>
      </c>
      <c r="G107" s="3098">
        <f t="shared" si="25"/>
        <v>144924015</v>
      </c>
      <c r="H107" s="3098">
        <f t="shared" si="25"/>
        <v>944032</v>
      </c>
      <c r="I107" s="3098">
        <f t="shared" si="25"/>
        <v>-19509038.558359999</v>
      </c>
      <c r="J107" s="3098">
        <f t="shared" si="25"/>
        <v>9037595.5704206992</v>
      </c>
      <c r="K107" s="3813">
        <f t="shared" si="25"/>
        <v>451879.77852103504</v>
      </c>
      <c r="L107" s="3098">
        <f t="shared" si="25"/>
        <v>677819.66778155253</v>
      </c>
      <c r="M107" s="3813">
        <f t="shared" si="25"/>
        <v>225939.88926051758</v>
      </c>
      <c r="AC107" s="3669">
        <v>99</v>
      </c>
      <c r="AD107" s="3099"/>
      <c r="AE107" s="3099" t="s">
        <v>2647</v>
      </c>
      <c r="AF107" s="3099"/>
      <c r="AG107" s="3098">
        <v>9420888.7819520887</v>
      </c>
      <c r="AH107" s="3098">
        <v>9037595.5704206992</v>
      </c>
      <c r="AI107" s="3813"/>
      <c r="AJ107" s="3097"/>
      <c r="AK107" s="3813"/>
    </row>
    <row r="108" spans="1:37">
      <c r="A108" s="3669">
        <v>100</v>
      </c>
      <c r="B108" s="3101"/>
      <c r="C108" s="3099" t="s">
        <v>2646</v>
      </c>
      <c r="D108" s="3101"/>
      <c r="E108" s="3103"/>
      <c r="J108" s="3095"/>
      <c r="K108" s="3094"/>
      <c r="L108" s="3095"/>
      <c r="M108" s="3094"/>
      <c r="AC108" s="3669">
        <v>100</v>
      </c>
      <c r="AD108" s="3101"/>
      <c r="AE108" s="3099" t="s">
        <v>2646</v>
      </c>
      <c r="AF108" s="3101"/>
      <c r="AG108" s="3095"/>
      <c r="AH108" s="3095"/>
      <c r="AI108" s="3094"/>
      <c r="AJ108" s="3095"/>
      <c r="AK108" s="3094"/>
    </row>
    <row r="109" spans="1:37">
      <c r="A109" s="3669">
        <v>101</v>
      </c>
      <c r="B109" s="3101" t="s">
        <v>2645</v>
      </c>
      <c r="C109" s="3101" t="s">
        <v>2644</v>
      </c>
      <c r="D109" s="3101"/>
      <c r="E109" s="3100">
        <v>6258051</v>
      </c>
      <c r="F109" s="3100">
        <f>U35</f>
        <v>5974292.9254633961</v>
      </c>
      <c r="G109" s="3100"/>
      <c r="H109" s="3100">
        <f>E109-F109</f>
        <v>283758.07453660388</v>
      </c>
      <c r="I109" s="3100">
        <v>0</v>
      </c>
      <c r="J109" s="3095">
        <f t="shared" si="16"/>
        <v>0</v>
      </c>
      <c r="K109" s="3094">
        <f t="shared" si="20"/>
        <v>0</v>
      </c>
      <c r="L109" s="3095">
        <f t="shared" si="20"/>
        <v>0</v>
      </c>
      <c r="M109" s="3094">
        <f t="shared" si="15"/>
        <v>0</v>
      </c>
      <c r="AC109" s="3669">
        <v>101</v>
      </c>
      <c r="AD109" s="3101" t="s">
        <v>2645</v>
      </c>
      <c r="AE109" s="3101" t="s">
        <v>2644</v>
      </c>
      <c r="AF109" s="3101"/>
      <c r="AG109" s="3095">
        <v>-344922.47024361603</v>
      </c>
      <c r="AH109" s="3095">
        <v>0</v>
      </c>
      <c r="AI109" s="3094"/>
      <c r="AJ109" s="3095"/>
      <c r="AK109" s="3094"/>
    </row>
    <row r="110" spans="1:37">
      <c r="A110" s="3669">
        <v>102</v>
      </c>
      <c r="B110" s="3101" t="s">
        <v>2643</v>
      </c>
      <c r="C110" s="3101" t="s">
        <v>280</v>
      </c>
      <c r="D110" s="3101"/>
      <c r="E110" s="3100">
        <v>802578</v>
      </c>
      <c r="F110" s="3100">
        <f>U36</f>
        <v>35415.53315480001</v>
      </c>
      <c r="G110" s="3100"/>
      <c r="H110" s="3092">
        <v>0</v>
      </c>
      <c r="I110" s="3100">
        <v>-28</v>
      </c>
      <c r="J110" s="3095">
        <f t="shared" si="16"/>
        <v>767134.46684519993</v>
      </c>
      <c r="K110" s="3094">
        <f t="shared" si="20"/>
        <v>38356.723342259997</v>
      </c>
      <c r="L110" s="3095">
        <f t="shared" si="20"/>
        <v>57535.085013390002</v>
      </c>
      <c r="M110" s="3094">
        <f t="shared" si="15"/>
        <v>19178.361671130006</v>
      </c>
      <c r="AC110" s="3669">
        <v>102</v>
      </c>
      <c r="AD110" s="3101" t="s">
        <v>2643</v>
      </c>
      <c r="AE110" s="3101" t="s">
        <v>280</v>
      </c>
      <c r="AF110" s="3101"/>
      <c r="AG110" s="3095">
        <v>815043.42048639921</v>
      </c>
      <c r="AH110" s="3095">
        <v>767134.46684519993</v>
      </c>
      <c r="AI110" s="3094"/>
      <c r="AJ110" s="3095"/>
      <c r="AK110" s="3094"/>
    </row>
    <row r="111" spans="1:37">
      <c r="A111" s="3669">
        <v>103</v>
      </c>
      <c r="B111" s="3101" t="s">
        <v>2642</v>
      </c>
      <c r="C111" s="3101" t="s">
        <v>281</v>
      </c>
      <c r="D111" s="3101"/>
      <c r="E111" s="3100">
        <v>-13423</v>
      </c>
      <c r="F111" s="3100"/>
      <c r="G111" s="3100"/>
      <c r="H111" s="3092">
        <f>E111</f>
        <v>-13423</v>
      </c>
      <c r="I111" s="3100"/>
      <c r="J111" s="3095">
        <f t="shared" si="16"/>
        <v>0</v>
      </c>
      <c r="K111" s="3094">
        <f t="shared" si="20"/>
        <v>0</v>
      </c>
      <c r="L111" s="3095">
        <f t="shared" si="20"/>
        <v>0</v>
      </c>
      <c r="M111" s="3094">
        <f t="shared" si="15"/>
        <v>0</v>
      </c>
      <c r="AC111" s="3669">
        <v>103</v>
      </c>
      <c r="AD111" s="3101" t="s">
        <v>2642</v>
      </c>
      <c r="AE111" s="3101" t="s">
        <v>281</v>
      </c>
      <c r="AF111" s="3101"/>
      <c r="AG111" s="3095">
        <v>0</v>
      </c>
      <c r="AH111" s="3095">
        <v>0</v>
      </c>
      <c r="AI111" s="3094"/>
      <c r="AJ111" s="3095"/>
      <c r="AK111" s="3094"/>
    </row>
    <row r="112" spans="1:37">
      <c r="A112" s="3669">
        <v>104</v>
      </c>
      <c r="B112" s="3101" t="s">
        <v>2641</v>
      </c>
      <c r="C112" s="3101" t="s">
        <v>282</v>
      </c>
      <c r="D112" s="3101"/>
      <c r="E112" s="3100">
        <v>3038619</v>
      </c>
      <c r="F112" s="3100">
        <f>U37</f>
        <v>644.83869880000009</v>
      </c>
      <c r="G112" s="3100"/>
      <c r="H112" s="3092">
        <f>V52-H110</f>
        <v>2883462.8714195429</v>
      </c>
      <c r="I112" s="3100"/>
      <c r="J112" s="3095">
        <f t="shared" si="16"/>
        <v>154511.28988165688</v>
      </c>
      <c r="K112" s="3094">
        <f t="shared" si="20"/>
        <v>7725.5644940828442</v>
      </c>
      <c r="L112" s="3095">
        <f t="shared" si="20"/>
        <v>11588.346741124267</v>
      </c>
      <c r="M112" s="3094">
        <f t="shared" si="15"/>
        <v>3862.782247041423</v>
      </c>
      <c r="AC112" s="3669">
        <v>104</v>
      </c>
      <c r="AD112" s="3101" t="s">
        <v>2641</v>
      </c>
      <c r="AE112" s="3101" t="s">
        <v>282</v>
      </c>
      <c r="AF112" s="3101"/>
      <c r="AG112" s="3095">
        <v>213595.66540785693</v>
      </c>
      <c r="AH112" s="3095">
        <v>154511.28988165688</v>
      </c>
      <c r="AI112" s="3094"/>
      <c r="AJ112" s="3095"/>
      <c r="AK112" s="3094"/>
    </row>
    <row r="113" spans="1:40">
      <c r="A113" s="3669">
        <v>105</v>
      </c>
      <c r="B113" s="3101" t="s">
        <v>2640</v>
      </c>
      <c r="C113" s="3101" t="s">
        <v>283</v>
      </c>
      <c r="D113" s="3101"/>
      <c r="E113" s="3100">
        <v>466215</v>
      </c>
      <c r="F113" s="3100"/>
      <c r="G113" s="3100"/>
      <c r="H113" s="3092">
        <v>423982</v>
      </c>
      <c r="I113" s="3100"/>
      <c r="J113" s="3095">
        <f t="shared" si="16"/>
        <v>42233</v>
      </c>
      <c r="K113" s="3094">
        <f t="shared" si="20"/>
        <v>2111.65</v>
      </c>
      <c r="L113" s="3095">
        <f t="shared" si="20"/>
        <v>3167.4750000000004</v>
      </c>
      <c r="M113" s="3094">
        <f t="shared" si="15"/>
        <v>1055.8250000000003</v>
      </c>
      <c r="AC113" s="3669">
        <v>105</v>
      </c>
      <c r="AD113" s="3101" t="s">
        <v>2640</v>
      </c>
      <c r="AE113" s="3101" t="s">
        <v>283</v>
      </c>
      <c r="AF113" s="3101"/>
      <c r="AG113" s="3095">
        <v>21179</v>
      </c>
      <c r="AH113" s="3095">
        <v>42233</v>
      </c>
      <c r="AI113" s="3094"/>
      <c r="AJ113" s="3095"/>
      <c r="AK113" s="3094"/>
    </row>
    <row r="114" spans="1:40">
      <c r="A114" s="3669">
        <v>106</v>
      </c>
      <c r="B114" s="3101" t="s">
        <v>2639</v>
      </c>
      <c r="C114" s="3101" t="s">
        <v>2638</v>
      </c>
      <c r="D114" s="3101"/>
      <c r="E114" s="3100">
        <v>1335152</v>
      </c>
      <c r="F114" s="3100">
        <f>U38</f>
        <v>18.5319918</v>
      </c>
      <c r="G114" s="3100"/>
      <c r="H114" s="3092">
        <v>1281269</v>
      </c>
      <c r="I114" s="3782">
        <f>-13042-(8324*$T$49)</f>
        <v>-19014.137040000001</v>
      </c>
      <c r="J114" s="3095">
        <f t="shared" si="16"/>
        <v>34850.330968199938</v>
      </c>
      <c r="K114" s="3094">
        <f t="shared" si="20"/>
        <v>1742.5165484099971</v>
      </c>
      <c r="L114" s="3095">
        <f t="shared" si="20"/>
        <v>2613.7748226149956</v>
      </c>
      <c r="M114" s="3094">
        <f t="shared" si="15"/>
        <v>871.25827420499854</v>
      </c>
      <c r="AC114" s="3669">
        <v>106</v>
      </c>
      <c r="AD114" s="3101" t="s">
        <v>2639</v>
      </c>
      <c r="AE114" s="3101" t="s">
        <v>2638</v>
      </c>
      <c r="AF114" s="3101"/>
      <c r="AG114" s="3095">
        <v>2174.4680081999395</v>
      </c>
      <c r="AH114" s="3095">
        <v>34850.330968199938</v>
      </c>
      <c r="AI114" s="3094"/>
      <c r="AJ114" s="3095"/>
      <c r="AK114" s="3094"/>
    </row>
    <row r="115" spans="1:40">
      <c r="A115" s="3669">
        <v>107</v>
      </c>
      <c r="B115" s="3101" t="s">
        <v>2637</v>
      </c>
      <c r="C115" s="3101" t="s">
        <v>2636</v>
      </c>
      <c r="D115" s="3101"/>
      <c r="E115" s="3100">
        <v>5402473</v>
      </c>
      <c r="F115" s="3100">
        <f>U39</f>
        <v>79471.738867999986</v>
      </c>
      <c r="G115" s="3100"/>
      <c r="H115" s="3092">
        <f>(33596649*S48*T48)</f>
        <v>4991508.4609921025</v>
      </c>
      <c r="I115" s="3782">
        <f>-(330813-14002)*$T$49</f>
        <v>-227299.22005999999</v>
      </c>
      <c r="J115" s="3095">
        <f>E115-SUM(F115:H115)+I115</f>
        <v>104193.58007989751</v>
      </c>
      <c r="K115" s="3094">
        <f t="shared" si="20"/>
        <v>5209.6790039948755</v>
      </c>
      <c r="L115" s="3095">
        <f t="shared" si="20"/>
        <v>7814.5185059923142</v>
      </c>
      <c r="M115" s="3094">
        <f t="shared" si="15"/>
        <v>2604.8395019974387</v>
      </c>
      <c r="AC115" s="3669">
        <v>107</v>
      </c>
      <c r="AD115" s="3101" t="s">
        <v>2637</v>
      </c>
      <c r="AE115" s="3101" t="s">
        <v>2636</v>
      </c>
      <c r="AF115" s="3101"/>
      <c r="AG115" s="3095">
        <v>211508.19317277335</v>
      </c>
      <c r="AH115" s="3095">
        <v>104193.58007989751</v>
      </c>
      <c r="AI115" s="3094"/>
      <c r="AJ115" s="3095"/>
      <c r="AK115" s="3094"/>
    </row>
    <row r="116" spans="1:40">
      <c r="A116" s="3669">
        <v>108</v>
      </c>
      <c r="B116" s="3101" t="s">
        <v>2635</v>
      </c>
      <c r="C116" s="3101" t="s">
        <v>2634</v>
      </c>
      <c r="D116" s="3101"/>
      <c r="E116" s="3100">
        <v>0</v>
      </c>
      <c r="F116" s="3100"/>
      <c r="G116" s="3100"/>
      <c r="I116" s="3100"/>
      <c r="J116" s="3095">
        <f t="shared" si="16"/>
        <v>0</v>
      </c>
      <c r="K116" s="3094">
        <f t="shared" si="20"/>
        <v>0</v>
      </c>
      <c r="L116" s="3095">
        <f t="shared" si="20"/>
        <v>0</v>
      </c>
      <c r="M116" s="3094">
        <f t="shared" si="15"/>
        <v>0</v>
      </c>
      <c r="AC116" s="3669">
        <v>108</v>
      </c>
      <c r="AD116" s="3101" t="s">
        <v>2635</v>
      </c>
      <c r="AE116" s="3101" t="s">
        <v>2634</v>
      </c>
      <c r="AF116" s="3101"/>
      <c r="AG116" s="3095">
        <v>0</v>
      </c>
      <c r="AH116" s="3095">
        <v>0</v>
      </c>
      <c r="AI116" s="3094"/>
      <c r="AJ116" s="3095"/>
      <c r="AK116" s="3094"/>
    </row>
    <row r="117" spans="1:40">
      <c r="A117" s="3669">
        <v>109</v>
      </c>
      <c r="B117" s="3101" t="s">
        <v>2633</v>
      </c>
      <c r="C117" s="3101" t="s">
        <v>288</v>
      </c>
      <c r="D117" s="3101"/>
      <c r="E117" s="3100">
        <v>1196839</v>
      </c>
      <c r="F117" s="3100">
        <f>U40</f>
        <v>227654.15280680003</v>
      </c>
      <c r="G117" s="3100"/>
      <c r="H117" s="3092">
        <v>887457</v>
      </c>
      <c r="I117" s="3100"/>
      <c r="J117" s="3095">
        <f t="shared" si="16"/>
        <v>81727.847193199908</v>
      </c>
      <c r="K117" s="3094">
        <f t="shared" si="20"/>
        <v>4086.3923596599957</v>
      </c>
      <c r="L117" s="3095">
        <f t="shared" si="20"/>
        <v>6129.5885394899942</v>
      </c>
      <c r="M117" s="3094">
        <f t="shared" si="15"/>
        <v>2043.1961798299985</v>
      </c>
      <c r="AC117" s="3669">
        <v>109</v>
      </c>
      <c r="AD117" s="3101" t="s">
        <v>2633</v>
      </c>
      <c r="AE117" s="3101" t="s">
        <v>288</v>
      </c>
      <c r="AF117" s="3101"/>
      <c r="AG117" s="3095">
        <v>75078.811790800071</v>
      </c>
      <c r="AH117" s="3095">
        <v>81727.847193199908</v>
      </c>
      <c r="AI117" s="3094"/>
      <c r="AJ117" s="3095"/>
      <c r="AK117" s="3094"/>
    </row>
    <row r="118" spans="1:40">
      <c r="A118" s="3669">
        <v>110</v>
      </c>
      <c r="B118" s="3101" t="s">
        <v>2632</v>
      </c>
      <c r="C118" s="3101" t="s">
        <v>2631</v>
      </c>
      <c r="D118" s="3101"/>
      <c r="E118" s="3100">
        <v>1207204</v>
      </c>
      <c r="F118" s="3100">
        <f>U41</f>
        <v>165533.84912280002</v>
      </c>
      <c r="G118" s="3100"/>
      <c r="H118" s="3100"/>
      <c r="I118" s="3100">
        <v>-173306</v>
      </c>
      <c r="J118" s="3095">
        <f t="shared" si="16"/>
        <v>868364.15087719995</v>
      </c>
      <c r="K118" s="3094">
        <f t="shared" si="20"/>
        <v>43418.20754386</v>
      </c>
      <c r="L118" s="3095">
        <f t="shared" si="20"/>
        <v>65127.311315790008</v>
      </c>
      <c r="M118" s="3094">
        <f t="shared" si="15"/>
        <v>21709.103771930007</v>
      </c>
      <c r="AC118" s="3669">
        <v>110</v>
      </c>
      <c r="AD118" s="3101" t="s">
        <v>2632</v>
      </c>
      <c r="AE118" s="3101" t="s">
        <v>2631</v>
      </c>
      <c r="AF118" s="3101"/>
      <c r="AG118" s="3095">
        <v>900023.69043620001</v>
      </c>
      <c r="AH118" s="3095">
        <v>868364.15087719995</v>
      </c>
      <c r="AI118" s="3094"/>
      <c r="AJ118" s="3095"/>
      <c r="AK118" s="3094"/>
    </row>
    <row r="119" spans="1:40">
      <c r="A119" s="3669">
        <v>111</v>
      </c>
      <c r="B119" s="3101" t="s">
        <v>2630</v>
      </c>
      <c r="C119" s="3101" t="s">
        <v>251</v>
      </c>
      <c r="D119" s="3101"/>
      <c r="E119" s="3100">
        <v>107685</v>
      </c>
      <c r="F119" s="3100">
        <f t="shared" ref="F119:F120" si="26">U42</f>
        <v>831.85899700000016</v>
      </c>
      <c r="G119" s="3100"/>
      <c r="H119" s="3100"/>
      <c r="I119" s="3100"/>
      <c r="J119" s="3095">
        <f t="shared" si="16"/>
        <v>106853.141003</v>
      </c>
      <c r="K119" s="3094">
        <f t="shared" si="20"/>
        <v>5342.65705015</v>
      </c>
      <c r="L119" s="3095">
        <f t="shared" si="20"/>
        <v>8013.9855752250014</v>
      </c>
      <c r="M119" s="3094">
        <f t="shared" si="15"/>
        <v>2671.3285250750014</v>
      </c>
      <c r="O119" s="3776" t="s">
        <v>3445</v>
      </c>
      <c r="AC119" s="3669">
        <v>111</v>
      </c>
      <c r="AD119" s="3101" t="s">
        <v>2630</v>
      </c>
      <c r="AE119" s="3101" t="s">
        <v>251</v>
      </c>
      <c r="AF119" s="3101"/>
      <c r="AG119" s="3095">
        <v>102596.17004339999</v>
      </c>
      <c r="AH119" s="3095">
        <v>106853.141003</v>
      </c>
      <c r="AI119" s="3094"/>
      <c r="AJ119" s="3095"/>
      <c r="AK119" s="3094"/>
    </row>
    <row r="120" spans="1:40" ht="16" thickBot="1">
      <c r="A120" s="3669">
        <v>112</v>
      </c>
      <c r="B120" s="3101" t="s">
        <v>2629</v>
      </c>
      <c r="C120" s="3101" t="s">
        <v>290</v>
      </c>
      <c r="D120" s="3101"/>
      <c r="E120" s="3100">
        <v>2872093</v>
      </c>
      <c r="F120" s="3100">
        <f t="shared" si="26"/>
        <v>251160.25873959996</v>
      </c>
      <c r="G120" s="3100"/>
      <c r="H120" s="3100"/>
      <c r="I120" s="3100">
        <v>0</v>
      </c>
      <c r="J120" s="3095">
        <f t="shared" si="16"/>
        <v>2620932.7412604</v>
      </c>
      <c r="K120" s="3094">
        <f t="shared" si="20"/>
        <v>131046.63706302001</v>
      </c>
      <c r="L120" s="3095">
        <f t="shared" si="20"/>
        <v>196569.95559453004</v>
      </c>
      <c r="M120" s="3094">
        <f t="shared" si="15"/>
        <v>65523.318531510027</v>
      </c>
      <c r="O120" s="3778">
        <v>2023</v>
      </c>
      <c r="P120" s="3779" t="s">
        <v>3447</v>
      </c>
      <c r="Q120" s="3779" t="s">
        <v>2565</v>
      </c>
      <c r="AC120" s="3669">
        <v>112</v>
      </c>
      <c r="AD120" s="3101" t="s">
        <v>2629</v>
      </c>
      <c r="AE120" s="3101" t="s">
        <v>290</v>
      </c>
      <c r="AF120" s="3101"/>
      <c r="AG120" s="3095">
        <v>2869010.3097033999</v>
      </c>
      <c r="AH120" s="3095">
        <v>2620932.7412604</v>
      </c>
      <c r="AI120" s="3094"/>
      <c r="AJ120" s="3095"/>
      <c r="AK120" s="3094"/>
    </row>
    <row r="121" spans="1:40" ht="16" thickBot="1">
      <c r="A121" s="3669">
        <v>113</v>
      </c>
      <c r="B121" s="3099"/>
      <c r="C121" s="3099" t="s">
        <v>2628</v>
      </c>
      <c r="D121" s="3099"/>
      <c r="E121" s="3102">
        <f t="shared" ref="E121:M121" si="27">SUM(E109:E120)</f>
        <v>22673486</v>
      </c>
      <c r="F121" s="3102">
        <f t="shared" si="27"/>
        <v>6735023.6878429959</v>
      </c>
      <c r="G121" s="3102">
        <f t="shared" si="27"/>
        <v>0</v>
      </c>
      <c r="H121" s="3102">
        <f t="shared" si="27"/>
        <v>10738014.40694825</v>
      </c>
      <c r="I121" s="3102">
        <f t="shared" si="27"/>
        <v>-419647.35710000002</v>
      </c>
      <c r="J121" s="3102">
        <f t="shared" si="27"/>
        <v>4780800.5481087547</v>
      </c>
      <c r="K121" s="3827">
        <f t="shared" si="27"/>
        <v>239040.02740543772</v>
      </c>
      <c r="L121" s="3102">
        <f t="shared" si="27"/>
        <v>358560.04110815667</v>
      </c>
      <c r="M121" s="3827">
        <f t="shared" si="27"/>
        <v>119520.0137027189</v>
      </c>
      <c r="O121" s="3776">
        <f>'[4]Nat Gas - 06.2023 vs 12.2023'!H121</f>
        <v>-84486.71069665812</v>
      </c>
      <c r="P121" s="3780">
        <f>K121+O121</f>
        <v>154553.3167087796</v>
      </c>
      <c r="Q121" s="3781">
        <f>M121</f>
        <v>119520.0137027189</v>
      </c>
      <c r="AC121" s="3669">
        <v>113</v>
      </c>
      <c r="AD121" s="3099"/>
      <c r="AE121" s="3099" t="s">
        <v>2628</v>
      </c>
      <c r="AF121" s="3099"/>
      <c r="AG121" s="3102">
        <v>4865287.2588054128</v>
      </c>
      <c r="AH121" s="3102">
        <v>4780800.5481087547</v>
      </c>
      <c r="AI121" s="3813"/>
      <c r="AJ121" s="3814">
        <f>AH121-AG121</f>
        <v>-84486.71069665812</v>
      </c>
      <c r="AK121" s="3813"/>
    </row>
    <row r="122" spans="1:40" ht="16" thickBot="1">
      <c r="A122" s="3669">
        <v>114</v>
      </c>
      <c r="B122" s="3101"/>
      <c r="C122" s="3101"/>
      <c r="D122" s="3101"/>
      <c r="E122" s="3100"/>
      <c r="F122" s="3100"/>
      <c r="G122" s="3100"/>
      <c r="H122" s="3100"/>
      <c r="I122" s="3100"/>
      <c r="J122" s="3100"/>
      <c r="K122" s="3816"/>
      <c r="L122" s="3100"/>
      <c r="M122" s="3816"/>
      <c r="AC122" s="3669">
        <v>114</v>
      </c>
      <c r="AD122" s="3101"/>
      <c r="AE122" s="3101"/>
      <c r="AF122" s="3101"/>
      <c r="AG122" s="3100"/>
      <c r="AH122" s="3100"/>
      <c r="AI122" s="3816"/>
      <c r="AJ122" s="3100"/>
      <c r="AK122" s="3816"/>
    </row>
    <row r="123" spans="1:40" ht="16.5" thickTop="1" thickBot="1">
      <c r="A123" s="3669">
        <v>115</v>
      </c>
      <c r="B123" s="3099"/>
      <c r="C123" s="3099" t="s">
        <v>2627</v>
      </c>
      <c r="D123" s="3099"/>
      <c r="E123" s="3098">
        <f>E121+E107</f>
        <v>210170869</v>
      </c>
      <c r="F123" s="3098">
        <f t="shared" ref="F123:M123" si="28">F121+F107</f>
        <v>19817725.559062298</v>
      </c>
      <c r="G123" s="3098">
        <f t="shared" si="28"/>
        <v>144924015</v>
      </c>
      <c r="H123" s="3098">
        <f t="shared" si="28"/>
        <v>11682046.40694825</v>
      </c>
      <c r="I123" s="3098">
        <f t="shared" si="28"/>
        <v>-19928685.915459998</v>
      </c>
      <c r="J123" s="3098">
        <f t="shared" si="28"/>
        <v>13818396.118529454</v>
      </c>
      <c r="K123" s="3783">
        <f t="shared" si="28"/>
        <v>690919.80592647276</v>
      </c>
      <c r="L123" s="3097">
        <f t="shared" si="28"/>
        <v>1036379.7088897092</v>
      </c>
      <c r="M123" s="3096">
        <f t="shared" si="28"/>
        <v>345459.9029632365</v>
      </c>
      <c r="O123" s="3784">
        <f>O32+O55+O83+O91+O98+O105+O121</f>
        <v>-467779.9222280471</v>
      </c>
      <c r="P123" s="3784">
        <f>P32+P55+P83+P91+P98+P105+P121</f>
        <v>223139.8836984256</v>
      </c>
      <c r="Q123" s="3784">
        <f>Q32+Q55+Q83+Q91+Q98+Q105+Q121</f>
        <v>345459.90296323644</v>
      </c>
      <c r="R123" s="3088" t="s">
        <v>540</v>
      </c>
      <c r="AC123" s="3669">
        <v>115</v>
      </c>
      <c r="AD123" s="3099"/>
      <c r="AE123" s="3099" t="s">
        <v>2627</v>
      </c>
      <c r="AF123" s="3099"/>
      <c r="AG123" s="3098">
        <v>14286176.040757501</v>
      </c>
      <c r="AH123" s="3098">
        <v>13818396.118529454</v>
      </c>
      <c r="AI123" s="3783"/>
      <c r="AJ123" s="3095">
        <f>SUM(AJ9:AJ121)</f>
        <v>-467779.9222280471</v>
      </c>
      <c r="AN123" s="3097">
        <f>AJ123-AJ125</f>
        <v>5.2386894822120667E-10</v>
      </c>
    </row>
    <row r="124" spans="1:40" ht="16.5" thickTop="1" thickBot="1">
      <c r="A124" s="3669"/>
      <c r="B124" s="3099"/>
      <c r="C124" s="3099"/>
      <c r="D124" s="3099"/>
      <c r="E124" s="3098"/>
      <c r="F124" s="3098"/>
      <c r="G124" s="3098"/>
      <c r="H124" s="3098"/>
      <c r="I124" s="3098"/>
      <c r="J124" s="3785" t="s">
        <v>26</v>
      </c>
      <c r="K124" s="3786"/>
      <c r="L124" s="3786"/>
      <c r="M124" s="3786"/>
      <c r="N124" s="3787"/>
      <c r="AC124" s="3669"/>
      <c r="AD124" s="3099"/>
      <c r="AE124" s="3099"/>
      <c r="AF124" s="3099"/>
      <c r="AG124" s="3785" t="s">
        <v>25</v>
      </c>
      <c r="AH124" s="3818" t="s">
        <v>26</v>
      </c>
      <c r="AI124" s="3786"/>
      <c r="AJ124" s="3786"/>
      <c r="AL124" s="3787"/>
      <c r="AN124" s="3679" t="s">
        <v>1189</v>
      </c>
    </row>
    <row r="125" spans="1:40" ht="16" thickBot="1">
      <c r="B125" s="3093"/>
      <c r="C125" s="3093"/>
      <c r="D125" s="3093"/>
      <c r="E125" s="3092"/>
      <c r="H125" s="3828"/>
      <c r="I125" s="3828"/>
      <c r="J125" s="3788" t="s">
        <v>3449</v>
      </c>
      <c r="K125" s="3789">
        <f>J134</f>
        <v>-467779.92222804762</v>
      </c>
      <c r="L125" s="3790" t="s">
        <v>3450</v>
      </c>
      <c r="M125" s="3783"/>
      <c r="AD125" s="3093"/>
      <c r="AE125" s="3093"/>
      <c r="AF125" s="3819"/>
      <c r="AG125" s="3820"/>
      <c r="AH125" s="3802" t="s">
        <v>3460</v>
      </c>
      <c r="AI125" s="3821"/>
      <c r="AJ125" s="3822">
        <f>AH123-AG123</f>
        <v>-467779.92222804762</v>
      </c>
    </row>
    <row r="126" spans="1:40">
      <c r="B126" s="3093"/>
      <c r="C126" s="3093"/>
      <c r="D126" s="3093"/>
      <c r="E126" s="3092"/>
      <c r="F126" s="3092"/>
      <c r="G126" s="3092"/>
      <c r="H126" s="3092"/>
      <c r="I126" s="3092"/>
      <c r="J126" s="3791" t="s">
        <v>2626</v>
      </c>
      <c r="K126" s="3792">
        <f>M127</f>
        <v>345459.9029632365</v>
      </c>
      <c r="L126" s="3092"/>
      <c r="M126" s="3092"/>
      <c r="AD126" s="3093"/>
      <c r="AE126" s="3093"/>
      <c r="AF126" s="3093"/>
      <c r="AG126" s="3090"/>
      <c r="AH126" s="3791" t="s">
        <v>2626</v>
      </c>
      <c r="AJ126" s="3123" t="s">
        <v>3461</v>
      </c>
    </row>
    <row r="127" spans="1:40" ht="16" thickBot="1">
      <c r="B127" s="3091"/>
      <c r="C127" s="273"/>
      <c r="D127" s="273"/>
      <c r="E127" s="3088"/>
      <c r="J127" s="3791" t="s">
        <v>2530</v>
      </c>
      <c r="K127" s="3793">
        <f>M123</f>
        <v>345459.9029632365</v>
      </c>
      <c r="L127" s="3791" t="s">
        <v>2625</v>
      </c>
      <c r="M127" s="3793">
        <f>M123</f>
        <v>345459.9029632365</v>
      </c>
      <c r="AD127" s="3091"/>
      <c r="AH127" s="3791" t="s">
        <v>2530</v>
      </c>
      <c r="AJ127" s="3123" t="s">
        <v>3461</v>
      </c>
    </row>
    <row r="128" spans="1:40" ht="16.5" thickTop="1" thickBot="1">
      <c r="J128" s="3794" t="s">
        <v>3451</v>
      </c>
      <c r="K128" s="3795">
        <f>SUM(K125:K127)</f>
        <v>223139.88369842537</v>
      </c>
      <c r="L128" s="273"/>
      <c r="M128" s="273"/>
    </row>
    <row r="129" spans="5:14" ht="16" thickTop="1">
      <c r="J129" s="3794"/>
      <c r="K129" s="3097"/>
      <c r="L129" s="273"/>
      <c r="M129" s="273"/>
    </row>
    <row r="130" spans="5:14">
      <c r="I130" s="3796" t="s">
        <v>2624</v>
      </c>
      <c r="J130" s="3797">
        <f>J123/E123</f>
        <v>6.574838931902334E-2</v>
      </c>
      <c r="K130" s="3097"/>
      <c r="L130" s="273"/>
      <c r="M130" s="273"/>
    </row>
    <row r="131" spans="5:14">
      <c r="K131" s="273"/>
      <c r="L131" s="273"/>
      <c r="M131" s="273"/>
    </row>
    <row r="132" spans="5:14">
      <c r="I132" s="3794" t="s">
        <v>3452</v>
      </c>
      <c r="J132" s="3776">
        <f>AG123</f>
        <v>14286176.040757501</v>
      </c>
      <c r="K132" s="3798" t="s">
        <v>25</v>
      </c>
      <c r="L132" s="273"/>
      <c r="M132" s="273"/>
    </row>
    <row r="133" spans="5:14" ht="16" thickBot="1">
      <c r="I133" s="3794" t="s">
        <v>3453</v>
      </c>
      <c r="J133" s="3095">
        <f>J123</f>
        <v>13818396.118529454</v>
      </c>
      <c r="K133" s="3798" t="s">
        <v>26</v>
      </c>
      <c r="L133" s="273"/>
      <c r="M133" s="273"/>
    </row>
    <row r="134" spans="5:14" ht="16" thickBot="1">
      <c r="E134" s="3799"/>
      <c r="F134" s="3821"/>
      <c r="G134" s="3800"/>
      <c r="H134" s="3801"/>
      <c r="I134" s="3802" t="s">
        <v>3454</v>
      </c>
      <c r="J134" s="3803">
        <f>J133-J132</f>
        <v>-467779.92222804762</v>
      </c>
      <c r="K134" s="273"/>
      <c r="L134" s="273"/>
      <c r="M134" s="273"/>
    </row>
    <row r="135" spans="5:14">
      <c r="J135" s="3088" t="s">
        <v>3425</v>
      </c>
      <c r="K135" s="604">
        <v>1633693.6318759015</v>
      </c>
      <c r="L135" s="273"/>
      <c r="M135" s="3804">
        <v>653477.45275036071</v>
      </c>
    </row>
    <row r="136" spans="5:14">
      <c r="J136" s="3794" t="s">
        <v>3455</v>
      </c>
      <c r="K136" s="609">
        <f>K128-K135</f>
        <v>-1410553.7481774762</v>
      </c>
      <c r="L136" s="273"/>
      <c r="M136" s="609">
        <f>M123-M135</f>
        <v>-308017.54978712421</v>
      </c>
      <c r="N136" s="3088" t="s">
        <v>3456</v>
      </c>
    </row>
    <row r="137" spans="5:14">
      <c r="J137" s="273"/>
      <c r="K137" s="273"/>
      <c r="L137" s="273"/>
      <c r="M137" s="273"/>
    </row>
    <row r="138" spans="5:14">
      <c r="L138" s="273"/>
    </row>
    <row r="139" spans="5:14">
      <c r="J139" s="273"/>
      <c r="L139" s="273"/>
    </row>
    <row r="140" spans="5:14">
      <c r="J140" s="273"/>
      <c r="L140" s="273"/>
    </row>
    <row r="141" spans="5:14">
      <c r="J141" s="273"/>
      <c r="L141" s="273"/>
    </row>
    <row r="142" spans="5:14">
      <c r="J142" s="273"/>
      <c r="K142" s="3094">
        <f>K125</f>
        <v>-467779.92222804762</v>
      </c>
      <c r="L142" s="273"/>
    </row>
    <row r="143" spans="5:14">
      <c r="J143" s="273"/>
      <c r="K143" s="3829">
        <f>K142-K135</f>
        <v>-2101473.5541039491</v>
      </c>
      <c r="L143" s="273"/>
    </row>
    <row r="144" spans="5:14">
      <c r="J144" s="273"/>
      <c r="L144" s="273"/>
    </row>
    <row r="145" spans="10:14">
      <c r="J145" s="273"/>
      <c r="L145" s="273"/>
    </row>
    <row r="146" spans="10:14">
      <c r="J146" s="273"/>
      <c r="L146" s="273"/>
    </row>
    <row r="160" spans="10:14">
      <c r="N160" s="273"/>
    </row>
    <row r="161" spans="14:14">
      <c r="N161" s="273"/>
    </row>
    <row r="162" spans="14:14">
      <c r="N162" s="273"/>
    </row>
  </sheetData>
  <mergeCells count="3">
    <mergeCell ref="J1:L1"/>
    <mergeCell ref="F7:H7"/>
    <mergeCell ref="AH1:AJ1"/>
  </mergeCells>
  <pageMargins left="0.7" right="0.7" top="0.75" bottom="0.75" header="0.3" footer="0.3"/>
  <pageSetup orientation="portrait" horizontalDpi="1200" verticalDpi="1200"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5"/>
  <cols>
    <col min="1" max="1" width="3" style="477" bestFit="1" customWidth="1"/>
    <col min="2" max="2" width="50.81640625" style="477" customWidth="1"/>
    <col min="3" max="3" width="13.81640625" style="941" bestFit="1" customWidth="1"/>
    <col min="4" max="4" width="13.54296875" style="941" bestFit="1" customWidth="1"/>
    <col min="5" max="5" width="18.453125" style="941" customWidth="1"/>
    <col min="6" max="6" width="19" style="477" bestFit="1" customWidth="1"/>
    <col min="7" max="7" width="2.26953125" style="477" customWidth="1"/>
    <col min="8" max="8" width="17.26953125" style="477" bestFit="1" customWidth="1"/>
    <col min="9" max="9" width="3.1796875" style="477" customWidth="1"/>
    <col min="10" max="10" width="17.26953125" style="477" bestFit="1" customWidth="1"/>
    <col min="11" max="11" width="3.26953125" style="477" bestFit="1" customWidth="1"/>
    <col min="12" max="12" width="3.7265625" style="477" customWidth="1"/>
    <col min="13" max="13" width="3.26953125" style="477" customWidth="1"/>
    <col min="14" max="14" width="31.54296875" style="477" bestFit="1" customWidth="1"/>
    <col min="16" max="16" width="1.7265625" style="995" customWidth="1"/>
    <col min="18" max="18" width="26.54296875" style="477" customWidth="1"/>
    <col min="19" max="19" width="16.453125" style="974" bestFit="1" customWidth="1"/>
    <col min="20" max="20" width="8.81640625" style="477"/>
    <col min="21" max="21" width="1.7265625" style="995" customWidth="1"/>
    <col min="23" max="23" width="11.7265625" style="477" customWidth="1"/>
    <col min="24" max="24" width="16.26953125" style="477" customWidth="1"/>
    <col min="25" max="25" width="16" style="477" customWidth="1"/>
    <col min="26" max="26" width="16.54296875" style="477" customWidth="1"/>
    <col min="27" max="27" width="16.26953125" style="477" customWidth="1"/>
    <col min="28" max="28" width="14.81640625" style="477" bestFit="1" customWidth="1"/>
    <col min="29" max="29" width="14.81640625" style="477" customWidth="1"/>
    <col min="30" max="30" width="15.81640625" style="477" customWidth="1"/>
    <col min="31" max="31" width="16.453125" style="477" customWidth="1"/>
    <col min="32" max="32" width="16.54296875" style="477" customWidth="1"/>
    <col min="33" max="33" width="13.1796875" style="477" customWidth="1"/>
    <col min="34" max="34" width="14.81640625" style="477" bestFit="1" customWidth="1"/>
    <col min="35" max="35" width="8.81640625" style="477"/>
    <col min="36" max="36" width="1.7265625" style="995" customWidth="1"/>
    <col min="38" max="38" width="11.7265625" style="477" customWidth="1"/>
    <col min="39" max="39" width="16.26953125" style="477" customWidth="1"/>
    <col min="40" max="40" width="16" style="477" customWidth="1"/>
    <col min="41" max="41" width="16.54296875" style="477" customWidth="1"/>
    <col min="42" max="42" width="16.26953125" style="477" customWidth="1"/>
    <col min="43" max="43" width="14.81640625" style="477" bestFit="1" customWidth="1"/>
    <col min="44" max="44" width="14.81640625" style="477" customWidth="1"/>
    <col min="45" max="45" width="15.81640625" style="477" customWidth="1"/>
    <col min="46" max="46" width="16.453125" style="477" customWidth="1"/>
    <col min="47" max="47" width="16.54296875" style="477" customWidth="1"/>
    <col min="48" max="48" width="13.1796875" style="477" customWidth="1"/>
    <col min="49" max="49" width="14.81640625" style="477" bestFit="1" customWidth="1"/>
    <col min="51" max="51" width="1.7265625" style="995" customWidth="1"/>
    <col min="53" max="54" width="8.81640625" style="477"/>
    <col min="55" max="55" width="42.26953125" style="477" bestFit="1" customWidth="1"/>
    <col min="56" max="56" width="4.453125" style="477" bestFit="1" customWidth="1"/>
    <col min="57" max="57" width="4" style="477" bestFit="1" customWidth="1"/>
    <col min="58" max="58" width="14.7265625" style="477" bestFit="1" customWidth="1"/>
    <col min="59" max="59" width="2.7265625" style="477" customWidth="1"/>
    <col min="60" max="60" width="11.26953125" style="477" bestFit="1" customWidth="1"/>
    <col min="61" max="61" width="9.453125" style="477" bestFit="1" customWidth="1"/>
    <col min="62" max="62" width="11.26953125" style="477" bestFit="1" customWidth="1"/>
    <col min="63" max="63" width="1.7265625" style="995" customWidth="1"/>
    <col min="65" max="65" width="30" style="2670" customWidth="1"/>
    <col min="66" max="66" width="9.1796875" style="2670"/>
    <col min="67" max="67" width="15.7265625" style="2670" customWidth="1"/>
    <col min="68" max="68" width="14.7265625" style="2670" bestFit="1" customWidth="1"/>
    <col min="69" max="69" width="14" style="2670" bestFit="1" customWidth="1"/>
    <col min="70" max="70" width="15.54296875" style="2670" customWidth="1"/>
    <col min="71" max="72" width="11.1796875" style="2670" customWidth="1"/>
    <col min="73" max="73" width="14" style="2670" bestFit="1" customWidth="1"/>
    <col min="74" max="74" width="13.7265625" style="2670" customWidth="1"/>
    <col min="76" max="76" width="1.7265625" style="995" customWidth="1"/>
    <col min="78" max="78" width="30" style="2670" customWidth="1"/>
    <col min="79" max="79" width="9.1796875" style="2670"/>
    <col min="80" max="80" width="15.7265625" style="2670" customWidth="1"/>
    <col min="81" max="81" width="14.7265625" style="2670" bestFit="1" customWidth="1"/>
    <col min="82" max="82" width="14" style="2670" bestFit="1" customWidth="1"/>
    <col min="83" max="83" width="15.54296875" style="2670" customWidth="1"/>
    <col min="84" max="85" width="16.7265625" style="2670" customWidth="1"/>
    <col min="86" max="86" width="14" style="2670" bestFit="1" customWidth="1"/>
    <col min="87" max="87" width="12.81640625" style="2670" customWidth="1"/>
  </cols>
  <sheetData>
    <row r="1" spans="1:82" ht="14">
      <c r="B1" s="3134" t="s">
        <v>1204</v>
      </c>
      <c r="R1" s="182" t="s">
        <v>1204</v>
      </c>
      <c r="W1" s="182" t="s">
        <v>1204</v>
      </c>
      <c r="AL1" s="182" t="s">
        <v>1204</v>
      </c>
      <c r="BM1" s="2670" t="s">
        <v>2899</v>
      </c>
      <c r="BZ1" s="2670" t="s">
        <v>2899</v>
      </c>
    </row>
    <row r="2" spans="1:82" ht="14">
      <c r="B2" s="3134" t="s">
        <v>1577</v>
      </c>
      <c r="R2" s="182" t="s">
        <v>2839</v>
      </c>
      <c r="W2" s="182" t="s">
        <v>2839</v>
      </c>
      <c r="AL2" s="182" t="s">
        <v>2839</v>
      </c>
      <c r="BB2" s="477" t="s">
        <v>2882</v>
      </c>
    </row>
    <row r="3" spans="1:82" ht="14">
      <c r="B3" s="3134" t="s">
        <v>2833</v>
      </c>
      <c r="R3" s="182" t="s">
        <v>2838</v>
      </c>
      <c r="W3" s="182" t="s">
        <v>2838</v>
      </c>
      <c r="AL3" s="182" t="s">
        <v>2838</v>
      </c>
    </row>
    <row r="4" spans="1:82" ht="14">
      <c r="B4" s="3134" t="s">
        <v>2832</v>
      </c>
      <c r="R4" s="182" t="s">
        <v>2837</v>
      </c>
      <c r="W4" s="182" t="s">
        <v>2837</v>
      </c>
      <c r="AL4" s="182" t="s">
        <v>2837</v>
      </c>
      <c r="BM4" s="2670" t="s">
        <v>2898</v>
      </c>
      <c r="BZ4" s="2670" t="s">
        <v>2898</v>
      </c>
    </row>
    <row r="5" spans="1:82">
      <c r="R5" s="182" t="s">
        <v>2836</v>
      </c>
      <c r="W5" s="182" t="s">
        <v>2836</v>
      </c>
      <c r="AL5" s="182" t="s">
        <v>2836</v>
      </c>
    </row>
    <row r="6" spans="1:82" ht="14.5" thickBot="1">
      <c r="B6" s="3134" t="s">
        <v>2831</v>
      </c>
      <c r="W6" s="3180"/>
      <c r="AL6" s="3180"/>
      <c r="BM6" s="2670" t="s">
        <v>2897</v>
      </c>
      <c r="BO6" s="3209"/>
      <c r="BP6" s="3209"/>
      <c r="BQ6" s="3203"/>
      <c r="BZ6" s="2670" t="s">
        <v>2902</v>
      </c>
      <c r="CB6" s="3209"/>
      <c r="CC6" s="3209"/>
      <c r="CD6" s="3203"/>
    </row>
    <row r="7" spans="1:82" ht="29.5" thickBot="1">
      <c r="H7" s="2070" t="s">
        <v>525</v>
      </c>
      <c r="I7" s="1217"/>
      <c r="J7" s="2070" t="s">
        <v>526</v>
      </c>
      <c r="S7" s="1187" t="s">
        <v>1577</v>
      </c>
      <c r="W7" s="3180"/>
      <c r="AL7" s="3180"/>
      <c r="BO7" s="3208" t="s">
        <v>968</v>
      </c>
      <c r="BP7" s="3208" t="s">
        <v>971</v>
      </c>
      <c r="BQ7" s="3207"/>
      <c r="CB7" s="3208" t="s">
        <v>968</v>
      </c>
      <c r="CC7" s="3208" t="s">
        <v>971</v>
      </c>
      <c r="CD7" s="3207"/>
    </row>
    <row r="8" spans="1:82" ht="44" thickBot="1">
      <c r="B8" s="3133" t="s">
        <v>70</v>
      </c>
      <c r="C8" s="3132" t="s">
        <v>2830</v>
      </c>
      <c r="D8" s="3132" t="s">
        <v>2829</v>
      </c>
      <c r="E8" s="2088" t="s">
        <v>2828</v>
      </c>
      <c r="F8" s="3132" t="s">
        <v>2827</v>
      </c>
      <c r="G8" s="2070"/>
      <c r="H8" s="2088" t="s">
        <v>2826</v>
      </c>
      <c r="I8" s="2070"/>
      <c r="J8" s="2088" t="s">
        <v>2825</v>
      </c>
      <c r="M8" s="2088" t="s">
        <v>2824</v>
      </c>
      <c r="N8" s="2088" t="s">
        <v>2823</v>
      </c>
      <c r="R8" s="877" t="s">
        <v>2835</v>
      </c>
      <c r="S8" s="974">
        <v>24</v>
      </c>
      <c r="W8" s="3180" t="str">
        <f>'G-3.18 New Reg Amort'!B10</f>
        <v>WA Regulatory Fee Deferral (2023 &amp; 2024)</v>
      </c>
      <c r="AL8" s="3180" t="str">
        <f>'G-3.18 New Reg Amort'!B11</f>
        <v>WA Deferred Depreciation Expense (2024)</v>
      </c>
      <c r="BM8" s="2670" t="s">
        <v>2896</v>
      </c>
      <c r="BO8" s="3202">
        <v>594282604.46121311</v>
      </c>
      <c r="BP8" s="3202">
        <v>221901777.34</v>
      </c>
      <c r="BQ8" s="3201">
        <v>0</v>
      </c>
      <c r="BZ8" s="2670" t="s">
        <v>2896</v>
      </c>
      <c r="CB8" s="3202">
        <v>625001172.96291137</v>
      </c>
      <c r="CC8" s="3202">
        <v>272653168.19515389</v>
      </c>
      <c r="CD8" s="3201">
        <v>0</v>
      </c>
    </row>
    <row r="9" spans="1:82" ht="14.5" thickBot="1">
      <c r="A9" s="477">
        <v>1</v>
      </c>
      <c r="B9" s="477" t="s">
        <v>2822</v>
      </c>
      <c r="C9" s="941" t="s">
        <v>2821</v>
      </c>
      <c r="D9" s="941" t="s">
        <v>2820</v>
      </c>
      <c r="E9" s="941" t="s">
        <v>2819</v>
      </c>
      <c r="F9" s="3131">
        <f>'G-3.18 New Reg Amort'!BI21</f>
        <v>-89867.200000000186</v>
      </c>
      <c r="G9" s="1677"/>
      <c r="H9" s="1069">
        <f>'G-3.18 New Reg Amort'!S42</f>
        <v>-44933.640000000007</v>
      </c>
      <c r="J9" s="1069">
        <f>'G-3.18 New Reg Amort'!S43</f>
        <v>-44933.560000000005</v>
      </c>
      <c r="K9" s="477" t="s">
        <v>2818</v>
      </c>
      <c r="M9" s="477" t="s">
        <v>2817</v>
      </c>
      <c r="N9" s="477" t="s">
        <v>2810</v>
      </c>
      <c r="R9" s="877" t="s">
        <v>23</v>
      </c>
      <c r="S9" s="3142">
        <v>0</v>
      </c>
      <c r="W9" s="4052" t="s">
        <v>2861</v>
      </c>
      <c r="X9" s="4053"/>
      <c r="Y9" s="4053"/>
      <c r="Z9" s="4053"/>
      <c r="AA9" s="4053"/>
      <c r="AB9" s="4053"/>
      <c r="AC9" s="4053"/>
      <c r="AD9" s="4053"/>
      <c r="AE9" s="4053"/>
      <c r="AF9" s="4053"/>
      <c r="AG9" s="4053"/>
      <c r="AH9" s="4054"/>
      <c r="AL9" s="4052" t="s">
        <v>2868</v>
      </c>
      <c r="AM9" s="4053"/>
      <c r="AN9" s="4053"/>
      <c r="AO9" s="4053"/>
      <c r="AP9" s="4053"/>
      <c r="AQ9" s="4053"/>
      <c r="AR9" s="4053"/>
      <c r="AS9" s="4053"/>
      <c r="AT9" s="4053"/>
      <c r="AU9" s="4053"/>
      <c r="AV9" s="4053"/>
      <c r="AW9" s="4054"/>
      <c r="BQ9" s="3203"/>
      <c r="CD9" s="3203"/>
    </row>
    <row r="10" spans="1:82" ht="14.5" thickBot="1">
      <c r="A10" s="477">
        <v>2</v>
      </c>
      <c r="B10" s="477" t="s">
        <v>2816</v>
      </c>
      <c r="C10" s="941">
        <v>182343</v>
      </c>
      <c r="D10" s="941">
        <v>407343</v>
      </c>
      <c r="E10" s="941" t="s">
        <v>2812</v>
      </c>
      <c r="F10" s="3130">
        <f>'G-3.18 New Reg Amort'!Y39</f>
        <v>1449877.9400000002</v>
      </c>
      <c r="G10" s="1677"/>
      <c r="H10" s="1069">
        <f>'G-3.18 New Reg Amort'!Y41</f>
        <v>724938.96</v>
      </c>
      <c r="J10" s="1069">
        <f>'G-3.18 New Reg Amort'!Y42</f>
        <v>724938.98</v>
      </c>
      <c r="M10" s="477" t="s">
        <v>2815</v>
      </c>
      <c r="N10" s="477" t="s">
        <v>2814</v>
      </c>
      <c r="W10" s="3179"/>
      <c r="X10" s="3178"/>
      <c r="Z10" s="3177">
        <v>24</v>
      </c>
      <c r="AA10" s="3176" t="s">
        <v>2835</v>
      </c>
      <c r="AB10" s="3175"/>
      <c r="AC10" s="3174"/>
      <c r="AD10" s="3173"/>
      <c r="AE10" s="3173"/>
      <c r="AF10" s="3167"/>
      <c r="AG10" s="3167"/>
      <c r="AH10" s="3166"/>
      <c r="AL10" s="3179"/>
      <c r="AM10" s="3178"/>
      <c r="AO10" s="3177">
        <v>24</v>
      </c>
      <c r="AP10" s="3176" t="s">
        <v>2835</v>
      </c>
      <c r="AQ10" s="3175"/>
      <c r="AR10" s="3174"/>
      <c r="AS10" s="3173"/>
      <c r="AT10" s="3173"/>
      <c r="AU10" s="3167"/>
      <c r="AV10" s="3167"/>
      <c r="AW10" s="3166"/>
      <c r="BM10" s="2670" t="s">
        <v>2895</v>
      </c>
      <c r="BO10" s="3206">
        <v>4.0000000000000001E-3</v>
      </c>
      <c r="BP10" s="3206">
        <v>4.0000000000000001E-3</v>
      </c>
      <c r="BQ10" s="3201"/>
      <c r="BZ10" s="2670" t="s">
        <v>2895</v>
      </c>
      <c r="CB10" s="3206">
        <v>2E-3</v>
      </c>
      <c r="CC10" s="3206">
        <v>2E-3</v>
      </c>
      <c r="CD10" s="3201"/>
    </row>
    <row r="11" spans="1:82" ht="14.5" thickBot="1">
      <c r="A11" s="477">
        <v>3</v>
      </c>
      <c r="B11" s="477" t="s">
        <v>2813</v>
      </c>
      <c r="C11" s="941">
        <v>254227</v>
      </c>
      <c r="D11" s="941">
        <v>407437</v>
      </c>
      <c r="E11" s="941" t="s">
        <v>2812</v>
      </c>
      <c r="F11" s="2795">
        <f>'G-3.18 New Reg Amort'!AN51</f>
        <v>-760622.36999999965</v>
      </c>
      <c r="G11" s="1677"/>
      <c r="H11" s="1103">
        <f>'G-3.18 New Reg Amort'!AN53</f>
        <v>-380311.19999999995</v>
      </c>
      <c r="I11" s="937"/>
      <c r="J11" s="1103">
        <f>'G-3.18 New Reg Amort'!AN54</f>
        <v>-380311.17</v>
      </c>
      <c r="M11" s="477" t="s">
        <v>2811</v>
      </c>
      <c r="N11" s="477" t="s">
        <v>2810</v>
      </c>
      <c r="S11" s="2309" t="str">
        <f>'G-3.18 New Reg Amort'!C9</f>
        <v>186/253</v>
      </c>
      <c r="W11" s="3172"/>
      <c r="X11" s="3168" t="s">
        <v>24</v>
      </c>
      <c r="Z11" s="3171"/>
      <c r="AA11" s="3170" t="s">
        <v>2860</v>
      </c>
      <c r="AB11" s="3169">
        <v>5.0799999999999998E-2</v>
      </c>
      <c r="AC11" s="3168"/>
      <c r="AD11" s="3167"/>
      <c r="AE11" s="3167"/>
      <c r="AF11" s="3167"/>
      <c r="AG11" s="3167"/>
      <c r="AH11" s="3166"/>
      <c r="AL11" s="3172"/>
      <c r="AM11" s="3168" t="s">
        <v>24</v>
      </c>
      <c r="AO11" s="3171"/>
      <c r="AP11" s="3170" t="s">
        <v>2860</v>
      </c>
      <c r="AQ11" s="3169">
        <v>5.0799999999999998E-2</v>
      </c>
      <c r="AR11" s="3168"/>
      <c r="AS11" s="3167"/>
      <c r="AT11" s="3167"/>
      <c r="AU11" s="3167"/>
      <c r="AV11" s="3167"/>
      <c r="AW11" s="3166"/>
      <c r="BQ11" s="3203"/>
      <c r="CD11" s="3203"/>
    </row>
    <row r="12" spans="1:82" ht="56.5" thickBot="1">
      <c r="F12" s="3129"/>
      <c r="G12" s="3129"/>
      <c r="H12" s="3129"/>
      <c r="I12" s="3129"/>
      <c r="J12" s="3129"/>
      <c r="S12" s="974" t="s">
        <v>952</v>
      </c>
      <c r="W12" s="3165" t="s">
        <v>890</v>
      </c>
      <c r="X12" s="3164" t="s">
        <v>2859</v>
      </c>
      <c r="Y12" s="3164" t="s">
        <v>2858</v>
      </c>
      <c r="Z12" s="3163" t="s">
        <v>2857</v>
      </c>
      <c r="AA12" s="3163" t="s">
        <v>2856</v>
      </c>
      <c r="AB12" s="3163" t="s">
        <v>2855</v>
      </c>
      <c r="AC12" s="3163" t="s">
        <v>2854</v>
      </c>
      <c r="AD12" s="3163" t="s">
        <v>2853</v>
      </c>
      <c r="AE12" s="3162" t="s">
        <v>2852</v>
      </c>
      <c r="AF12" s="3162" t="s">
        <v>2851</v>
      </c>
      <c r="AG12" s="3162" t="s">
        <v>2850</v>
      </c>
      <c r="AH12" s="3161" t="s">
        <v>2849</v>
      </c>
      <c r="AL12" s="3165" t="s">
        <v>890</v>
      </c>
      <c r="AM12" s="3164" t="s">
        <v>2859</v>
      </c>
      <c r="AN12" s="3164" t="s">
        <v>2858</v>
      </c>
      <c r="AO12" s="3163" t="s">
        <v>2857</v>
      </c>
      <c r="AP12" s="3163" t="s">
        <v>2856</v>
      </c>
      <c r="AQ12" s="3163" t="s">
        <v>2855</v>
      </c>
      <c r="AR12" s="3163" t="s">
        <v>2854</v>
      </c>
      <c r="AS12" s="3163" t="s">
        <v>2853</v>
      </c>
      <c r="AT12" s="3162" t="s">
        <v>2852</v>
      </c>
      <c r="AU12" s="3162" t="s">
        <v>2851</v>
      </c>
      <c r="AV12" s="3162" t="s">
        <v>2850</v>
      </c>
      <c r="AW12" s="3161" t="s">
        <v>2849</v>
      </c>
      <c r="BM12" s="2670" t="s">
        <v>2894</v>
      </c>
      <c r="BO12" s="3202">
        <v>1143388.07</v>
      </c>
      <c r="BP12" s="3202">
        <v>330162.7</v>
      </c>
      <c r="BQ12" s="3205"/>
      <c r="BZ12" s="2670" t="s">
        <v>2901</v>
      </c>
      <c r="CB12" s="3202">
        <v>1143388.07</v>
      </c>
      <c r="CC12" s="3202">
        <v>330162.7</v>
      </c>
      <c r="CD12" s="3205"/>
    </row>
    <row r="13" spans="1:82" ht="29" thickTop="1" thickBot="1">
      <c r="B13" s="1217" t="s">
        <v>2809</v>
      </c>
      <c r="F13" s="3128">
        <f>SUM(F9:F11)</f>
        <v>599388.37000000034</v>
      </c>
      <c r="G13" s="1677"/>
      <c r="H13" s="3127">
        <f>SUM(H9:H11)</f>
        <v>299694.12</v>
      </c>
      <c r="I13" s="1677"/>
      <c r="J13" s="3126">
        <f>SUM(J9:J11)</f>
        <v>299694.24999999994</v>
      </c>
      <c r="R13" s="941" t="s">
        <v>890</v>
      </c>
      <c r="S13" s="974" t="str">
        <f>'G-3.18 New Reg Amort'!B9</f>
        <v>COVID 19 Deferral (Net)  (2020-2023)</v>
      </c>
      <c r="W13" s="3160" t="s">
        <v>2848</v>
      </c>
      <c r="X13" s="3159"/>
      <c r="Y13" s="3157" t="s">
        <v>2847</v>
      </c>
      <c r="Z13" s="3157" t="s">
        <v>2846</v>
      </c>
      <c r="AA13" s="3158"/>
      <c r="AB13" s="3157" t="s">
        <v>2845</v>
      </c>
      <c r="AC13" s="3157"/>
      <c r="AD13" s="3156" t="str">
        <f>AB13</f>
        <v>182343
GD WA</v>
      </c>
      <c r="AE13" s="3155" t="s">
        <v>2844</v>
      </c>
      <c r="AF13" s="3155" t="s">
        <v>2843</v>
      </c>
      <c r="AG13" s="3155" t="s">
        <v>2842</v>
      </c>
      <c r="AH13" s="3154" t="str">
        <f>AG13</f>
        <v>283xxx
GD WA</v>
      </c>
      <c r="AL13" s="3160" t="s">
        <v>2848</v>
      </c>
      <c r="AM13" s="3159"/>
      <c r="AN13" s="3157" t="s">
        <v>2867</v>
      </c>
      <c r="AO13" s="3157" t="s">
        <v>2866</v>
      </c>
      <c r="AP13" s="3158"/>
      <c r="AQ13" s="3157" t="s">
        <v>2865</v>
      </c>
      <c r="AR13" s="3157"/>
      <c r="AS13" s="3156" t="str">
        <f>AQ13</f>
        <v>254227
GD WA</v>
      </c>
      <c r="AT13" s="3155" t="s">
        <v>2864</v>
      </c>
      <c r="AU13" s="3155" t="s">
        <v>2863</v>
      </c>
      <c r="AV13" s="3155" t="s">
        <v>2862</v>
      </c>
      <c r="AW13" s="3154" t="str">
        <f>AV13</f>
        <v>190xxx
GD WA</v>
      </c>
      <c r="BO13" s="3204"/>
      <c r="BP13" s="3204"/>
      <c r="BQ13" s="3203"/>
      <c r="CB13" s="3202"/>
      <c r="CC13" s="3202"/>
      <c r="CD13" s="3205"/>
    </row>
    <row r="14" spans="1:82" ht="15.5" thickTop="1" thickBot="1">
      <c r="R14" s="1217" t="s">
        <v>2834</v>
      </c>
      <c r="S14" s="3141">
        <f>'G-3.18 New Reg Amort'!F9</f>
        <v>-89867.200000000186</v>
      </c>
      <c r="W14" s="3153" t="s">
        <v>2439</v>
      </c>
      <c r="X14" s="3147">
        <f>'G-3.18 New Reg Amort'!BV48+'G-3.18 New Reg Amort'!CI33</f>
        <v>1378803.831140961</v>
      </c>
      <c r="Y14" s="3147"/>
      <c r="Z14" s="3147"/>
      <c r="AA14" s="3147"/>
      <c r="AB14" s="3147"/>
      <c r="AC14" s="3147"/>
      <c r="AD14" s="3152">
        <f>X14</f>
        <v>1378803.831140961</v>
      </c>
      <c r="AE14" s="3147"/>
      <c r="AF14" s="3147"/>
      <c r="AG14" s="3147"/>
      <c r="AH14" s="3151">
        <f>AD14*21%</f>
        <v>289548.80453960178</v>
      </c>
      <c r="AL14" s="3153" t="s">
        <v>2439</v>
      </c>
      <c r="AM14" s="3147"/>
      <c r="AN14" s="3147"/>
      <c r="AO14" s="3147"/>
      <c r="AP14" s="3147"/>
      <c r="AQ14" s="3147"/>
      <c r="AR14" s="3147"/>
      <c r="AS14" s="3147">
        <v>0</v>
      </c>
      <c r="AT14" s="3147"/>
      <c r="AU14" s="3147"/>
      <c r="AV14" s="3147"/>
      <c r="AW14" s="3151">
        <f>AS14*21%</f>
        <v>0</v>
      </c>
      <c r="BM14" s="2670" t="s">
        <v>2893</v>
      </c>
      <c r="BO14" s="3202">
        <v>2377130.4178448524</v>
      </c>
      <c r="BP14" s="3202">
        <v>887607.10936</v>
      </c>
      <c r="BQ14" s="3201">
        <v>0</v>
      </c>
      <c r="BZ14" s="2670" t="s">
        <v>2900</v>
      </c>
      <c r="CB14" s="3202">
        <v>2500004.6918516457</v>
      </c>
      <c r="CC14" s="3202">
        <v>1090612.6727806155</v>
      </c>
      <c r="CD14" s="3201">
        <v>0</v>
      </c>
    </row>
    <row r="15" spans="1:82" ht="14.5">
      <c r="H15" s="1069"/>
      <c r="R15" s="3139">
        <v>45688</v>
      </c>
      <c r="S15" s="3135">
        <f t="shared" ref="S15:S37" si="0">ROUND($S$14/S$8,2)</f>
        <v>-3744.47</v>
      </c>
      <c r="W15" s="3150">
        <v>45688</v>
      </c>
      <c r="X15" s="3149"/>
      <c r="Y15" s="3149">
        <f t="shared" ref="Y15:Y37" si="1">ROUND((AA14+$Z$40)/$Z$10,2)</f>
        <v>60411.58</v>
      </c>
      <c r="Z15" s="3149">
        <f t="shared" ref="Z15:Z38" si="2">ROUND(-(AD14+AD14-X15-Y15)/2*$AB$11/12,2)</f>
        <v>-5709.07</v>
      </c>
      <c r="AA15" s="3147">
        <f t="shared" ref="AA15:AA38" si="3">AA14-X15</f>
        <v>0</v>
      </c>
      <c r="AB15" s="3147">
        <f t="shared" ref="AB15:AB38" si="4">-X15+-Z15-Y15</f>
        <v>-54702.51</v>
      </c>
      <c r="AC15" s="3147"/>
      <c r="AD15" s="3149">
        <f t="shared" ref="AD15:AD38" si="5">AD14-X15-Y15-Z15</f>
        <v>1324101.321140961</v>
      </c>
      <c r="AE15" s="3149">
        <f t="shared" ref="AE15:AE38" si="6">(-X15-Y15)*0.21</f>
        <v>-12686.4318</v>
      </c>
      <c r="AF15" s="3149">
        <f t="shared" ref="AF15:AF38" si="7">(-Z15)*0.21</f>
        <v>1198.9046999999998</v>
      </c>
      <c r="AG15" s="3149">
        <f t="shared" ref="AG15:AG38" si="8">-AE15-AF15</f>
        <v>11487.527100000001</v>
      </c>
      <c r="AH15" s="3149">
        <f t="shared" ref="AH15:AH38" si="9">AH14+AG15</f>
        <v>301036.33163960179</v>
      </c>
      <c r="AL15" s="3150">
        <v>45322</v>
      </c>
      <c r="AM15" s="3151">
        <v>58763</v>
      </c>
      <c r="AN15" s="3151"/>
      <c r="AO15" s="3149">
        <f t="shared" ref="AO15:AO50" si="10">ROUND(-(AS14+AS14-AM15-AN15)/2*$AQ$11/12,2)</f>
        <v>124.38</v>
      </c>
      <c r="AP15" s="3147">
        <f t="shared" ref="AP15:AP50" si="11">AP14-AM15</f>
        <v>-58763</v>
      </c>
      <c r="AQ15" s="3147">
        <f t="shared" ref="AQ15:AQ50" si="12">-AM15+-AO15-AN15</f>
        <v>-58887.38</v>
      </c>
      <c r="AR15" s="3147"/>
      <c r="AS15" s="3149">
        <f t="shared" ref="AS15:AS50" si="13">AS14-AM15-AN15-AO15</f>
        <v>-58887.38</v>
      </c>
      <c r="AT15" s="3149">
        <f t="shared" ref="AT15:AT50" si="14">(-AM15-AN15)*0.21</f>
        <v>-12340.23</v>
      </c>
      <c r="AU15" s="3149">
        <f t="shared" ref="AU15:AU50" si="15">(-AO15)*0.21</f>
        <v>-26.119799999999998</v>
      </c>
      <c r="AV15" s="3149">
        <f t="shared" ref="AV15:AV50" si="16">-AT15-AU15</f>
        <v>12366.3498</v>
      </c>
      <c r="AW15" s="3149">
        <f t="shared" ref="AW15:AW50" si="17">AW14+AV15</f>
        <v>12366.3498</v>
      </c>
      <c r="BO15" s="3200"/>
      <c r="BP15" s="3200"/>
      <c r="BQ15" s="3203"/>
      <c r="CB15" s="3200"/>
      <c r="CC15" s="3200"/>
      <c r="CD15" s="3203"/>
    </row>
    <row r="16" spans="1:82" ht="14.5">
      <c r="F16" s="477" t="s">
        <v>2808</v>
      </c>
      <c r="H16" s="1069">
        <f>+H9+H10+H11</f>
        <v>299694.12</v>
      </c>
      <c r="R16" s="3140">
        <v>45716</v>
      </c>
      <c r="S16" s="3135">
        <f t="shared" si="0"/>
        <v>-3744.47</v>
      </c>
      <c r="W16" s="3150">
        <v>45716</v>
      </c>
      <c r="X16" s="3149"/>
      <c r="Y16" s="3149">
        <f t="shared" si="1"/>
        <v>60411.58</v>
      </c>
      <c r="Z16" s="3149">
        <f t="shared" si="2"/>
        <v>-5477.49</v>
      </c>
      <c r="AA16" s="3147">
        <f t="shared" si="3"/>
        <v>0</v>
      </c>
      <c r="AB16" s="3147">
        <f t="shared" si="4"/>
        <v>-54934.090000000004</v>
      </c>
      <c r="AC16" s="3147"/>
      <c r="AD16" s="3149">
        <f t="shared" si="5"/>
        <v>1269167.2311409609</v>
      </c>
      <c r="AE16" s="3149">
        <f t="shared" si="6"/>
        <v>-12686.4318</v>
      </c>
      <c r="AF16" s="3149">
        <f t="shared" si="7"/>
        <v>1150.2728999999999</v>
      </c>
      <c r="AG16" s="3149">
        <f t="shared" si="8"/>
        <v>11536.1589</v>
      </c>
      <c r="AH16" s="3149">
        <f t="shared" si="9"/>
        <v>312572.49053960177</v>
      </c>
      <c r="AL16" s="3150">
        <v>45351</v>
      </c>
      <c r="AM16" s="3151">
        <v>58763</v>
      </c>
      <c r="AN16" s="3151"/>
      <c r="AO16" s="3149">
        <f t="shared" si="10"/>
        <v>373.67</v>
      </c>
      <c r="AP16" s="3147">
        <f t="shared" si="11"/>
        <v>-117526</v>
      </c>
      <c r="AQ16" s="3147">
        <f t="shared" si="12"/>
        <v>-59136.67</v>
      </c>
      <c r="AR16" s="3147"/>
      <c r="AS16" s="3149">
        <f t="shared" si="13"/>
        <v>-118024.05</v>
      </c>
      <c r="AT16" s="3149">
        <f t="shared" si="14"/>
        <v>-12340.23</v>
      </c>
      <c r="AU16" s="3149">
        <f t="shared" si="15"/>
        <v>-78.470699999999994</v>
      </c>
      <c r="AV16" s="3149">
        <f t="shared" si="16"/>
        <v>12418.700699999999</v>
      </c>
      <c r="AW16" s="3149">
        <f t="shared" si="17"/>
        <v>24785.050499999998</v>
      </c>
      <c r="BM16" s="2670" t="s">
        <v>2892</v>
      </c>
      <c r="BO16" s="3202">
        <v>-1233742.3478448524</v>
      </c>
      <c r="BP16" s="3202">
        <v>-557444.40935999993</v>
      </c>
      <c r="BQ16" s="3201">
        <v>0</v>
      </c>
      <c r="BZ16" s="2670" t="s">
        <v>2892</v>
      </c>
      <c r="CB16" s="3202">
        <v>-1356616.6218516456</v>
      </c>
      <c r="CC16" s="3202">
        <v>-760449.97278061556</v>
      </c>
      <c r="CD16" s="3201">
        <v>0</v>
      </c>
    </row>
    <row r="17" spans="2:87" ht="14.5">
      <c r="B17" s="477" t="s">
        <v>2807</v>
      </c>
      <c r="R17" s="3139">
        <v>45747</v>
      </c>
      <c r="S17" s="3135">
        <f t="shared" si="0"/>
        <v>-3744.47</v>
      </c>
      <c r="W17" s="3150">
        <v>45747</v>
      </c>
      <c r="X17" s="3149"/>
      <c r="Y17" s="3149">
        <f t="shared" si="1"/>
        <v>60411.58</v>
      </c>
      <c r="Z17" s="3149">
        <f t="shared" si="2"/>
        <v>-5244.94</v>
      </c>
      <c r="AA17" s="3147">
        <f t="shared" si="3"/>
        <v>0</v>
      </c>
      <c r="AB17" s="3147">
        <f t="shared" si="4"/>
        <v>-55166.64</v>
      </c>
      <c r="AC17" s="3147"/>
      <c r="AD17" s="3149">
        <f t="shared" si="5"/>
        <v>1214000.5911409608</v>
      </c>
      <c r="AE17" s="3149">
        <f t="shared" si="6"/>
        <v>-12686.4318</v>
      </c>
      <c r="AF17" s="3149">
        <f t="shared" si="7"/>
        <v>1101.4373999999998</v>
      </c>
      <c r="AG17" s="3149">
        <f t="shared" si="8"/>
        <v>11584.9944</v>
      </c>
      <c r="AH17" s="3149">
        <f t="shared" si="9"/>
        <v>324157.4849396018</v>
      </c>
      <c r="AL17" s="3150">
        <v>45382</v>
      </c>
      <c r="AM17" s="3151">
        <v>58763</v>
      </c>
      <c r="AN17" s="3151"/>
      <c r="AO17" s="3149">
        <f t="shared" si="10"/>
        <v>624.02</v>
      </c>
      <c r="AP17" s="3147">
        <f t="shared" si="11"/>
        <v>-176289</v>
      </c>
      <c r="AQ17" s="3147">
        <f t="shared" si="12"/>
        <v>-59387.02</v>
      </c>
      <c r="AR17" s="3147"/>
      <c r="AS17" s="3149">
        <f t="shared" si="13"/>
        <v>-177411.06999999998</v>
      </c>
      <c r="AT17" s="3149">
        <f t="shared" si="14"/>
        <v>-12340.23</v>
      </c>
      <c r="AU17" s="3149">
        <f t="shared" si="15"/>
        <v>-131.04419999999999</v>
      </c>
      <c r="AV17" s="3149">
        <f t="shared" si="16"/>
        <v>12471.2742</v>
      </c>
      <c r="AW17" s="3149">
        <f t="shared" si="17"/>
        <v>37256.324699999997</v>
      </c>
      <c r="BO17" s="3200"/>
      <c r="BP17" s="3200"/>
      <c r="BQ17" s="3203"/>
      <c r="CB17" s="3200"/>
      <c r="CC17" s="3200"/>
      <c r="CD17" s="3203"/>
    </row>
    <row r="18" spans="2:87" ht="14.5">
      <c r="B18" s="477" t="s">
        <v>2806</v>
      </c>
      <c r="R18" s="3139">
        <v>45777</v>
      </c>
      <c r="S18" s="3135">
        <f t="shared" si="0"/>
        <v>-3744.47</v>
      </c>
      <c r="W18" s="3150">
        <v>45777</v>
      </c>
      <c r="X18" s="3149"/>
      <c r="Y18" s="3149">
        <f t="shared" si="1"/>
        <v>60411.58</v>
      </c>
      <c r="Z18" s="3149">
        <f t="shared" si="2"/>
        <v>-5011.3999999999996</v>
      </c>
      <c r="AA18" s="3147">
        <f t="shared" si="3"/>
        <v>0</v>
      </c>
      <c r="AB18" s="3147">
        <f t="shared" si="4"/>
        <v>-55400.18</v>
      </c>
      <c r="AC18" s="3147"/>
      <c r="AD18" s="3149">
        <f t="shared" si="5"/>
        <v>1158600.4111409606</v>
      </c>
      <c r="AE18" s="3149">
        <f t="shared" si="6"/>
        <v>-12686.4318</v>
      </c>
      <c r="AF18" s="3149">
        <f t="shared" si="7"/>
        <v>1052.3939999999998</v>
      </c>
      <c r="AG18" s="3149">
        <f t="shared" si="8"/>
        <v>11634.0378</v>
      </c>
      <c r="AH18" s="3149">
        <f t="shared" si="9"/>
        <v>335791.52273960179</v>
      </c>
      <c r="AL18" s="3150">
        <v>45412</v>
      </c>
      <c r="AM18" s="3151">
        <v>58763</v>
      </c>
      <c r="AN18" s="3151"/>
      <c r="AO18" s="3149">
        <f t="shared" si="10"/>
        <v>875.42</v>
      </c>
      <c r="AP18" s="3147">
        <f t="shared" si="11"/>
        <v>-235052</v>
      </c>
      <c r="AQ18" s="3147">
        <f t="shared" si="12"/>
        <v>-59638.42</v>
      </c>
      <c r="AR18" s="3147"/>
      <c r="AS18" s="3149">
        <f t="shared" si="13"/>
        <v>-237049.49</v>
      </c>
      <c r="AT18" s="3149">
        <f t="shared" si="14"/>
        <v>-12340.23</v>
      </c>
      <c r="AU18" s="3149">
        <f t="shared" si="15"/>
        <v>-183.83819999999997</v>
      </c>
      <c r="AV18" s="3149">
        <f t="shared" si="16"/>
        <v>12524.0682</v>
      </c>
      <c r="AW18" s="3149">
        <f t="shared" si="17"/>
        <v>49780.392899999999</v>
      </c>
      <c r="BM18" s="2670" t="s">
        <v>764</v>
      </c>
      <c r="BO18" s="3202">
        <f>ROUND(BO16/12,2)</f>
        <v>-102811.86</v>
      </c>
      <c r="BP18" s="3202">
        <f>ROUND(BP16/12,2)</f>
        <v>-46453.7</v>
      </c>
      <c r="BQ18" s="3201"/>
      <c r="BR18" s="3200"/>
      <c r="BS18" s="3199" t="s">
        <v>2891</v>
      </c>
      <c r="BT18" s="3199"/>
      <c r="BU18" s="3198"/>
      <c r="BZ18" s="2670" t="s">
        <v>764</v>
      </c>
      <c r="CB18" s="3202">
        <f>ROUND(CB16/12,2)</f>
        <v>-113051.39</v>
      </c>
      <c r="CC18" s="3202">
        <f>ROUND(CC16/12,2)</f>
        <v>-63370.83</v>
      </c>
      <c r="CD18" s="3201"/>
      <c r="CE18" s="3200"/>
      <c r="CF18" s="3199" t="s">
        <v>2891</v>
      </c>
      <c r="CG18" s="3199"/>
      <c r="CH18" s="3198"/>
    </row>
    <row r="19" spans="2:87" ht="26.5" thickBot="1">
      <c r="B19" s="477" t="s">
        <v>2805</v>
      </c>
      <c r="R19" s="3140">
        <v>45808</v>
      </c>
      <c r="S19" s="3135">
        <f t="shared" si="0"/>
        <v>-3744.47</v>
      </c>
      <c r="W19" s="3150">
        <v>45808</v>
      </c>
      <c r="X19" s="3149"/>
      <c r="Y19" s="3149">
        <f t="shared" si="1"/>
        <v>60411.58</v>
      </c>
      <c r="Z19" s="3149">
        <f t="shared" si="2"/>
        <v>-4776.87</v>
      </c>
      <c r="AA19" s="3147">
        <f t="shared" si="3"/>
        <v>0</v>
      </c>
      <c r="AB19" s="3147">
        <f t="shared" si="4"/>
        <v>-55634.71</v>
      </c>
      <c r="AC19" s="3147"/>
      <c r="AD19" s="3149">
        <f t="shared" si="5"/>
        <v>1102965.7011409607</v>
      </c>
      <c r="AE19" s="3149">
        <f t="shared" si="6"/>
        <v>-12686.4318</v>
      </c>
      <c r="AF19" s="3149">
        <f t="shared" si="7"/>
        <v>1003.1427</v>
      </c>
      <c r="AG19" s="3149">
        <f t="shared" si="8"/>
        <v>11683.2891</v>
      </c>
      <c r="AH19" s="3149">
        <f t="shared" si="9"/>
        <v>347474.81183960178</v>
      </c>
      <c r="AL19" s="3150">
        <v>45443</v>
      </c>
      <c r="AM19" s="3151">
        <v>58763</v>
      </c>
      <c r="AN19" s="3151"/>
      <c r="AO19" s="3149">
        <f t="shared" si="10"/>
        <v>1127.8900000000001</v>
      </c>
      <c r="AP19" s="3147">
        <f t="shared" si="11"/>
        <v>-293815</v>
      </c>
      <c r="AQ19" s="3147">
        <f t="shared" si="12"/>
        <v>-59890.89</v>
      </c>
      <c r="AR19" s="3147"/>
      <c r="AS19" s="3149">
        <f t="shared" si="13"/>
        <v>-296940.38</v>
      </c>
      <c r="AT19" s="3149">
        <f t="shared" si="14"/>
        <v>-12340.23</v>
      </c>
      <c r="AU19" s="3149">
        <f t="shared" si="15"/>
        <v>-236.85690000000002</v>
      </c>
      <c r="AV19" s="3149">
        <f t="shared" si="16"/>
        <v>12577.0869</v>
      </c>
      <c r="AW19" s="3149">
        <f t="shared" si="17"/>
        <v>62357.479800000001</v>
      </c>
      <c r="BO19" s="3193"/>
      <c r="BP19" s="3193"/>
      <c r="BQ19" s="3193"/>
      <c r="BS19" s="3197" t="s">
        <v>2890</v>
      </c>
      <c r="BT19" s="3197" t="s">
        <v>2889</v>
      </c>
      <c r="BU19" s="3197" t="s">
        <v>2888</v>
      </c>
      <c r="BV19" s="3197" t="s">
        <v>2887</v>
      </c>
      <c r="CB19" s="3193"/>
      <c r="CC19" s="3193"/>
      <c r="CD19" s="3193"/>
      <c r="CF19" s="3197" t="s">
        <v>2890</v>
      </c>
      <c r="CG19" s="3197" t="s">
        <v>2889</v>
      </c>
      <c r="CH19" s="3197" t="s">
        <v>2888</v>
      </c>
      <c r="CI19" s="3197" t="s">
        <v>2887</v>
      </c>
    </row>
    <row r="20" spans="2:87" ht="15" thickBot="1">
      <c r="R20" s="3139">
        <v>45838</v>
      </c>
      <c r="S20" s="3135">
        <f t="shared" si="0"/>
        <v>-3744.47</v>
      </c>
      <c r="W20" s="3150">
        <v>45838</v>
      </c>
      <c r="X20" s="3149"/>
      <c r="Y20" s="3149">
        <f t="shared" si="1"/>
        <v>60411.58</v>
      </c>
      <c r="Z20" s="3149">
        <f t="shared" si="2"/>
        <v>-4541.3500000000004</v>
      </c>
      <c r="AA20" s="3147">
        <f t="shared" si="3"/>
        <v>0</v>
      </c>
      <c r="AB20" s="3147">
        <f t="shared" si="4"/>
        <v>-55870.23</v>
      </c>
      <c r="AC20" s="3147"/>
      <c r="AD20" s="3149">
        <f t="shared" si="5"/>
        <v>1047095.4711409607</v>
      </c>
      <c r="AE20" s="3149">
        <f t="shared" si="6"/>
        <v>-12686.4318</v>
      </c>
      <c r="AF20" s="3149">
        <f t="shared" si="7"/>
        <v>953.68350000000009</v>
      </c>
      <c r="AG20" s="3149">
        <f t="shared" si="8"/>
        <v>11732.748299999999</v>
      </c>
      <c r="AH20" s="3149">
        <f t="shared" si="9"/>
        <v>359207.56013960176</v>
      </c>
      <c r="AL20" s="3150">
        <v>45473</v>
      </c>
      <c r="AM20" s="3151">
        <v>58763</v>
      </c>
      <c r="AN20" s="3151"/>
      <c r="AO20" s="3149">
        <f t="shared" si="10"/>
        <v>1381.43</v>
      </c>
      <c r="AP20" s="3147">
        <f t="shared" si="11"/>
        <v>-352578</v>
      </c>
      <c r="AQ20" s="3147">
        <f t="shared" si="12"/>
        <v>-60144.43</v>
      </c>
      <c r="AR20" s="3147"/>
      <c r="AS20" s="3149">
        <f t="shared" si="13"/>
        <v>-357084.81</v>
      </c>
      <c r="AT20" s="3149">
        <f t="shared" si="14"/>
        <v>-12340.23</v>
      </c>
      <c r="AU20" s="3149">
        <f t="shared" si="15"/>
        <v>-290.1003</v>
      </c>
      <c r="AV20" s="3149">
        <f t="shared" si="16"/>
        <v>12630.3303</v>
      </c>
      <c r="AW20" s="3149">
        <f t="shared" si="17"/>
        <v>74987.810100000002</v>
      </c>
      <c r="BB20" s="3184" t="s">
        <v>2881</v>
      </c>
      <c r="BC20" s="3183" t="s">
        <v>2880</v>
      </c>
      <c r="BD20" s="3183" t="s">
        <v>2879</v>
      </c>
      <c r="BE20" s="3183" t="s">
        <v>2878</v>
      </c>
      <c r="BF20" s="3183" t="s">
        <v>2877</v>
      </c>
      <c r="BH20" s="941" t="s">
        <v>2876</v>
      </c>
      <c r="BI20" s="941" t="s">
        <v>2875</v>
      </c>
      <c r="BJ20" s="941" t="s">
        <v>24</v>
      </c>
      <c r="BM20" s="2670" t="s">
        <v>2886</v>
      </c>
      <c r="BO20" s="4050">
        <v>407443</v>
      </c>
      <c r="BP20" s="4051"/>
      <c r="BQ20" s="4050">
        <v>182343</v>
      </c>
      <c r="BR20" s="4051"/>
      <c r="BS20" s="3197" t="s">
        <v>2439</v>
      </c>
      <c r="BT20" s="3197" t="s">
        <v>2439</v>
      </c>
      <c r="BU20" s="3196" t="s">
        <v>2151</v>
      </c>
      <c r="BV20" s="3196" t="s">
        <v>2151</v>
      </c>
      <c r="BZ20" s="2670" t="s">
        <v>2886</v>
      </c>
      <c r="CB20" s="4050">
        <v>407443</v>
      </c>
      <c r="CC20" s="4051"/>
      <c r="CD20" s="4050">
        <v>182343</v>
      </c>
      <c r="CE20" s="4051"/>
      <c r="CF20" s="3197" t="s">
        <v>2439</v>
      </c>
      <c r="CG20" s="3197" t="s">
        <v>2439</v>
      </c>
      <c r="CH20" s="3196" t="s">
        <v>2151</v>
      </c>
      <c r="CI20" s="3196" t="s">
        <v>2151</v>
      </c>
    </row>
    <row r="21" spans="2:87" ht="14.5">
      <c r="R21" s="3139">
        <v>45869</v>
      </c>
      <c r="S21" s="3135">
        <f t="shared" si="0"/>
        <v>-3744.47</v>
      </c>
      <c r="W21" s="3150">
        <v>45869</v>
      </c>
      <c r="X21" s="3149"/>
      <c r="Y21" s="3149">
        <f t="shared" si="1"/>
        <v>60411.58</v>
      </c>
      <c r="Z21" s="3149">
        <f t="shared" si="2"/>
        <v>-4304.83</v>
      </c>
      <c r="AA21" s="3147">
        <f t="shared" si="3"/>
        <v>0</v>
      </c>
      <c r="AB21" s="3147">
        <f t="shared" si="4"/>
        <v>-56106.75</v>
      </c>
      <c r="AC21" s="3147"/>
      <c r="AD21" s="3149">
        <f t="shared" si="5"/>
        <v>990988.7211409607</v>
      </c>
      <c r="AE21" s="3149">
        <f t="shared" si="6"/>
        <v>-12686.4318</v>
      </c>
      <c r="AF21" s="3149">
        <f t="shared" si="7"/>
        <v>904.01429999999993</v>
      </c>
      <c r="AG21" s="3149">
        <f t="shared" si="8"/>
        <v>11782.4175</v>
      </c>
      <c r="AH21" s="3149">
        <f t="shared" si="9"/>
        <v>370989.97763960174</v>
      </c>
      <c r="AL21" s="3150">
        <v>45504</v>
      </c>
      <c r="AM21" s="3151">
        <v>58763</v>
      </c>
      <c r="AN21" s="3151"/>
      <c r="AO21" s="3149">
        <f t="shared" si="10"/>
        <v>1636.04</v>
      </c>
      <c r="AP21" s="3147">
        <f t="shared" si="11"/>
        <v>-411341</v>
      </c>
      <c r="AQ21" s="3147">
        <f t="shared" si="12"/>
        <v>-60399.040000000001</v>
      </c>
      <c r="AR21" s="3147"/>
      <c r="AS21" s="3149">
        <f t="shared" si="13"/>
        <v>-417483.85</v>
      </c>
      <c r="AT21" s="3149">
        <f t="shared" si="14"/>
        <v>-12340.23</v>
      </c>
      <c r="AU21" s="3149">
        <f t="shared" si="15"/>
        <v>-343.5684</v>
      </c>
      <c r="AV21" s="3149">
        <f t="shared" si="16"/>
        <v>12683.7984</v>
      </c>
      <c r="AW21" s="3149">
        <f t="shared" si="17"/>
        <v>87671.608500000002</v>
      </c>
      <c r="BB21" s="182" t="s">
        <v>2874</v>
      </c>
      <c r="BC21" s="995" t="s">
        <v>2873</v>
      </c>
      <c r="BD21" s="477" t="s">
        <v>681</v>
      </c>
      <c r="BE21" s="477" t="s">
        <v>763</v>
      </c>
      <c r="BF21" s="2796">
        <v>2297868.02</v>
      </c>
      <c r="BH21" s="1069">
        <f>SUM(BF21:BF23)</f>
        <v>2109589.7599999998</v>
      </c>
      <c r="BI21" s="1069">
        <f>SUM(BF24:BF26)</f>
        <v>-89867.200000000186</v>
      </c>
      <c r="BJ21" s="1069">
        <f>SUM(BH21:BI21)</f>
        <v>2019722.5599999996</v>
      </c>
      <c r="BM21" s="2670" t="s">
        <v>2885</v>
      </c>
      <c r="BO21" s="3195" t="s">
        <v>968</v>
      </c>
      <c r="BP21" s="3195" t="s">
        <v>971</v>
      </c>
      <c r="BQ21" s="3195" t="s">
        <v>968</v>
      </c>
      <c r="BR21" s="3195" t="s">
        <v>971</v>
      </c>
      <c r="BS21" s="3194">
        <v>4.879E-2</v>
      </c>
      <c r="BT21" s="3194">
        <v>4.879E-2</v>
      </c>
      <c r="BU21" s="3193">
        <v>0</v>
      </c>
      <c r="BV21" s="3193">
        <v>0</v>
      </c>
      <c r="CB21" s="3195" t="s">
        <v>968</v>
      </c>
      <c r="CC21" s="3195" t="s">
        <v>971</v>
      </c>
      <c r="CD21" s="3195" t="s">
        <v>968</v>
      </c>
      <c r="CE21" s="3195" t="s">
        <v>971</v>
      </c>
      <c r="CF21" s="3211">
        <v>4.9000000000000002E-2</v>
      </c>
      <c r="CG21" s="3194">
        <v>4.879E-2</v>
      </c>
      <c r="CH21" s="3193">
        <v>0</v>
      </c>
      <c r="CI21" s="3193">
        <v>0</v>
      </c>
    </row>
    <row r="22" spans="2:87" ht="14.5">
      <c r="R22" s="3140">
        <v>45900</v>
      </c>
      <c r="S22" s="3135">
        <f t="shared" si="0"/>
        <v>-3744.47</v>
      </c>
      <c r="W22" s="3150">
        <v>45900</v>
      </c>
      <c r="X22" s="3149"/>
      <c r="Y22" s="3149">
        <f t="shared" si="1"/>
        <v>60411.58</v>
      </c>
      <c r="Z22" s="3149">
        <f t="shared" si="2"/>
        <v>-4067.31</v>
      </c>
      <c r="AA22" s="3147">
        <f t="shared" si="3"/>
        <v>0</v>
      </c>
      <c r="AB22" s="3147">
        <f t="shared" si="4"/>
        <v>-56344.270000000004</v>
      </c>
      <c r="AC22" s="3147"/>
      <c r="AD22" s="3149">
        <f t="shared" si="5"/>
        <v>934644.45114096079</v>
      </c>
      <c r="AE22" s="3149">
        <f t="shared" si="6"/>
        <v>-12686.4318</v>
      </c>
      <c r="AF22" s="3149">
        <f t="shared" si="7"/>
        <v>854.13509999999997</v>
      </c>
      <c r="AG22" s="3149">
        <f t="shared" si="8"/>
        <v>11832.296700000001</v>
      </c>
      <c r="AH22" s="3149">
        <f t="shared" si="9"/>
        <v>382822.27433960175</v>
      </c>
      <c r="AL22" s="3150">
        <v>45535</v>
      </c>
      <c r="AM22" s="3151">
        <v>58763</v>
      </c>
      <c r="AN22" s="3151"/>
      <c r="AO22" s="3149">
        <f t="shared" si="10"/>
        <v>1891.73</v>
      </c>
      <c r="AP22" s="3147">
        <f t="shared" si="11"/>
        <v>-470104</v>
      </c>
      <c r="AQ22" s="3147">
        <f t="shared" si="12"/>
        <v>-60654.73</v>
      </c>
      <c r="AR22" s="3147"/>
      <c r="AS22" s="3149">
        <f t="shared" si="13"/>
        <v>-478138.57999999996</v>
      </c>
      <c r="AT22" s="3149">
        <f t="shared" si="14"/>
        <v>-12340.23</v>
      </c>
      <c r="AU22" s="3149">
        <f t="shared" si="15"/>
        <v>-397.26330000000002</v>
      </c>
      <c r="AV22" s="3149">
        <f t="shared" si="16"/>
        <v>12737.4933</v>
      </c>
      <c r="AW22" s="3149">
        <f t="shared" si="17"/>
        <v>100409.1018</v>
      </c>
      <c r="BB22" s="182" t="s">
        <v>2872</v>
      </c>
      <c r="BC22" s="995" t="s">
        <v>2871</v>
      </c>
      <c r="BD22" s="477" t="s">
        <v>681</v>
      </c>
      <c r="BE22" s="477" t="s">
        <v>763</v>
      </c>
      <c r="BF22" s="2796">
        <v>5338074.74</v>
      </c>
      <c r="BM22" s="2670" t="s">
        <v>852</v>
      </c>
      <c r="BO22" s="3191">
        <v>0</v>
      </c>
      <c r="BP22" s="3191">
        <v>0</v>
      </c>
      <c r="BQ22" s="3191">
        <f t="shared" ref="BQ22:BQ33" si="18">-BO22</f>
        <v>0</v>
      </c>
      <c r="BR22" s="3191">
        <f t="shared" ref="BR22:BR33" si="19">-BP22</f>
        <v>0</v>
      </c>
      <c r="BS22" s="3193">
        <f t="shared" ref="BS22:BS33" si="20">(BU21+BQ22/2)*BS$21/12</f>
        <v>0</v>
      </c>
      <c r="BT22" s="3193">
        <f t="shared" ref="BT22:BT33" si="21">(BV21+BR22/2)*BT$21/12</f>
        <v>0</v>
      </c>
      <c r="BU22" s="3193">
        <f t="shared" ref="BU22:BU33" si="22">BU21+BQ22+BS22</f>
        <v>0</v>
      </c>
      <c r="BV22" s="3193">
        <f>BV21+BR22+BU22</f>
        <v>0</v>
      </c>
      <c r="BZ22" s="2670" t="s">
        <v>852</v>
      </c>
      <c r="CB22" s="3191">
        <f t="shared" ref="CB22:CB33" si="23">+$CB$18</f>
        <v>-113051.39</v>
      </c>
      <c r="CC22" s="3191">
        <f t="shared" ref="CC22:CC33" si="24">+$CC$18</f>
        <v>-63370.83</v>
      </c>
      <c r="CD22" s="3191">
        <f t="shared" ref="CD22:CD33" si="25">-CB22</f>
        <v>113051.39</v>
      </c>
      <c r="CE22" s="3191">
        <f t="shared" ref="CE22:CE33" si="26">-CC22</f>
        <v>63370.83</v>
      </c>
      <c r="CF22" s="3193">
        <f t="shared" ref="CF22:CF33" si="27">(CH21+CD22/2)*CF$21/12</f>
        <v>230.81325458333333</v>
      </c>
      <c r="CG22" s="3187">
        <f t="shared" ref="CG22:CG33" si="28">(CI21+CE22/2)*CG$21/12</f>
        <v>128.82761648749999</v>
      </c>
      <c r="CH22" s="3193">
        <f t="shared" ref="CH22:CH33" si="29">CH21+CD22+CF22</f>
        <v>113282.20325458334</v>
      </c>
      <c r="CI22" s="3187">
        <f t="shared" ref="CI22:CI33" si="30">CI21+CE22+CG22</f>
        <v>63499.6576164875</v>
      </c>
    </row>
    <row r="23" spans="2:87" ht="14.5">
      <c r="R23" s="3140">
        <v>45930</v>
      </c>
      <c r="S23" s="3135">
        <f t="shared" si="0"/>
        <v>-3744.47</v>
      </c>
      <c r="W23" s="3150">
        <v>45930</v>
      </c>
      <c r="X23" s="3149"/>
      <c r="Y23" s="3149">
        <f t="shared" si="1"/>
        <v>60411.58</v>
      </c>
      <c r="Z23" s="3149">
        <f t="shared" si="2"/>
        <v>-3828.79</v>
      </c>
      <c r="AA23" s="3147">
        <f t="shared" si="3"/>
        <v>0</v>
      </c>
      <c r="AB23" s="3147">
        <f t="shared" si="4"/>
        <v>-56582.79</v>
      </c>
      <c r="AC23" s="3147"/>
      <c r="AD23" s="3149">
        <f t="shared" si="5"/>
        <v>878061.66114096087</v>
      </c>
      <c r="AE23" s="3149">
        <f t="shared" si="6"/>
        <v>-12686.4318</v>
      </c>
      <c r="AF23" s="3149">
        <f t="shared" si="7"/>
        <v>804.04589999999996</v>
      </c>
      <c r="AG23" s="3149">
        <f t="shared" si="8"/>
        <v>11882.385900000001</v>
      </c>
      <c r="AH23" s="3149">
        <f t="shared" si="9"/>
        <v>394704.66023960174</v>
      </c>
      <c r="AL23" s="3150">
        <v>45565</v>
      </c>
      <c r="AM23" s="3151">
        <v>58763</v>
      </c>
      <c r="AN23" s="3151"/>
      <c r="AO23" s="3149">
        <f t="shared" si="10"/>
        <v>2148.5</v>
      </c>
      <c r="AP23" s="3147">
        <f t="shared" si="11"/>
        <v>-528867</v>
      </c>
      <c r="AQ23" s="3147">
        <f t="shared" si="12"/>
        <v>-60911.5</v>
      </c>
      <c r="AR23" s="3147"/>
      <c r="AS23" s="3149">
        <f t="shared" si="13"/>
        <v>-539050.07999999996</v>
      </c>
      <c r="AT23" s="3149">
        <f t="shared" si="14"/>
        <v>-12340.23</v>
      </c>
      <c r="AU23" s="3149">
        <f t="shared" si="15"/>
        <v>-451.185</v>
      </c>
      <c r="AV23" s="3149">
        <f t="shared" si="16"/>
        <v>12791.414999999999</v>
      </c>
      <c r="AW23" s="3149">
        <f t="shared" si="17"/>
        <v>113200.5168</v>
      </c>
      <c r="BB23" s="182" t="s">
        <v>2870</v>
      </c>
      <c r="BC23" s="995" t="s">
        <v>2869</v>
      </c>
      <c r="BD23" s="477" t="s">
        <v>681</v>
      </c>
      <c r="BE23" s="477" t="s">
        <v>763</v>
      </c>
      <c r="BF23" s="2796">
        <v>-5526353</v>
      </c>
      <c r="BM23" s="2670" t="s">
        <v>851</v>
      </c>
      <c r="BO23" s="3191">
        <f>+BO18*2</f>
        <v>-205623.72</v>
      </c>
      <c r="BP23" s="3191">
        <f>+BP18*2</f>
        <v>-92907.4</v>
      </c>
      <c r="BQ23" s="3191">
        <f t="shared" si="18"/>
        <v>205623.72</v>
      </c>
      <c r="BR23" s="3191">
        <f t="shared" si="19"/>
        <v>92907.4</v>
      </c>
      <c r="BS23" s="3187">
        <f t="shared" si="20"/>
        <v>418.01588745000004</v>
      </c>
      <c r="BT23" s="3187">
        <f t="shared" si="21"/>
        <v>188.87300191666665</v>
      </c>
      <c r="BU23" s="3187">
        <f t="shared" si="22"/>
        <v>206041.73588744999</v>
      </c>
      <c r="BV23" s="3187">
        <f t="shared" ref="BV23:BV33" si="31">BV22+BR23+BT23</f>
        <v>93096.273001916663</v>
      </c>
      <c r="BZ23" s="2670" t="s">
        <v>851</v>
      </c>
      <c r="CB23" s="3191">
        <f t="shared" si="23"/>
        <v>-113051.39</v>
      </c>
      <c r="CC23" s="3191">
        <f t="shared" si="24"/>
        <v>-63370.83</v>
      </c>
      <c r="CD23" s="3191">
        <f t="shared" si="25"/>
        <v>113051.39</v>
      </c>
      <c r="CE23" s="3191">
        <f t="shared" si="26"/>
        <v>63370.83</v>
      </c>
      <c r="CF23" s="3193">
        <f t="shared" si="27"/>
        <v>693.3822512062153</v>
      </c>
      <c r="CG23" s="3187">
        <f t="shared" si="28"/>
        <v>387.00664107986881</v>
      </c>
      <c r="CH23" s="3193">
        <f t="shared" si="29"/>
        <v>227026.97550578954</v>
      </c>
      <c r="CI23" s="3187">
        <f t="shared" si="30"/>
        <v>127257.49425756738</v>
      </c>
    </row>
    <row r="24" spans="2:87" ht="14.5">
      <c r="R24" s="3139">
        <v>45961</v>
      </c>
      <c r="S24" s="3135">
        <f t="shared" si="0"/>
        <v>-3744.47</v>
      </c>
      <c r="W24" s="3150">
        <v>45961</v>
      </c>
      <c r="X24" s="3149"/>
      <c r="Y24" s="3149">
        <f t="shared" si="1"/>
        <v>60411.58</v>
      </c>
      <c r="Z24" s="3149">
        <f t="shared" si="2"/>
        <v>-3589.26</v>
      </c>
      <c r="AA24" s="3147">
        <f t="shared" si="3"/>
        <v>0</v>
      </c>
      <c r="AB24" s="3147">
        <f t="shared" si="4"/>
        <v>-56822.32</v>
      </c>
      <c r="AC24" s="3147"/>
      <c r="AD24" s="3149">
        <f t="shared" si="5"/>
        <v>821239.34114096093</v>
      </c>
      <c r="AE24" s="3149">
        <f t="shared" si="6"/>
        <v>-12686.4318</v>
      </c>
      <c r="AF24" s="3149">
        <f t="shared" si="7"/>
        <v>753.74459999999999</v>
      </c>
      <c r="AG24" s="3149">
        <f t="shared" si="8"/>
        <v>11932.6872</v>
      </c>
      <c r="AH24" s="3149">
        <f t="shared" si="9"/>
        <v>406637.34743960173</v>
      </c>
      <c r="AL24" s="3150">
        <v>45596</v>
      </c>
      <c r="AM24" s="3151">
        <v>58763</v>
      </c>
      <c r="AN24" s="3151"/>
      <c r="AO24" s="3149">
        <f t="shared" si="10"/>
        <v>2406.36</v>
      </c>
      <c r="AP24" s="3147">
        <f t="shared" si="11"/>
        <v>-587630</v>
      </c>
      <c r="AQ24" s="3147">
        <f t="shared" si="12"/>
        <v>-61169.36</v>
      </c>
      <c r="AR24" s="3147"/>
      <c r="AS24" s="3149">
        <f t="shared" si="13"/>
        <v>-600219.43999999994</v>
      </c>
      <c r="AT24" s="3149">
        <f t="shared" si="14"/>
        <v>-12340.23</v>
      </c>
      <c r="AU24" s="3149">
        <f t="shared" si="15"/>
        <v>-505.3356</v>
      </c>
      <c r="AV24" s="3149">
        <f t="shared" si="16"/>
        <v>12845.5656</v>
      </c>
      <c r="AW24" s="3149">
        <f t="shared" si="17"/>
        <v>126046.0824</v>
      </c>
      <c r="BB24" s="182" t="s">
        <v>2874</v>
      </c>
      <c r="BC24" s="995" t="s">
        <v>2873</v>
      </c>
      <c r="BD24" s="477" t="s">
        <v>680</v>
      </c>
      <c r="BE24" s="477" t="s">
        <v>763</v>
      </c>
      <c r="BF24" s="2796">
        <v>953914.54</v>
      </c>
      <c r="BM24" s="2670" t="s">
        <v>850</v>
      </c>
      <c r="BO24" s="3191">
        <f t="shared" ref="BO24:BO33" si="32">+$BO$18</f>
        <v>-102811.86</v>
      </c>
      <c r="BP24" s="3191">
        <f t="shared" ref="BP24:BP33" si="33">+$BP$18</f>
        <v>-46453.7</v>
      </c>
      <c r="BQ24" s="3191">
        <f t="shared" si="18"/>
        <v>102811.86</v>
      </c>
      <c r="BR24" s="3191">
        <f t="shared" si="19"/>
        <v>46453.7</v>
      </c>
      <c r="BS24" s="3187">
        <f t="shared" si="20"/>
        <v>1046.7393015540572</v>
      </c>
      <c r="BT24" s="3187">
        <f t="shared" si="21"/>
        <v>472.95043093862614</v>
      </c>
      <c r="BU24" s="3187">
        <f t="shared" si="22"/>
        <v>309900.33518900402</v>
      </c>
      <c r="BV24" s="3187">
        <f t="shared" si="31"/>
        <v>140022.92343285528</v>
      </c>
      <c r="BZ24" s="2670" t="s">
        <v>850</v>
      </c>
      <c r="CB24" s="3191">
        <f t="shared" si="23"/>
        <v>-113051.39</v>
      </c>
      <c r="CC24" s="3191">
        <f t="shared" si="24"/>
        <v>-63370.83</v>
      </c>
      <c r="CD24" s="3191">
        <f t="shared" si="25"/>
        <v>113051.39</v>
      </c>
      <c r="CE24" s="3191">
        <f t="shared" si="26"/>
        <v>63370.83</v>
      </c>
      <c r="CF24" s="3193">
        <f t="shared" si="27"/>
        <v>1157.8400712319738</v>
      </c>
      <c r="CG24" s="3187">
        <f t="shared" si="28"/>
        <v>646.23537855639267</v>
      </c>
      <c r="CH24" s="3193">
        <f t="shared" si="29"/>
        <v>341236.20557702152</v>
      </c>
      <c r="CI24" s="3187">
        <f t="shared" si="30"/>
        <v>191274.55963612377</v>
      </c>
    </row>
    <row r="25" spans="2:87" ht="14.5">
      <c r="R25" s="3139">
        <v>45991</v>
      </c>
      <c r="S25" s="3135">
        <f t="shared" si="0"/>
        <v>-3744.47</v>
      </c>
      <c r="W25" s="3150">
        <v>45991</v>
      </c>
      <c r="X25" s="3149"/>
      <c r="Y25" s="3149">
        <f t="shared" si="1"/>
        <v>60411.58</v>
      </c>
      <c r="Z25" s="3149">
        <f t="shared" si="2"/>
        <v>-3348.71</v>
      </c>
      <c r="AA25" s="3147">
        <f t="shared" si="3"/>
        <v>0</v>
      </c>
      <c r="AB25" s="3147">
        <f t="shared" si="4"/>
        <v>-57062.87</v>
      </c>
      <c r="AC25" s="3147"/>
      <c r="AD25" s="3149">
        <f t="shared" si="5"/>
        <v>764176.47114096093</v>
      </c>
      <c r="AE25" s="3149">
        <f t="shared" si="6"/>
        <v>-12686.4318</v>
      </c>
      <c r="AF25" s="3149">
        <f t="shared" si="7"/>
        <v>703.22910000000002</v>
      </c>
      <c r="AG25" s="3149">
        <f t="shared" si="8"/>
        <v>11983.2027</v>
      </c>
      <c r="AH25" s="3149">
        <f t="shared" si="9"/>
        <v>418620.55013960175</v>
      </c>
      <c r="AL25" s="3150">
        <v>45626</v>
      </c>
      <c r="AM25" s="3151">
        <v>58763</v>
      </c>
      <c r="AN25" s="3151"/>
      <c r="AO25" s="3149">
        <f t="shared" si="10"/>
        <v>2665.31</v>
      </c>
      <c r="AP25" s="3147">
        <f t="shared" si="11"/>
        <v>-646393</v>
      </c>
      <c r="AQ25" s="3147">
        <f t="shared" si="12"/>
        <v>-61428.31</v>
      </c>
      <c r="AR25" s="3147"/>
      <c r="AS25" s="3149">
        <f t="shared" si="13"/>
        <v>-661647.75</v>
      </c>
      <c r="AT25" s="3149">
        <f t="shared" si="14"/>
        <v>-12340.23</v>
      </c>
      <c r="AU25" s="3149">
        <f t="shared" si="15"/>
        <v>-559.71510000000001</v>
      </c>
      <c r="AV25" s="3149">
        <f t="shared" si="16"/>
        <v>12899.945099999999</v>
      </c>
      <c r="AW25" s="3149">
        <f t="shared" si="17"/>
        <v>138946.0275</v>
      </c>
      <c r="BB25" s="182" t="s">
        <v>2872</v>
      </c>
      <c r="BC25" s="995" t="s">
        <v>2871</v>
      </c>
      <c r="BD25" s="477" t="s">
        <v>680</v>
      </c>
      <c r="BE25" s="477" t="s">
        <v>763</v>
      </c>
      <c r="BF25" s="2796">
        <v>1178965.26</v>
      </c>
      <c r="BM25" s="2670" t="s">
        <v>848</v>
      </c>
      <c r="BO25" s="3191">
        <f t="shared" si="32"/>
        <v>-102811.86</v>
      </c>
      <c r="BP25" s="3191">
        <f t="shared" si="33"/>
        <v>-46453.7</v>
      </c>
      <c r="BQ25" s="3191">
        <f t="shared" si="18"/>
        <v>102811.86</v>
      </c>
      <c r="BR25" s="3191">
        <f t="shared" si="19"/>
        <v>46453.7</v>
      </c>
      <c r="BS25" s="3187">
        <f t="shared" si="20"/>
        <v>1469.0110565476255</v>
      </c>
      <c r="BT25" s="3187">
        <f t="shared" si="21"/>
        <v>663.74637048241743</v>
      </c>
      <c r="BU25" s="3187">
        <f t="shared" si="22"/>
        <v>414181.20624555164</v>
      </c>
      <c r="BV25" s="3187">
        <f t="shared" si="31"/>
        <v>187140.3698033377</v>
      </c>
      <c r="BZ25" s="2670" t="s">
        <v>848</v>
      </c>
      <c r="CB25" s="3191">
        <f t="shared" si="23"/>
        <v>-113051.39</v>
      </c>
      <c r="CC25" s="3191">
        <f t="shared" si="24"/>
        <v>-63370.83</v>
      </c>
      <c r="CD25" s="3191">
        <f t="shared" si="25"/>
        <v>113051.39</v>
      </c>
      <c r="CE25" s="3191">
        <f t="shared" si="26"/>
        <v>63370.83</v>
      </c>
      <c r="CF25" s="3193">
        <f t="shared" si="27"/>
        <v>1624.1944273561712</v>
      </c>
      <c r="CG25" s="3187">
        <f t="shared" si="28"/>
        <v>906.51809687470666</v>
      </c>
      <c r="CH25" s="3193">
        <f t="shared" si="29"/>
        <v>455911.79000437772</v>
      </c>
      <c r="CI25" s="3187">
        <f t="shared" si="30"/>
        <v>255551.90773299849</v>
      </c>
    </row>
    <row r="26" spans="2:87" ht="14.5">
      <c r="R26" s="3140">
        <v>46022</v>
      </c>
      <c r="S26" s="3135">
        <f t="shared" si="0"/>
        <v>-3744.47</v>
      </c>
      <c r="W26" s="3150">
        <v>46022</v>
      </c>
      <c r="X26" s="3149"/>
      <c r="Y26" s="3149">
        <f t="shared" si="1"/>
        <v>60411.58</v>
      </c>
      <c r="Z26" s="3149">
        <f t="shared" si="2"/>
        <v>-3107.14</v>
      </c>
      <c r="AA26" s="3147">
        <f t="shared" si="3"/>
        <v>0</v>
      </c>
      <c r="AB26" s="3147">
        <f t="shared" si="4"/>
        <v>-57304.44</v>
      </c>
      <c r="AC26" s="3147"/>
      <c r="AD26" s="3149">
        <f t="shared" si="5"/>
        <v>706872.03114096099</v>
      </c>
      <c r="AE26" s="3149">
        <f t="shared" si="6"/>
        <v>-12686.4318</v>
      </c>
      <c r="AF26" s="3149">
        <f t="shared" si="7"/>
        <v>652.49939999999992</v>
      </c>
      <c r="AG26" s="3149">
        <f t="shared" si="8"/>
        <v>12033.9324</v>
      </c>
      <c r="AH26" s="3149">
        <f t="shared" si="9"/>
        <v>430654.48253960174</v>
      </c>
      <c r="AL26" s="3150">
        <v>45657</v>
      </c>
      <c r="AM26" s="3151">
        <v>58763</v>
      </c>
      <c r="AN26" s="3151"/>
      <c r="AO26" s="3149">
        <f t="shared" si="10"/>
        <v>2925.36</v>
      </c>
      <c r="AP26" s="3147">
        <f t="shared" si="11"/>
        <v>-705156</v>
      </c>
      <c r="AQ26" s="3147">
        <f t="shared" si="12"/>
        <v>-61688.36</v>
      </c>
      <c r="AR26" s="3147"/>
      <c r="AS26" s="3181">
        <f t="shared" si="13"/>
        <v>-723336.11</v>
      </c>
      <c r="AT26" s="3149">
        <f t="shared" si="14"/>
        <v>-12340.23</v>
      </c>
      <c r="AU26" s="3149">
        <f t="shared" si="15"/>
        <v>-614.32560000000001</v>
      </c>
      <c r="AV26" s="3149">
        <f t="shared" si="16"/>
        <v>12954.5556</v>
      </c>
      <c r="AW26" s="3149">
        <f t="shared" si="17"/>
        <v>151900.58309999999</v>
      </c>
      <c r="BB26" s="182" t="s">
        <v>2870</v>
      </c>
      <c r="BC26" s="995" t="s">
        <v>2869</v>
      </c>
      <c r="BD26" s="477" t="s">
        <v>680</v>
      </c>
      <c r="BE26" s="477" t="s">
        <v>763</v>
      </c>
      <c r="BF26" s="3182">
        <v>-2222747</v>
      </c>
      <c r="BM26" s="2670" t="s">
        <v>846</v>
      </c>
      <c r="BO26" s="3191">
        <f t="shared" si="32"/>
        <v>-102811.86</v>
      </c>
      <c r="BP26" s="3191">
        <f t="shared" si="33"/>
        <v>-46453.7</v>
      </c>
      <c r="BQ26" s="3191">
        <f t="shared" si="18"/>
        <v>102811.86</v>
      </c>
      <c r="BR26" s="3191">
        <f t="shared" si="19"/>
        <v>46453.7</v>
      </c>
      <c r="BS26" s="3187">
        <f t="shared" si="20"/>
        <v>1892.999698118372</v>
      </c>
      <c r="BT26" s="3187">
        <f t="shared" si="21"/>
        <v>855.31805451707066</v>
      </c>
      <c r="BU26" s="3187">
        <f t="shared" si="22"/>
        <v>518886.06594366999</v>
      </c>
      <c r="BV26" s="3187">
        <f t="shared" si="31"/>
        <v>234449.38785785474</v>
      </c>
      <c r="BZ26" s="2670" t="s">
        <v>846</v>
      </c>
      <c r="CB26" s="3191">
        <f t="shared" si="23"/>
        <v>-113051.39</v>
      </c>
      <c r="CC26" s="3191">
        <f t="shared" si="24"/>
        <v>-63370.83</v>
      </c>
      <c r="CD26" s="3191">
        <f t="shared" si="25"/>
        <v>113051.39</v>
      </c>
      <c r="CE26" s="3191">
        <f t="shared" si="26"/>
        <v>63370.83</v>
      </c>
      <c r="CF26" s="3193">
        <f t="shared" si="27"/>
        <v>2092.4530637678758</v>
      </c>
      <c r="CG26" s="3187">
        <f t="shared" si="28"/>
        <v>1167.8590813452495</v>
      </c>
      <c r="CH26" s="3193">
        <f t="shared" si="29"/>
        <v>571055.6330681456</v>
      </c>
      <c r="CI26" s="3187">
        <f t="shared" si="30"/>
        <v>320090.59681434376</v>
      </c>
    </row>
    <row r="27" spans="2:87" ht="14.5">
      <c r="R27" s="3139">
        <v>46053</v>
      </c>
      <c r="S27" s="3135">
        <f t="shared" si="0"/>
        <v>-3744.47</v>
      </c>
      <c r="W27" s="3150">
        <v>46053</v>
      </c>
      <c r="X27" s="3149"/>
      <c r="Y27" s="3149">
        <f t="shared" si="1"/>
        <v>60411.58</v>
      </c>
      <c r="Z27" s="3149">
        <f t="shared" si="2"/>
        <v>-2864.55</v>
      </c>
      <c r="AA27" s="3147">
        <f t="shared" si="3"/>
        <v>0</v>
      </c>
      <c r="AB27" s="3147">
        <f t="shared" si="4"/>
        <v>-57547.03</v>
      </c>
      <c r="AC27" s="3147"/>
      <c r="AD27" s="3149">
        <f t="shared" si="5"/>
        <v>649325.00114096107</v>
      </c>
      <c r="AE27" s="3149">
        <f t="shared" si="6"/>
        <v>-12686.4318</v>
      </c>
      <c r="AF27" s="3149">
        <f t="shared" si="7"/>
        <v>601.55550000000005</v>
      </c>
      <c r="AG27" s="3149">
        <f t="shared" si="8"/>
        <v>12084.8763</v>
      </c>
      <c r="AH27" s="3149">
        <f t="shared" si="9"/>
        <v>442739.35883960174</v>
      </c>
      <c r="AL27" s="3150">
        <v>45688</v>
      </c>
      <c r="AM27" s="3149"/>
      <c r="AN27" s="3149">
        <f t="shared" ref="AN27:AN49" si="34">ROUND((AP26+$AO$52)/$AO$10,2)</f>
        <v>-31692.6</v>
      </c>
      <c r="AO27" s="3149">
        <f t="shared" si="10"/>
        <v>2995.04</v>
      </c>
      <c r="AP27" s="3147">
        <f t="shared" si="11"/>
        <v>-705156</v>
      </c>
      <c r="AQ27" s="3147">
        <f t="shared" si="12"/>
        <v>28697.559999999998</v>
      </c>
      <c r="AR27" s="3147"/>
      <c r="AS27" s="3149">
        <f t="shared" si="13"/>
        <v>-694638.55</v>
      </c>
      <c r="AT27" s="3149">
        <f t="shared" si="14"/>
        <v>6655.445999999999</v>
      </c>
      <c r="AU27" s="3149">
        <f t="shared" si="15"/>
        <v>-628.95839999999998</v>
      </c>
      <c r="AV27" s="3149">
        <f t="shared" si="16"/>
        <v>-6026.4875999999986</v>
      </c>
      <c r="AW27" s="3149">
        <f t="shared" si="17"/>
        <v>145874.0955</v>
      </c>
      <c r="BF27" s="1069">
        <f>SUM(BF21:BF26)</f>
        <v>2019722.5599999996</v>
      </c>
      <c r="BM27" s="2670" t="s">
        <v>844</v>
      </c>
      <c r="BO27" s="3191">
        <f t="shared" si="32"/>
        <v>-102811.86</v>
      </c>
      <c r="BP27" s="3191">
        <f t="shared" si="33"/>
        <v>-46453.7</v>
      </c>
      <c r="BQ27" s="3191">
        <f t="shared" si="18"/>
        <v>102811.86</v>
      </c>
      <c r="BR27" s="3191">
        <f t="shared" si="19"/>
        <v>46453.7</v>
      </c>
      <c r="BS27" s="3187">
        <f t="shared" si="20"/>
        <v>2318.7122068409717</v>
      </c>
      <c r="BT27" s="3187">
        <f t="shared" si="21"/>
        <v>1047.6686370903944</v>
      </c>
      <c r="BU27" s="3187">
        <f t="shared" si="22"/>
        <v>624016.63815051096</v>
      </c>
      <c r="BV27" s="3187">
        <f t="shared" si="31"/>
        <v>281950.75649494515</v>
      </c>
      <c r="BZ27" s="2670" t="s">
        <v>844</v>
      </c>
      <c r="CB27" s="3191">
        <f t="shared" si="23"/>
        <v>-113051.39</v>
      </c>
      <c r="CC27" s="3191">
        <f t="shared" si="24"/>
        <v>-63370.83</v>
      </c>
      <c r="CD27" s="3191">
        <f t="shared" si="25"/>
        <v>113051.39</v>
      </c>
      <c r="CE27" s="3191">
        <f t="shared" si="26"/>
        <v>63370.83</v>
      </c>
      <c r="CF27" s="3193">
        <f t="shared" si="27"/>
        <v>2562.6237562782612</v>
      </c>
      <c r="CG27" s="3187">
        <f t="shared" si="28"/>
        <v>1430.2626347018193</v>
      </c>
      <c r="CH27" s="3193">
        <f t="shared" si="29"/>
        <v>686669.64682442392</v>
      </c>
      <c r="CI27" s="3187">
        <f t="shared" si="30"/>
        <v>384891.68944904557</v>
      </c>
    </row>
    <row r="28" spans="2:87" ht="14.5">
      <c r="R28" s="3139">
        <v>46081</v>
      </c>
      <c r="S28" s="3135">
        <f t="shared" si="0"/>
        <v>-3744.47</v>
      </c>
      <c r="W28" s="3150">
        <v>46081</v>
      </c>
      <c r="X28" s="3149"/>
      <c r="Y28" s="3149">
        <f t="shared" si="1"/>
        <v>60411.58</v>
      </c>
      <c r="Z28" s="3149">
        <f t="shared" si="2"/>
        <v>-2620.94</v>
      </c>
      <c r="AA28" s="3147">
        <f t="shared" si="3"/>
        <v>0</v>
      </c>
      <c r="AB28" s="3147">
        <f t="shared" si="4"/>
        <v>-57790.64</v>
      </c>
      <c r="AC28" s="3147"/>
      <c r="AD28" s="3149">
        <f t="shared" si="5"/>
        <v>591534.36114096106</v>
      </c>
      <c r="AE28" s="3149">
        <f t="shared" si="6"/>
        <v>-12686.4318</v>
      </c>
      <c r="AF28" s="3149">
        <f t="shared" si="7"/>
        <v>550.39739999999995</v>
      </c>
      <c r="AG28" s="3149">
        <f t="shared" si="8"/>
        <v>12136.0344</v>
      </c>
      <c r="AH28" s="3149">
        <f t="shared" si="9"/>
        <v>454875.39323960175</v>
      </c>
      <c r="AL28" s="3150">
        <v>45716</v>
      </c>
      <c r="AM28" s="3149"/>
      <c r="AN28" s="3149">
        <f t="shared" si="34"/>
        <v>-31692.6</v>
      </c>
      <c r="AO28" s="3149">
        <f t="shared" si="10"/>
        <v>2873.55</v>
      </c>
      <c r="AP28" s="3147">
        <f t="shared" si="11"/>
        <v>-705156</v>
      </c>
      <c r="AQ28" s="3147">
        <f t="shared" si="12"/>
        <v>28819.05</v>
      </c>
      <c r="AR28" s="3147"/>
      <c r="AS28" s="3149">
        <f t="shared" si="13"/>
        <v>-665819.50000000012</v>
      </c>
      <c r="AT28" s="3149">
        <f t="shared" si="14"/>
        <v>6655.445999999999</v>
      </c>
      <c r="AU28" s="3149">
        <f t="shared" si="15"/>
        <v>-603.44550000000004</v>
      </c>
      <c r="AV28" s="3149">
        <f t="shared" si="16"/>
        <v>-6052.0004999999992</v>
      </c>
      <c r="AW28" s="3149">
        <f t="shared" si="17"/>
        <v>139822.095</v>
      </c>
      <c r="BM28" s="2670" t="s">
        <v>863</v>
      </c>
      <c r="BO28" s="3191">
        <f t="shared" si="32"/>
        <v>-102811.86</v>
      </c>
      <c r="BP28" s="3191">
        <f t="shared" si="33"/>
        <v>-46453.7</v>
      </c>
      <c r="BQ28" s="3191">
        <f t="shared" si="18"/>
        <v>102811.86</v>
      </c>
      <c r="BR28" s="3191">
        <f t="shared" si="19"/>
        <v>46453.7</v>
      </c>
      <c r="BS28" s="3187">
        <f t="shared" si="20"/>
        <v>2746.1555916719531</v>
      </c>
      <c r="BT28" s="3187">
        <f t="shared" si="21"/>
        <v>1240.8012850740311</v>
      </c>
      <c r="BU28" s="3187">
        <f t="shared" si="22"/>
        <v>729574.65374218288</v>
      </c>
      <c r="BV28" s="3187">
        <f t="shared" si="31"/>
        <v>329645.25778001919</v>
      </c>
      <c r="BZ28" s="2670" t="s">
        <v>863</v>
      </c>
      <c r="CB28" s="3191">
        <f t="shared" si="23"/>
        <v>-113051.39</v>
      </c>
      <c r="CC28" s="3191">
        <f t="shared" si="24"/>
        <v>-63370.83</v>
      </c>
      <c r="CD28" s="3191">
        <f t="shared" si="25"/>
        <v>113051.39</v>
      </c>
      <c r="CE28" s="3191">
        <f t="shared" si="26"/>
        <v>63370.83</v>
      </c>
      <c r="CF28" s="3193">
        <f t="shared" si="27"/>
        <v>3034.7143124497306</v>
      </c>
      <c r="CG28" s="3187">
        <f t="shared" si="28"/>
        <v>1693.733077172411</v>
      </c>
      <c r="CH28" s="3193">
        <f t="shared" si="29"/>
        <v>802755.75113687362</v>
      </c>
      <c r="CI28" s="3187">
        <f t="shared" si="30"/>
        <v>449956.25252621801</v>
      </c>
    </row>
    <row r="29" spans="2:87" ht="14.5">
      <c r="R29" s="3140">
        <v>46112</v>
      </c>
      <c r="S29" s="3135">
        <f t="shared" si="0"/>
        <v>-3744.47</v>
      </c>
      <c r="W29" s="3150">
        <v>46112</v>
      </c>
      <c r="X29" s="3149"/>
      <c r="Y29" s="3149">
        <f t="shared" si="1"/>
        <v>60411.58</v>
      </c>
      <c r="Z29" s="3149">
        <f t="shared" si="2"/>
        <v>-2376.29</v>
      </c>
      <c r="AA29" s="3147">
        <f t="shared" si="3"/>
        <v>0</v>
      </c>
      <c r="AB29" s="3147">
        <f t="shared" si="4"/>
        <v>-58035.29</v>
      </c>
      <c r="AC29" s="3147"/>
      <c r="AD29" s="3149">
        <f t="shared" si="5"/>
        <v>533499.07114096114</v>
      </c>
      <c r="AE29" s="3149">
        <f t="shared" si="6"/>
        <v>-12686.4318</v>
      </c>
      <c r="AF29" s="3149">
        <f t="shared" si="7"/>
        <v>499.02089999999998</v>
      </c>
      <c r="AG29" s="3149">
        <f t="shared" si="8"/>
        <v>12187.410900000001</v>
      </c>
      <c r="AH29" s="3149">
        <f t="shared" si="9"/>
        <v>467062.80413960177</v>
      </c>
      <c r="AL29" s="3150">
        <v>45747</v>
      </c>
      <c r="AM29" s="3149"/>
      <c r="AN29" s="3149">
        <f t="shared" si="34"/>
        <v>-31692.6</v>
      </c>
      <c r="AO29" s="3149">
        <f t="shared" si="10"/>
        <v>2751.55</v>
      </c>
      <c r="AP29" s="3147">
        <f t="shared" si="11"/>
        <v>-705156</v>
      </c>
      <c r="AQ29" s="3147">
        <f t="shared" si="12"/>
        <v>28941.05</v>
      </c>
      <c r="AR29" s="3147"/>
      <c r="AS29" s="3149">
        <f t="shared" si="13"/>
        <v>-636878.45000000019</v>
      </c>
      <c r="AT29" s="3149">
        <f t="shared" si="14"/>
        <v>6655.445999999999</v>
      </c>
      <c r="AU29" s="3149">
        <f t="shared" si="15"/>
        <v>-577.82550000000003</v>
      </c>
      <c r="AV29" s="3149">
        <f t="shared" si="16"/>
        <v>-6077.6204999999991</v>
      </c>
      <c r="AW29" s="3149">
        <f t="shared" si="17"/>
        <v>133744.47450000001</v>
      </c>
      <c r="BM29" s="2670" t="s">
        <v>861</v>
      </c>
      <c r="BO29" s="3191">
        <f t="shared" si="32"/>
        <v>-102811.86</v>
      </c>
      <c r="BP29" s="3191">
        <f t="shared" si="33"/>
        <v>-46453.7</v>
      </c>
      <c r="BQ29" s="3191">
        <f t="shared" si="18"/>
        <v>102811.86</v>
      </c>
      <c r="BR29" s="3191">
        <f t="shared" si="19"/>
        <v>46453.7</v>
      </c>
      <c r="BS29" s="3187">
        <f t="shared" si="20"/>
        <v>3175.3368900650917</v>
      </c>
      <c r="BT29" s="3187">
        <f t="shared" si="21"/>
        <v>1434.7191782155944</v>
      </c>
      <c r="BU29" s="3187">
        <f t="shared" si="22"/>
        <v>835561.85063224798</v>
      </c>
      <c r="BV29" s="3187">
        <f t="shared" si="31"/>
        <v>377533.67695823481</v>
      </c>
      <c r="BZ29" s="2670" t="s">
        <v>861</v>
      </c>
      <c r="CB29" s="3191">
        <f t="shared" si="23"/>
        <v>-113051.39</v>
      </c>
      <c r="CC29" s="3191">
        <f t="shared" si="24"/>
        <v>-63370.83</v>
      </c>
      <c r="CD29" s="3191">
        <f t="shared" si="25"/>
        <v>113051.39</v>
      </c>
      <c r="CE29" s="3191">
        <f t="shared" si="26"/>
        <v>63370.83</v>
      </c>
      <c r="CF29" s="3193">
        <f t="shared" si="27"/>
        <v>3508.7325717255676</v>
      </c>
      <c r="CG29" s="3187">
        <f t="shared" si="28"/>
        <v>1958.274746550348</v>
      </c>
      <c r="CH29" s="3193">
        <f t="shared" si="29"/>
        <v>919315.87370859925</v>
      </c>
      <c r="CI29" s="3187">
        <f t="shared" si="30"/>
        <v>515285.35727276839</v>
      </c>
    </row>
    <row r="30" spans="2:87" ht="14.5">
      <c r="R30" s="3140">
        <v>46142</v>
      </c>
      <c r="S30" s="3135">
        <f t="shared" si="0"/>
        <v>-3744.47</v>
      </c>
      <c r="W30" s="3150">
        <v>46142</v>
      </c>
      <c r="X30" s="3149"/>
      <c r="Y30" s="3149">
        <f t="shared" si="1"/>
        <v>60411.58</v>
      </c>
      <c r="Z30" s="3149">
        <f t="shared" si="2"/>
        <v>-2130.61</v>
      </c>
      <c r="AA30" s="3147">
        <f t="shared" si="3"/>
        <v>0</v>
      </c>
      <c r="AB30" s="3147">
        <f t="shared" si="4"/>
        <v>-58280.97</v>
      </c>
      <c r="AC30" s="3147"/>
      <c r="AD30" s="3149">
        <f t="shared" si="5"/>
        <v>475218.10114096111</v>
      </c>
      <c r="AE30" s="3149">
        <f t="shared" si="6"/>
        <v>-12686.4318</v>
      </c>
      <c r="AF30" s="3149">
        <f t="shared" si="7"/>
        <v>447.42810000000003</v>
      </c>
      <c r="AG30" s="3149">
        <f t="shared" si="8"/>
        <v>12239.003700000001</v>
      </c>
      <c r="AH30" s="3149">
        <f t="shared" si="9"/>
        <v>479301.80783960177</v>
      </c>
      <c r="AL30" s="3150">
        <v>45777</v>
      </c>
      <c r="AM30" s="3149"/>
      <c r="AN30" s="3149">
        <f t="shared" si="34"/>
        <v>-31692.6</v>
      </c>
      <c r="AO30" s="3149">
        <f t="shared" si="10"/>
        <v>2629.04</v>
      </c>
      <c r="AP30" s="3147">
        <f t="shared" si="11"/>
        <v>-705156</v>
      </c>
      <c r="AQ30" s="3147">
        <f t="shared" si="12"/>
        <v>29063.559999999998</v>
      </c>
      <c r="AR30" s="3147"/>
      <c r="AS30" s="3149">
        <f t="shared" si="13"/>
        <v>-607814.89000000025</v>
      </c>
      <c r="AT30" s="3149">
        <f t="shared" si="14"/>
        <v>6655.445999999999</v>
      </c>
      <c r="AU30" s="3149">
        <f t="shared" si="15"/>
        <v>-552.09839999999997</v>
      </c>
      <c r="AV30" s="3149">
        <f t="shared" si="16"/>
        <v>-6103.3475999999991</v>
      </c>
      <c r="AW30" s="3149">
        <f t="shared" si="17"/>
        <v>127641.12690000002</v>
      </c>
      <c r="BM30" s="2670" t="s">
        <v>857</v>
      </c>
      <c r="BO30" s="3191">
        <f t="shared" si="32"/>
        <v>-102811.86</v>
      </c>
      <c r="BP30" s="3191">
        <f t="shared" si="33"/>
        <v>-46453.7</v>
      </c>
      <c r="BQ30" s="3191">
        <f t="shared" si="18"/>
        <v>102811.86</v>
      </c>
      <c r="BR30" s="3191">
        <f t="shared" si="19"/>
        <v>46453.7</v>
      </c>
      <c r="BS30" s="3187">
        <f t="shared" si="20"/>
        <v>3606.2631680872819</v>
      </c>
      <c r="BT30" s="3187">
        <f t="shared" si="21"/>
        <v>1629.4255091910229</v>
      </c>
      <c r="BU30" s="3187">
        <f t="shared" si="22"/>
        <v>941979.9738003352</v>
      </c>
      <c r="BV30" s="3187">
        <f t="shared" si="31"/>
        <v>425616.80246742582</v>
      </c>
      <c r="BZ30" s="2670" t="s">
        <v>857</v>
      </c>
      <c r="CB30" s="3191">
        <f t="shared" si="23"/>
        <v>-113051.39</v>
      </c>
      <c r="CC30" s="3191">
        <f t="shared" si="24"/>
        <v>-63370.83</v>
      </c>
      <c r="CD30" s="3191">
        <f t="shared" si="25"/>
        <v>113051.39</v>
      </c>
      <c r="CE30" s="3191">
        <f t="shared" si="26"/>
        <v>63370.83</v>
      </c>
      <c r="CF30" s="3193">
        <f t="shared" si="27"/>
        <v>3984.6864055601131</v>
      </c>
      <c r="CG30" s="3187">
        <f t="shared" si="28"/>
        <v>2223.8919982656976</v>
      </c>
      <c r="CH30" s="3193">
        <f t="shared" si="29"/>
        <v>1036351.9501141594</v>
      </c>
      <c r="CI30" s="3187">
        <f t="shared" si="30"/>
        <v>580880.0792710341</v>
      </c>
    </row>
    <row r="31" spans="2:87" ht="14.5">
      <c r="R31" s="3139">
        <v>46173</v>
      </c>
      <c r="S31" s="3135">
        <f t="shared" si="0"/>
        <v>-3744.47</v>
      </c>
      <c r="W31" s="3150">
        <v>46173</v>
      </c>
      <c r="X31" s="3149"/>
      <c r="Y31" s="3149">
        <f t="shared" si="1"/>
        <v>60411.58</v>
      </c>
      <c r="Z31" s="3149">
        <f t="shared" si="2"/>
        <v>-1883.89</v>
      </c>
      <c r="AA31" s="3147">
        <f t="shared" si="3"/>
        <v>0</v>
      </c>
      <c r="AB31" s="3147">
        <f t="shared" si="4"/>
        <v>-58527.69</v>
      </c>
      <c r="AC31" s="3147"/>
      <c r="AD31" s="3149">
        <f t="shared" si="5"/>
        <v>416690.41114096111</v>
      </c>
      <c r="AE31" s="3149">
        <f t="shared" si="6"/>
        <v>-12686.4318</v>
      </c>
      <c r="AF31" s="3149">
        <f t="shared" si="7"/>
        <v>395.61689999999999</v>
      </c>
      <c r="AG31" s="3149">
        <f t="shared" si="8"/>
        <v>12290.814900000001</v>
      </c>
      <c r="AH31" s="3149">
        <f t="shared" si="9"/>
        <v>491592.62273960176</v>
      </c>
      <c r="AL31" s="3150">
        <v>45808</v>
      </c>
      <c r="AM31" s="3149"/>
      <c r="AN31" s="3149">
        <f t="shared" si="34"/>
        <v>-31692.6</v>
      </c>
      <c r="AO31" s="3149">
        <f t="shared" si="10"/>
        <v>2506</v>
      </c>
      <c r="AP31" s="3147">
        <f t="shared" si="11"/>
        <v>-705156</v>
      </c>
      <c r="AQ31" s="3147">
        <f t="shared" si="12"/>
        <v>29186.6</v>
      </c>
      <c r="AR31" s="3147"/>
      <c r="AS31" s="3149">
        <f t="shared" si="13"/>
        <v>-578628.29000000027</v>
      </c>
      <c r="AT31" s="3149">
        <f t="shared" si="14"/>
        <v>6655.445999999999</v>
      </c>
      <c r="AU31" s="3149">
        <f t="shared" si="15"/>
        <v>-526.26</v>
      </c>
      <c r="AV31" s="3149">
        <f t="shared" si="16"/>
        <v>-6129.1859999999988</v>
      </c>
      <c r="AW31" s="3149">
        <f t="shared" si="17"/>
        <v>121511.94090000002</v>
      </c>
      <c r="BM31" s="2670" t="s">
        <v>855</v>
      </c>
      <c r="BO31" s="3191">
        <f t="shared" si="32"/>
        <v>-102811.86</v>
      </c>
      <c r="BP31" s="3191">
        <f t="shared" si="33"/>
        <v>-46453.7</v>
      </c>
      <c r="BQ31" s="3191">
        <f t="shared" si="18"/>
        <v>102811.86</v>
      </c>
      <c r="BR31" s="3191">
        <f t="shared" si="19"/>
        <v>46453.7</v>
      </c>
      <c r="BS31" s="3187">
        <f t="shared" si="20"/>
        <v>4038.9415205348632</v>
      </c>
      <c r="BT31" s="3187">
        <f t="shared" si="21"/>
        <v>1824.923483657142</v>
      </c>
      <c r="BU31" s="3187">
        <f t="shared" si="22"/>
        <v>1048830.7753208701</v>
      </c>
      <c r="BV31" s="3187">
        <f t="shared" si="31"/>
        <v>473895.42595108296</v>
      </c>
      <c r="BZ31" s="2670" t="s">
        <v>855</v>
      </c>
      <c r="CB31" s="3191">
        <f t="shared" si="23"/>
        <v>-113051.39</v>
      </c>
      <c r="CC31" s="3191">
        <f t="shared" si="24"/>
        <v>-63370.83</v>
      </c>
      <c r="CD31" s="3191">
        <f t="shared" si="25"/>
        <v>113051.39</v>
      </c>
      <c r="CE31" s="3191">
        <f t="shared" si="26"/>
        <v>63370.83</v>
      </c>
      <c r="CF31" s="3193">
        <f t="shared" si="27"/>
        <v>4462.5837175494844</v>
      </c>
      <c r="CG31" s="3187">
        <f t="shared" si="28"/>
        <v>2490.5892054569799</v>
      </c>
      <c r="CH31" s="3193">
        <f t="shared" si="29"/>
        <v>1153865.9238317087</v>
      </c>
      <c r="CI31" s="3187">
        <f t="shared" si="30"/>
        <v>646741.49847649108</v>
      </c>
    </row>
    <row r="32" spans="2:87" ht="15" thickBot="1">
      <c r="R32" s="3139">
        <v>46203</v>
      </c>
      <c r="S32" s="3135">
        <f t="shared" si="0"/>
        <v>-3744.47</v>
      </c>
      <c r="W32" s="3150">
        <v>46203</v>
      </c>
      <c r="X32" s="3149"/>
      <c r="Y32" s="3149">
        <f t="shared" si="1"/>
        <v>60411.58</v>
      </c>
      <c r="Z32" s="3149">
        <f t="shared" si="2"/>
        <v>-1636.12</v>
      </c>
      <c r="AA32" s="3147">
        <f t="shared" si="3"/>
        <v>0</v>
      </c>
      <c r="AB32" s="3147">
        <f t="shared" si="4"/>
        <v>-58775.46</v>
      </c>
      <c r="AC32" s="3147"/>
      <c r="AD32" s="3149">
        <f t="shared" si="5"/>
        <v>357914.95114096109</v>
      </c>
      <c r="AE32" s="3149">
        <f t="shared" si="6"/>
        <v>-12686.4318</v>
      </c>
      <c r="AF32" s="3149">
        <f t="shared" si="7"/>
        <v>343.58519999999999</v>
      </c>
      <c r="AG32" s="3149">
        <f t="shared" si="8"/>
        <v>12342.846600000001</v>
      </c>
      <c r="AH32" s="3149">
        <f t="shared" si="9"/>
        <v>503935.46933960175</v>
      </c>
      <c r="AL32" s="3150">
        <v>45838</v>
      </c>
      <c r="AM32" s="3149"/>
      <c r="AN32" s="3149">
        <f t="shared" si="34"/>
        <v>-31692.6</v>
      </c>
      <c r="AO32" s="3149">
        <f t="shared" si="10"/>
        <v>2382.44</v>
      </c>
      <c r="AP32" s="3147">
        <f t="shared" si="11"/>
        <v>-705156</v>
      </c>
      <c r="AQ32" s="3147">
        <f t="shared" si="12"/>
        <v>29310.16</v>
      </c>
      <c r="AR32" s="3147"/>
      <c r="AS32" s="3149">
        <f t="shared" si="13"/>
        <v>-549318.13000000024</v>
      </c>
      <c r="AT32" s="3149">
        <f t="shared" si="14"/>
        <v>6655.445999999999</v>
      </c>
      <c r="AU32" s="3149">
        <f t="shared" si="15"/>
        <v>-500.31239999999997</v>
      </c>
      <c r="AV32" s="3149">
        <f t="shared" si="16"/>
        <v>-6155.1335999999992</v>
      </c>
      <c r="AW32" s="3149">
        <f t="shared" si="17"/>
        <v>115356.80730000001</v>
      </c>
      <c r="BM32" s="2670" t="s">
        <v>854</v>
      </c>
      <c r="BO32" s="3191">
        <f t="shared" si="32"/>
        <v>-102811.86</v>
      </c>
      <c r="BP32" s="3191">
        <f t="shared" si="33"/>
        <v>-46453.7</v>
      </c>
      <c r="BQ32" s="3191">
        <f t="shared" si="18"/>
        <v>102811.86</v>
      </c>
      <c r="BR32" s="3191">
        <f t="shared" si="19"/>
        <v>46453.7</v>
      </c>
      <c r="BS32" s="3187">
        <f t="shared" si="20"/>
        <v>4473.3790710504372</v>
      </c>
      <c r="BT32" s="3187">
        <f t="shared" si="21"/>
        <v>2021.2163203044447</v>
      </c>
      <c r="BU32" s="3187">
        <f t="shared" si="22"/>
        <v>1156116.0143919205</v>
      </c>
      <c r="BV32" s="3187">
        <f t="shared" si="31"/>
        <v>522370.3422713874</v>
      </c>
      <c r="BZ32" s="2670" t="s">
        <v>854</v>
      </c>
      <c r="CB32" s="3191">
        <f t="shared" si="23"/>
        <v>-113051.39</v>
      </c>
      <c r="CC32" s="3191">
        <f t="shared" si="24"/>
        <v>-63370.83</v>
      </c>
      <c r="CD32" s="3191">
        <f t="shared" si="25"/>
        <v>113051.39</v>
      </c>
      <c r="CE32" s="3191">
        <f t="shared" si="26"/>
        <v>63370.83</v>
      </c>
      <c r="CF32" s="3193">
        <f t="shared" si="27"/>
        <v>4942.4324435628114</v>
      </c>
      <c r="CG32" s="3187">
        <f t="shared" si="28"/>
        <v>2758.3707590431663</v>
      </c>
      <c r="CH32" s="3193">
        <f t="shared" si="29"/>
        <v>1271859.7462752715</v>
      </c>
      <c r="CI32" s="3187">
        <f t="shared" si="30"/>
        <v>712870.69923553418</v>
      </c>
    </row>
    <row r="33" spans="18:87" ht="15" thickBot="1">
      <c r="R33" s="3140">
        <v>46234</v>
      </c>
      <c r="S33" s="3135">
        <f t="shared" si="0"/>
        <v>-3744.47</v>
      </c>
      <c r="W33" s="3150">
        <v>46234</v>
      </c>
      <c r="X33" s="3149"/>
      <c r="Y33" s="3149">
        <f t="shared" si="1"/>
        <v>60411.58</v>
      </c>
      <c r="Z33" s="3149">
        <f t="shared" si="2"/>
        <v>-1387.3</v>
      </c>
      <c r="AA33" s="3147">
        <f t="shared" si="3"/>
        <v>0</v>
      </c>
      <c r="AB33" s="3147">
        <f t="shared" si="4"/>
        <v>-59024.28</v>
      </c>
      <c r="AC33" s="3147"/>
      <c r="AD33" s="3149">
        <f t="shared" si="5"/>
        <v>298890.67114096106</v>
      </c>
      <c r="AE33" s="3149">
        <f t="shared" si="6"/>
        <v>-12686.4318</v>
      </c>
      <c r="AF33" s="3149">
        <f t="shared" si="7"/>
        <v>291.33299999999997</v>
      </c>
      <c r="AG33" s="3149">
        <f t="shared" si="8"/>
        <v>12395.0988</v>
      </c>
      <c r="AH33" s="3149">
        <f t="shared" si="9"/>
        <v>516330.56813960173</v>
      </c>
      <c r="AL33" s="3150">
        <v>45869</v>
      </c>
      <c r="AM33" s="3149"/>
      <c r="AN33" s="3149">
        <f t="shared" si="34"/>
        <v>-31692.6</v>
      </c>
      <c r="AO33" s="3149">
        <f t="shared" si="10"/>
        <v>2258.36</v>
      </c>
      <c r="AP33" s="3147">
        <f t="shared" si="11"/>
        <v>-705156</v>
      </c>
      <c r="AQ33" s="3147">
        <f t="shared" si="12"/>
        <v>29434.239999999998</v>
      </c>
      <c r="AR33" s="3147"/>
      <c r="AS33" s="3149">
        <f t="shared" si="13"/>
        <v>-519883.89000000025</v>
      </c>
      <c r="AT33" s="3149">
        <f t="shared" si="14"/>
        <v>6655.445999999999</v>
      </c>
      <c r="AU33" s="3149">
        <f t="shared" si="15"/>
        <v>-474.25560000000002</v>
      </c>
      <c r="AV33" s="3149">
        <f t="shared" si="16"/>
        <v>-6181.1903999999986</v>
      </c>
      <c r="AW33" s="3149">
        <f t="shared" si="17"/>
        <v>109175.61690000002</v>
      </c>
      <c r="BM33" s="2670" t="s">
        <v>853</v>
      </c>
      <c r="BO33" s="3191">
        <f t="shared" si="32"/>
        <v>-102811.86</v>
      </c>
      <c r="BP33" s="3192">
        <f t="shared" si="33"/>
        <v>-46453.7</v>
      </c>
      <c r="BQ33" s="3191">
        <f t="shared" si="18"/>
        <v>102811.86</v>
      </c>
      <c r="BR33" s="3191">
        <f t="shared" si="19"/>
        <v>46453.7</v>
      </c>
      <c r="BS33" s="3187">
        <f t="shared" si="20"/>
        <v>4909.5829722401495</v>
      </c>
      <c r="BT33" s="3187">
        <f t="shared" si="21"/>
        <v>2218.3072509100825</v>
      </c>
      <c r="BU33" s="3190">
        <f t="shared" si="22"/>
        <v>1263837.4573641608</v>
      </c>
      <c r="BV33" s="3190">
        <f t="shared" si="31"/>
        <v>571042.3495222975</v>
      </c>
      <c r="BZ33" s="2670" t="s">
        <v>853</v>
      </c>
      <c r="CB33" s="3191">
        <f t="shared" si="23"/>
        <v>-113051.39</v>
      </c>
      <c r="CC33" s="3192">
        <f t="shared" si="24"/>
        <v>-63370.83</v>
      </c>
      <c r="CD33" s="3191">
        <f t="shared" si="25"/>
        <v>113051.39</v>
      </c>
      <c r="CE33" s="3191">
        <f t="shared" si="26"/>
        <v>63370.83</v>
      </c>
      <c r="CF33" s="3193">
        <f t="shared" si="27"/>
        <v>5424.2405518740261</v>
      </c>
      <c r="CG33" s="3187">
        <f t="shared" si="28"/>
        <v>3027.2410677959761</v>
      </c>
      <c r="CH33" s="3210">
        <f t="shared" si="29"/>
        <v>1390335.3768271455</v>
      </c>
      <c r="CI33" s="3186">
        <f t="shared" si="30"/>
        <v>779268.77030333015</v>
      </c>
    </row>
    <row r="34" spans="18:87" ht="14.5">
      <c r="R34" s="3139">
        <v>46265</v>
      </c>
      <c r="S34" s="3135">
        <f t="shared" si="0"/>
        <v>-3744.47</v>
      </c>
      <c r="W34" s="3150">
        <v>46265</v>
      </c>
      <c r="X34" s="3149"/>
      <c r="Y34" s="3149">
        <f t="shared" si="1"/>
        <v>60411.58</v>
      </c>
      <c r="Z34" s="3149">
        <f t="shared" si="2"/>
        <v>-1137.43</v>
      </c>
      <c r="AA34" s="3147">
        <f t="shared" si="3"/>
        <v>0</v>
      </c>
      <c r="AB34" s="3147">
        <f t="shared" si="4"/>
        <v>-59274.15</v>
      </c>
      <c r="AC34" s="3147"/>
      <c r="AD34" s="3149">
        <f t="shared" si="5"/>
        <v>239616.52114096103</v>
      </c>
      <c r="AE34" s="3149">
        <f t="shared" si="6"/>
        <v>-12686.4318</v>
      </c>
      <c r="AF34" s="3149">
        <f t="shared" si="7"/>
        <v>238.8603</v>
      </c>
      <c r="AG34" s="3149">
        <f t="shared" si="8"/>
        <v>12447.5715</v>
      </c>
      <c r="AH34" s="3149">
        <f t="shared" si="9"/>
        <v>528778.13963960169</v>
      </c>
      <c r="AL34" s="3150">
        <v>45900</v>
      </c>
      <c r="AM34" s="3149"/>
      <c r="AN34" s="3149">
        <f t="shared" si="34"/>
        <v>-31692.6</v>
      </c>
      <c r="AO34" s="3149">
        <f t="shared" si="10"/>
        <v>2133.7600000000002</v>
      </c>
      <c r="AP34" s="3147">
        <f t="shared" si="11"/>
        <v>-705156</v>
      </c>
      <c r="AQ34" s="3147">
        <f t="shared" si="12"/>
        <v>29558.839999999997</v>
      </c>
      <c r="AR34" s="3147"/>
      <c r="AS34" s="3149">
        <f t="shared" si="13"/>
        <v>-490325.05000000028</v>
      </c>
      <c r="AT34" s="3149">
        <f t="shared" si="14"/>
        <v>6655.445999999999</v>
      </c>
      <c r="AU34" s="3149">
        <f t="shared" si="15"/>
        <v>-448.08960000000002</v>
      </c>
      <c r="AV34" s="3149">
        <f t="shared" si="16"/>
        <v>-6207.3563999999988</v>
      </c>
      <c r="AW34" s="3149">
        <f t="shared" si="17"/>
        <v>102968.26050000002</v>
      </c>
      <c r="BM34" s="2670" t="s">
        <v>1085</v>
      </c>
      <c r="BO34" s="3189">
        <f>SUM(BO22:BO33)</f>
        <v>-1233742.32</v>
      </c>
      <c r="BP34" s="3189">
        <f>SUM(BP22:BP33)</f>
        <v>-557444.4</v>
      </c>
      <c r="BQ34" s="3189">
        <f>SUM(BQ22:BQ33)</f>
        <v>1233742.32</v>
      </c>
      <c r="BR34" s="3189">
        <f>SUM(BR22:BR33)</f>
        <v>557444.4</v>
      </c>
      <c r="BZ34" s="2670" t="s">
        <v>1085</v>
      </c>
      <c r="CB34" s="3189">
        <f>SUM(CB22:CB33)</f>
        <v>-1356616.6799999997</v>
      </c>
      <c r="CC34" s="3189">
        <f>SUM(CC22:CC33)</f>
        <v>-760449.96</v>
      </c>
      <c r="CD34" s="3189">
        <f>SUM(CD22:CD33)</f>
        <v>1356616.6799999997</v>
      </c>
      <c r="CE34" s="3189">
        <f>SUM(CE22:CE33)</f>
        <v>760449.96</v>
      </c>
      <c r="CH34" s="3185">
        <v>2024</v>
      </c>
      <c r="CI34" s="3185">
        <v>2024</v>
      </c>
    </row>
    <row r="35" spans="18:87" ht="14.5">
      <c r="R35" s="3139">
        <v>46295</v>
      </c>
      <c r="S35" s="3135">
        <f t="shared" si="0"/>
        <v>-3744.47</v>
      </c>
      <c r="W35" s="3150">
        <v>46295</v>
      </c>
      <c r="X35" s="3149"/>
      <c r="Y35" s="3149">
        <f t="shared" si="1"/>
        <v>60411.58</v>
      </c>
      <c r="Z35" s="3149">
        <f t="shared" si="2"/>
        <v>-886.51</v>
      </c>
      <c r="AA35" s="3147">
        <f t="shared" si="3"/>
        <v>0</v>
      </c>
      <c r="AB35" s="3147">
        <f t="shared" si="4"/>
        <v>-59525.07</v>
      </c>
      <c r="AC35" s="3147"/>
      <c r="AD35" s="3149">
        <f t="shared" si="5"/>
        <v>180091.45114096103</v>
      </c>
      <c r="AE35" s="3149">
        <f t="shared" si="6"/>
        <v>-12686.4318</v>
      </c>
      <c r="AF35" s="3149">
        <f t="shared" si="7"/>
        <v>186.1671</v>
      </c>
      <c r="AG35" s="3149">
        <f t="shared" si="8"/>
        <v>12500.2647</v>
      </c>
      <c r="AH35" s="3149">
        <f t="shared" si="9"/>
        <v>541278.40433960175</v>
      </c>
      <c r="AL35" s="3150">
        <v>45930</v>
      </c>
      <c r="AM35" s="3149"/>
      <c r="AN35" s="3149">
        <f t="shared" si="34"/>
        <v>-31692.6</v>
      </c>
      <c r="AO35" s="3149">
        <f t="shared" si="10"/>
        <v>2008.63</v>
      </c>
      <c r="AP35" s="3147">
        <f t="shared" si="11"/>
        <v>-705156</v>
      </c>
      <c r="AQ35" s="3147">
        <f t="shared" si="12"/>
        <v>29683.969999999998</v>
      </c>
      <c r="AR35" s="3147"/>
      <c r="AS35" s="3149">
        <f t="shared" si="13"/>
        <v>-460641.08000000031</v>
      </c>
      <c r="AT35" s="3149">
        <f t="shared" si="14"/>
        <v>6655.445999999999</v>
      </c>
      <c r="AU35" s="3149">
        <f t="shared" si="15"/>
        <v>-421.81229999999999</v>
      </c>
      <c r="AV35" s="3149">
        <f t="shared" si="16"/>
        <v>-6233.6336999999994</v>
      </c>
      <c r="AW35" s="3149">
        <f t="shared" si="17"/>
        <v>96734.626800000013</v>
      </c>
      <c r="BO35" s="3188">
        <f>+BO34-BO16</f>
        <v>2.7844852302223444E-2</v>
      </c>
      <c r="BP35" s="3188">
        <f>+BP34-BP16</f>
        <v>9.3599999090656638E-3</v>
      </c>
      <c r="CB35" s="3188">
        <f>+CB34-CB16</f>
        <v>-5.814835405908525E-2</v>
      </c>
      <c r="CC35" s="3188">
        <f>+CC34-CC16</f>
        <v>1.2780615594238043E-2</v>
      </c>
    </row>
    <row r="36" spans="18:87" ht="14.5">
      <c r="R36" s="3140">
        <v>46326</v>
      </c>
      <c r="S36" s="3135">
        <f t="shared" si="0"/>
        <v>-3744.47</v>
      </c>
      <c r="W36" s="3150">
        <v>46326</v>
      </c>
      <c r="X36" s="3149"/>
      <c r="Y36" s="3149">
        <f t="shared" si="1"/>
        <v>60411.58</v>
      </c>
      <c r="Z36" s="3149">
        <f t="shared" si="2"/>
        <v>-634.52</v>
      </c>
      <c r="AA36" s="3147">
        <f t="shared" si="3"/>
        <v>0</v>
      </c>
      <c r="AB36" s="3147">
        <f t="shared" si="4"/>
        <v>-59777.060000000005</v>
      </c>
      <c r="AC36" s="3147"/>
      <c r="AD36" s="3149">
        <f t="shared" si="5"/>
        <v>120314.39114096103</v>
      </c>
      <c r="AE36" s="3149">
        <f t="shared" si="6"/>
        <v>-12686.4318</v>
      </c>
      <c r="AF36" s="3149">
        <f t="shared" si="7"/>
        <v>133.2492</v>
      </c>
      <c r="AG36" s="3149">
        <f t="shared" si="8"/>
        <v>12553.1826</v>
      </c>
      <c r="AH36" s="3149">
        <f t="shared" si="9"/>
        <v>553831.58693960169</v>
      </c>
      <c r="AL36" s="3150">
        <v>45961</v>
      </c>
      <c r="AM36" s="3149"/>
      <c r="AN36" s="3149">
        <f t="shared" si="34"/>
        <v>-31692.6</v>
      </c>
      <c r="AO36" s="3149">
        <f t="shared" si="10"/>
        <v>1882.96</v>
      </c>
      <c r="AP36" s="3147">
        <f t="shared" si="11"/>
        <v>-705156</v>
      </c>
      <c r="AQ36" s="3147">
        <f t="shared" si="12"/>
        <v>29809.64</v>
      </c>
      <c r="AR36" s="3147"/>
      <c r="AS36" s="3149">
        <f t="shared" si="13"/>
        <v>-430831.44000000035</v>
      </c>
      <c r="AT36" s="3149">
        <f t="shared" si="14"/>
        <v>6655.445999999999</v>
      </c>
      <c r="AU36" s="3149">
        <f t="shared" si="15"/>
        <v>-395.42160000000001</v>
      </c>
      <c r="AV36" s="3149">
        <f t="shared" si="16"/>
        <v>-6260.0243999999993</v>
      </c>
      <c r="AW36" s="3149">
        <f t="shared" si="17"/>
        <v>90474.602400000018</v>
      </c>
      <c r="BM36" s="2670" t="s">
        <v>2884</v>
      </c>
    </row>
    <row r="37" spans="18:87" ht="14.5">
      <c r="R37" s="3140">
        <v>46356</v>
      </c>
      <c r="S37" s="3135">
        <f t="shared" si="0"/>
        <v>-3744.47</v>
      </c>
      <c r="W37" s="3150">
        <v>46356</v>
      </c>
      <c r="X37" s="3149"/>
      <c r="Y37" s="3149">
        <f t="shared" si="1"/>
        <v>60411.58</v>
      </c>
      <c r="Z37" s="3149">
        <f t="shared" si="2"/>
        <v>-381.46</v>
      </c>
      <c r="AA37" s="3147">
        <f t="shared" si="3"/>
        <v>0</v>
      </c>
      <c r="AB37" s="3147">
        <f t="shared" si="4"/>
        <v>-60030.12</v>
      </c>
      <c r="AC37" s="3147"/>
      <c r="AD37" s="3149">
        <f t="shared" si="5"/>
        <v>60284.271140961027</v>
      </c>
      <c r="AE37" s="3149">
        <f t="shared" si="6"/>
        <v>-12686.4318</v>
      </c>
      <c r="AF37" s="3149">
        <f t="shared" si="7"/>
        <v>80.106599999999986</v>
      </c>
      <c r="AG37" s="3149">
        <f t="shared" si="8"/>
        <v>12606.325200000001</v>
      </c>
      <c r="AH37" s="3149">
        <f t="shared" si="9"/>
        <v>566437.91213960166</v>
      </c>
      <c r="AL37" s="3150">
        <v>45991</v>
      </c>
      <c r="AM37" s="3149"/>
      <c r="AN37" s="3149">
        <f t="shared" si="34"/>
        <v>-31692.6</v>
      </c>
      <c r="AO37" s="3149">
        <f t="shared" si="10"/>
        <v>1756.77</v>
      </c>
      <c r="AP37" s="3147">
        <f t="shared" si="11"/>
        <v>-705156</v>
      </c>
      <c r="AQ37" s="3147">
        <f t="shared" si="12"/>
        <v>29935.829999999998</v>
      </c>
      <c r="AR37" s="3147"/>
      <c r="AS37" s="3149">
        <f t="shared" si="13"/>
        <v>-400895.61000000039</v>
      </c>
      <c r="AT37" s="3149">
        <f t="shared" si="14"/>
        <v>6655.445999999999</v>
      </c>
      <c r="AU37" s="3149">
        <f t="shared" si="15"/>
        <v>-368.92169999999999</v>
      </c>
      <c r="AV37" s="3149">
        <f t="shared" si="16"/>
        <v>-6286.5242999999991</v>
      </c>
      <c r="AW37" s="3149">
        <f t="shared" si="17"/>
        <v>84188.078100000013</v>
      </c>
      <c r="BM37" s="2670" t="s">
        <v>852</v>
      </c>
      <c r="BQ37" s="3187">
        <f>BU33</f>
        <v>1263837.4573641608</v>
      </c>
      <c r="BR37" s="3187">
        <f>BV33</f>
        <v>571042.3495222975</v>
      </c>
      <c r="BS37" s="3187">
        <f t="shared" ref="BS37:BS48" si="35">BQ37*$BS$21/12</f>
        <v>5138.5524620664501</v>
      </c>
      <c r="BT37" s="3187">
        <f t="shared" ref="BT37:BT48" si="36">BR37*$BS$21/12</f>
        <v>2321.7630194327412</v>
      </c>
      <c r="BU37" s="3187">
        <f t="shared" ref="BU37:BU48" si="37">BQ37+BS37</f>
        <v>1268976.0098262273</v>
      </c>
      <c r="BV37" s="3187">
        <f t="shared" ref="BV37:BV48" si="38">BR37+BT37</f>
        <v>573364.11254173028</v>
      </c>
    </row>
    <row r="38" spans="18:87" ht="14.5">
      <c r="R38" s="3139">
        <v>46387</v>
      </c>
      <c r="S38" s="3135">
        <f>ROUND($S$14/S$8,2)+0.08</f>
        <v>-3744.39</v>
      </c>
      <c r="W38" s="3150">
        <v>46387</v>
      </c>
      <c r="X38" s="3149"/>
      <c r="Y38" s="3149">
        <f>ROUND((AA37+$Z$40)/$Z$10,2)+0.02</f>
        <v>60411.6</v>
      </c>
      <c r="Z38" s="3149">
        <f t="shared" si="2"/>
        <v>-127.33</v>
      </c>
      <c r="AA38" s="3147">
        <f t="shared" si="3"/>
        <v>0</v>
      </c>
      <c r="AB38" s="3147">
        <f t="shared" si="4"/>
        <v>-60284.27</v>
      </c>
      <c r="AC38" s="3147"/>
      <c r="AD38" s="3149">
        <f t="shared" si="5"/>
        <v>1.1409610288666272E-3</v>
      </c>
      <c r="AE38" s="3149">
        <f t="shared" si="6"/>
        <v>-12686.436</v>
      </c>
      <c r="AF38" s="3149">
        <f t="shared" si="7"/>
        <v>26.7393</v>
      </c>
      <c r="AG38" s="3149">
        <f t="shared" si="8"/>
        <v>12659.6967</v>
      </c>
      <c r="AH38" s="3149">
        <f t="shared" si="9"/>
        <v>579097.60883960163</v>
      </c>
      <c r="AL38" s="3150">
        <v>46022</v>
      </c>
      <c r="AM38" s="3149"/>
      <c r="AN38" s="3149">
        <f t="shared" si="34"/>
        <v>-31692.6</v>
      </c>
      <c r="AO38" s="3149">
        <f t="shared" si="10"/>
        <v>1630.04</v>
      </c>
      <c r="AP38" s="3147">
        <f t="shared" si="11"/>
        <v>-705156</v>
      </c>
      <c r="AQ38" s="3147">
        <f t="shared" si="12"/>
        <v>30062.559999999998</v>
      </c>
      <c r="AR38" s="3147"/>
      <c r="AS38" s="3149">
        <f t="shared" si="13"/>
        <v>-370833.0500000004</v>
      </c>
      <c r="AT38" s="3149">
        <f t="shared" si="14"/>
        <v>6655.445999999999</v>
      </c>
      <c r="AU38" s="3149">
        <f t="shared" si="15"/>
        <v>-342.30840000000001</v>
      </c>
      <c r="AV38" s="3149">
        <f t="shared" si="16"/>
        <v>-6313.1375999999991</v>
      </c>
      <c r="AW38" s="3149">
        <f t="shared" si="17"/>
        <v>77874.940500000012</v>
      </c>
      <c r="BM38" s="2670" t="s">
        <v>851</v>
      </c>
      <c r="BQ38" s="3187">
        <f t="shared" ref="BQ38:BQ48" si="39">BU37</f>
        <v>1268976.0098262273</v>
      </c>
      <c r="BR38" s="3187">
        <f t="shared" ref="BR38:BR48" si="40">BV37</f>
        <v>573364.11254173028</v>
      </c>
      <c r="BS38" s="3187">
        <f t="shared" si="35"/>
        <v>5159.444959951802</v>
      </c>
      <c r="BT38" s="3187">
        <f t="shared" si="36"/>
        <v>2331.2029209092516</v>
      </c>
      <c r="BU38" s="3187">
        <f t="shared" si="37"/>
        <v>1274135.4547861791</v>
      </c>
      <c r="BV38" s="3187">
        <f t="shared" si="38"/>
        <v>575695.31546263956</v>
      </c>
    </row>
    <row r="39" spans="18:87" ht="14.5" thickBot="1">
      <c r="S39" s="3135">
        <f>SUM(S15:S38)</f>
        <v>-89867.200000000012</v>
      </c>
      <c r="X39" s="3148">
        <f>SUM(X15:X37)</f>
        <v>0</v>
      </c>
      <c r="Y39" s="3148">
        <f>SUM(Y15:Y38)</f>
        <v>1449877.9400000002</v>
      </c>
      <c r="Z39" s="3148">
        <f>SUM(Z15:Z38)</f>
        <v>-71074.110000000015</v>
      </c>
      <c r="AA39" s="3148"/>
      <c r="AB39" s="3148">
        <f>SUM(AB15:AB38)</f>
        <v>-1378803.8300000003</v>
      </c>
      <c r="AC39" s="3148"/>
      <c r="AD39" s="3148"/>
      <c r="AE39" s="3148">
        <f>SUM(AE15:AE38)</f>
        <v>-304474.36739999999</v>
      </c>
      <c r="AF39" s="3148">
        <f>SUM(AF15:AF38)</f>
        <v>14925.563099999998</v>
      </c>
      <c r="AG39" s="3148">
        <f>SUM(AG15:AG38)</f>
        <v>289548.80430000008</v>
      </c>
      <c r="AH39" s="3148"/>
      <c r="AL39" s="3150">
        <v>46053</v>
      </c>
      <c r="AM39" s="3149"/>
      <c r="AN39" s="3149">
        <f t="shared" si="34"/>
        <v>-31692.6</v>
      </c>
      <c r="AO39" s="3149">
        <f t="shared" si="10"/>
        <v>1502.78</v>
      </c>
      <c r="AP39" s="3147">
        <f t="shared" si="11"/>
        <v>-705156</v>
      </c>
      <c r="AQ39" s="3147">
        <f t="shared" si="12"/>
        <v>30189.82</v>
      </c>
      <c r="AR39" s="3147"/>
      <c r="AS39" s="3149">
        <f t="shared" si="13"/>
        <v>-340643.23000000045</v>
      </c>
      <c r="AT39" s="3149">
        <f t="shared" si="14"/>
        <v>6655.445999999999</v>
      </c>
      <c r="AU39" s="3149">
        <f t="shared" si="15"/>
        <v>-315.5838</v>
      </c>
      <c r="AV39" s="3149">
        <f t="shared" si="16"/>
        <v>-6339.8621999999987</v>
      </c>
      <c r="AW39" s="3149">
        <f t="shared" si="17"/>
        <v>71535.078300000008</v>
      </c>
      <c r="BM39" s="2670" t="s">
        <v>850</v>
      </c>
      <c r="BQ39" s="3187">
        <f t="shared" si="39"/>
        <v>1274135.4547861791</v>
      </c>
      <c r="BR39" s="3187">
        <f t="shared" si="40"/>
        <v>575695.31546263956</v>
      </c>
      <c r="BS39" s="3187">
        <f t="shared" si="35"/>
        <v>5180.422403251473</v>
      </c>
      <c r="BT39" s="3187">
        <f t="shared" si="36"/>
        <v>2340.6812034518484</v>
      </c>
      <c r="BU39" s="3187">
        <f t="shared" si="37"/>
        <v>1279315.8771894306</v>
      </c>
      <c r="BV39" s="3187">
        <f t="shared" si="38"/>
        <v>578035.99666609138</v>
      </c>
    </row>
    <row r="40" spans="18:87" ht="15.5" thickTop="1" thickBot="1">
      <c r="R40" s="3138" t="s">
        <v>1189</v>
      </c>
      <c r="S40" s="3137">
        <f>S14-S39</f>
        <v>-1.7462298274040222E-10</v>
      </c>
      <c r="T40" s="3136"/>
      <c r="X40" s="3147"/>
      <c r="Y40" s="3147"/>
      <c r="Z40" s="3147">
        <f>1449878</f>
        <v>1449878</v>
      </c>
      <c r="AA40" s="3146"/>
      <c r="AB40" s="3146"/>
      <c r="AC40" s="3146"/>
      <c r="AD40" s="3146"/>
      <c r="AE40" s="3146"/>
      <c r="AF40" s="3146"/>
      <c r="AG40" s="3146"/>
      <c r="AH40" s="3145"/>
      <c r="AL40" s="3150">
        <v>46081</v>
      </c>
      <c r="AM40" s="3149"/>
      <c r="AN40" s="3149">
        <f t="shared" si="34"/>
        <v>-31692.6</v>
      </c>
      <c r="AO40" s="3149">
        <f t="shared" si="10"/>
        <v>1374.97</v>
      </c>
      <c r="AP40" s="3147">
        <f t="shared" si="11"/>
        <v>-705156</v>
      </c>
      <c r="AQ40" s="3147">
        <f t="shared" si="12"/>
        <v>30317.629999999997</v>
      </c>
      <c r="AR40" s="3147"/>
      <c r="AS40" s="3149">
        <f t="shared" si="13"/>
        <v>-310325.60000000044</v>
      </c>
      <c r="AT40" s="3149">
        <f t="shared" si="14"/>
        <v>6655.445999999999</v>
      </c>
      <c r="AU40" s="3149">
        <f t="shared" si="15"/>
        <v>-288.74369999999999</v>
      </c>
      <c r="AV40" s="3149">
        <f t="shared" si="16"/>
        <v>-6366.702299999999</v>
      </c>
      <c r="AW40" s="3149">
        <f t="shared" si="17"/>
        <v>65168.376000000011</v>
      </c>
      <c r="BM40" s="2670" t="s">
        <v>848</v>
      </c>
      <c r="BQ40" s="3187">
        <f t="shared" si="39"/>
        <v>1279315.8771894306</v>
      </c>
      <c r="BR40" s="3187">
        <f t="shared" si="40"/>
        <v>578035.99666609138</v>
      </c>
      <c r="BS40" s="3187">
        <f t="shared" si="35"/>
        <v>5201.4851373393603</v>
      </c>
      <c r="BT40" s="3187">
        <f t="shared" si="36"/>
        <v>2350.1980231115499</v>
      </c>
      <c r="BU40" s="3187">
        <f t="shared" si="37"/>
        <v>1284517.3623267701</v>
      </c>
      <c r="BV40" s="3187">
        <f t="shared" si="38"/>
        <v>580386.19468920294</v>
      </c>
    </row>
    <row r="41" spans="18:87" ht="15" thickTop="1" thickBot="1">
      <c r="X41" s="3144" t="s">
        <v>2841</v>
      </c>
      <c r="Y41" s="3143">
        <f>SUM(Y15:Y26)</f>
        <v>724938.96</v>
      </c>
      <c r="Z41" s="3147"/>
      <c r="AA41" s="3146"/>
      <c r="AB41" s="3146"/>
      <c r="AC41" s="3146"/>
      <c r="AD41" s="3146"/>
      <c r="AE41" s="3146"/>
      <c r="AF41" s="3146"/>
      <c r="AG41" s="3146"/>
      <c r="AH41" s="3145"/>
      <c r="AL41" s="3150">
        <v>46112</v>
      </c>
      <c r="AM41" s="3149"/>
      <c r="AN41" s="3149">
        <f t="shared" si="34"/>
        <v>-31692.6</v>
      </c>
      <c r="AO41" s="3149">
        <f t="shared" si="10"/>
        <v>1246.6300000000001</v>
      </c>
      <c r="AP41" s="3147">
        <f t="shared" si="11"/>
        <v>-705156</v>
      </c>
      <c r="AQ41" s="3147">
        <f t="shared" si="12"/>
        <v>30445.969999999998</v>
      </c>
      <c r="AR41" s="3147"/>
      <c r="AS41" s="3149">
        <f t="shared" si="13"/>
        <v>-279879.63000000047</v>
      </c>
      <c r="AT41" s="3149">
        <f t="shared" si="14"/>
        <v>6655.445999999999</v>
      </c>
      <c r="AU41" s="3149">
        <f t="shared" si="15"/>
        <v>-261.79230000000001</v>
      </c>
      <c r="AV41" s="3149">
        <f t="shared" si="16"/>
        <v>-6393.6536999999989</v>
      </c>
      <c r="AW41" s="3149">
        <f t="shared" si="17"/>
        <v>58774.722300000009</v>
      </c>
      <c r="BM41" s="2670" t="s">
        <v>846</v>
      </c>
      <c r="BQ41" s="3187">
        <f t="shared" si="39"/>
        <v>1284517.3623267701</v>
      </c>
      <c r="BR41" s="3187">
        <f t="shared" si="40"/>
        <v>580386.19468920294</v>
      </c>
      <c r="BS41" s="3187">
        <f t="shared" si="35"/>
        <v>5222.6335089935928</v>
      </c>
      <c r="BT41" s="3187">
        <f t="shared" si="36"/>
        <v>2359.7535365738509</v>
      </c>
      <c r="BU41" s="3187">
        <f t="shared" si="37"/>
        <v>1289739.9958357636</v>
      </c>
      <c r="BV41" s="3187">
        <f t="shared" si="38"/>
        <v>582745.94822577678</v>
      </c>
    </row>
    <row r="42" spans="18:87" ht="15" thickTop="1" thickBot="1">
      <c r="R42" s="477" t="s">
        <v>525</v>
      </c>
      <c r="S42" s="3135">
        <f>SUM(S15:S26)</f>
        <v>-44933.640000000007</v>
      </c>
      <c r="X42" s="3144" t="s">
        <v>2840</v>
      </c>
      <c r="Y42" s="3143">
        <f>SUM(Y27:Y38)</f>
        <v>724938.98</v>
      </c>
      <c r="AA42" s="916"/>
      <c r="AD42" s="916"/>
      <c r="AE42" s="916"/>
      <c r="AL42" s="3150">
        <v>46142</v>
      </c>
      <c r="AM42" s="3149"/>
      <c r="AN42" s="3149">
        <f t="shared" si="34"/>
        <v>-31692.6</v>
      </c>
      <c r="AO42" s="3149">
        <f t="shared" si="10"/>
        <v>1117.74</v>
      </c>
      <c r="AP42" s="3147">
        <f t="shared" si="11"/>
        <v>-705156</v>
      </c>
      <c r="AQ42" s="3147">
        <f t="shared" si="12"/>
        <v>30574.859999999997</v>
      </c>
      <c r="AR42" s="3147"/>
      <c r="AS42" s="3149">
        <f t="shared" si="13"/>
        <v>-249304.77000000046</v>
      </c>
      <c r="AT42" s="3149">
        <f t="shared" si="14"/>
        <v>6655.445999999999</v>
      </c>
      <c r="AU42" s="3149">
        <f t="shared" si="15"/>
        <v>-234.72539999999998</v>
      </c>
      <c r="AV42" s="3149">
        <f t="shared" si="16"/>
        <v>-6420.7205999999987</v>
      </c>
      <c r="AW42" s="3149">
        <f t="shared" si="17"/>
        <v>52354.001700000008</v>
      </c>
      <c r="BM42" s="2670" t="s">
        <v>844</v>
      </c>
      <c r="BQ42" s="3187">
        <f t="shared" si="39"/>
        <v>1289739.9958357636</v>
      </c>
      <c r="BR42" s="3187">
        <f t="shared" si="40"/>
        <v>582745.94822577678</v>
      </c>
      <c r="BS42" s="3187">
        <f t="shared" si="35"/>
        <v>5243.8678664022418</v>
      </c>
      <c r="BT42" s="3187">
        <f t="shared" si="36"/>
        <v>2369.347901161304</v>
      </c>
      <c r="BU42" s="3187">
        <f t="shared" si="37"/>
        <v>1294983.8637021659</v>
      </c>
      <c r="BV42" s="3187">
        <f t="shared" si="38"/>
        <v>585115.29612693808</v>
      </c>
    </row>
    <row r="43" spans="18:87" ht="14.5" thickTop="1">
      <c r="R43" s="477" t="s">
        <v>526</v>
      </c>
      <c r="S43" s="3135">
        <f>SUM(S27:S38)</f>
        <v>-44933.560000000005</v>
      </c>
      <c r="AL43" s="3150">
        <v>46173</v>
      </c>
      <c r="AM43" s="3149"/>
      <c r="AN43" s="3149">
        <f t="shared" si="34"/>
        <v>-31692.6</v>
      </c>
      <c r="AO43" s="3149">
        <f t="shared" si="10"/>
        <v>988.31</v>
      </c>
      <c r="AP43" s="3147">
        <f t="shared" si="11"/>
        <v>-705156</v>
      </c>
      <c r="AQ43" s="3147">
        <f t="shared" si="12"/>
        <v>30704.289999999997</v>
      </c>
      <c r="AR43" s="3147"/>
      <c r="AS43" s="3149">
        <f t="shared" si="13"/>
        <v>-218600.48000000045</v>
      </c>
      <c r="AT43" s="3149">
        <f t="shared" si="14"/>
        <v>6655.445999999999</v>
      </c>
      <c r="AU43" s="3149">
        <f t="shared" si="15"/>
        <v>-207.54509999999999</v>
      </c>
      <c r="AV43" s="3149">
        <f t="shared" si="16"/>
        <v>-6447.9008999999987</v>
      </c>
      <c r="AW43" s="3149">
        <f t="shared" si="17"/>
        <v>45906.100800000007</v>
      </c>
      <c r="BM43" s="2670" t="s">
        <v>863</v>
      </c>
      <c r="BQ43" s="3187">
        <f t="shared" si="39"/>
        <v>1294983.8637021659</v>
      </c>
      <c r="BR43" s="3187">
        <f t="shared" si="40"/>
        <v>585115.29612693808</v>
      </c>
      <c r="BS43" s="3187">
        <f t="shared" si="35"/>
        <v>5265.1885591690561</v>
      </c>
      <c r="BT43" s="3187">
        <f t="shared" si="36"/>
        <v>2378.9812748361092</v>
      </c>
      <c r="BU43" s="3187">
        <f t="shared" si="37"/>
        <v>1300249.0522613348</v>
      </c>
      <c r="BV43" s="3187">
        <f t="shared" si="38"/>
        <v>587494.27740177419</v>
      </c>
    </row>
    <row r="44" spans="18:87" ht="14">
      <c r="AL44" s="3150">
        <v>46203</v>
      </c>
      <c r="AM44" s="3149"/>
      <c r="AN44" s="3149">
        <f t="shared" si="34"/>
        <v>-31692.6</v>
      </c>
      <c r="AO44" s="3149">
        <f t="shared" si="10"/>
        <v>858.33</v>
      </c>
      <c r="AP44" s="3147">
        <f t="shared" si="11"/>
        <v>-705156</v>
      </c>
      <c r="AQ44" s="3147">
        <f t="shared" si="12"/>
        <v>30834.269999999997</v>
      </c>
      <c r="AR44" s="3147"/>
      <c r="AS44" s="3149">
        <f t="shared" si="13"/>
        <v>-187766.21000000043</v>
      </c>
      <c r="AT44" s="3149">
        <f t="shared" si="14"/>
        <v>6655.445999999999</v>
      </c>
      <c r="AU44" s="3149">
        <f t="shared" si="15"/>
        <v>-180.24930000000001</v>
      </c>
      <c r="AV44" s="3149">
        <f t="shared" si="16"/>
        <v>-6475.1966999999986</v>
      </c>
      <c r="AW44" s="3149">
        <f t="shared" si="17"/>
        <v>39430.904100000007</v>
      </c>
      <c r="BM44" s="2670" t="s">
        <v>861</v>
      </c>
      <c r="BQ44" s="3187">
        <f t="shared" si="39"/>
        <v>1300249.0522613348</v>
      </c>
      <c r="BR44" s="3187">
        <f t="shared" si="40"/>
        <v>587494.27740177419</v>
      </c>
      <c r="BS44" s="3187">
        <f t="shared" si="35"/>
        <v>5286.5959383192103</v>
      </c>
      <c r="BT44" s="3187">
        <f t="shared" si="36"/>
        <v>2388.6538162027136</v>
      </c>
      <c r="BU44" s="3187">
        <f t="shared" si="37"/>
        <v>1305535.648199654</v>
      </c>
      <c r="BV44" s="3187">
        <f t="shared" si="38"/>
        <v>589882.93121797685</v>
      </c>
    </row>
    <row r="45" spans="18:87" ht="14">
      <c r="AL45" s="3150">
        <v>46234</v>
      </c>
      <c r="AM45" s="3149"/>
      <c r="AN45" s="3149">
        <f t="shared" si="34"/>
        <v>-31692.6</v>
      </c>
      <c r="AO45" s="3149">
        <f t="shared" si="10"/>
        <v>727.79</v>
      </c>
      <c r="AP45" s="3147">
        <f t="shared" si="11"/>
        <v>-705156</v>
      </c>
      <c r="AQ45" s="3147">
        <f t="shared" si="12"/>
        <v>30964.809999999998</v>
      </c>
      <c r="AR45" s="3147"/>
      <c r="AS45" s="3149">
        <f t="shared" si="13"/>
        <v>-156801.40000000043</v>
      </c>
      <c r="AT45" s="3149">
        <f t="shared" si="14"/>
        <v>6655.445999999999</v>
      </c>
      <c r="AU45" s="3149">
        <f t="shared" si="15"/>
        <v>-152.83589999999998</v>
      </c>
      <c r="AV45" s="3149">
        <f t="shared" si="16"/>
        <v>-6502.610099999999</v>
      </c>
      <c r="AW45" s="3149">
        <f t="shared" si="17"/>
        <v>32928.294000000009</v>
      </c>
      <c r="BM45" s="2670" t="s">
        <v>857</v>
      </c>
      <c r="BQ45" s="3187">
        <f t="shared" si="39"/>
        <v>1305535.648199654</v>
      </c>
      <c r="BR45" s="3187">
        <f t="shared" si="40"/>
        <v>589882.93121797685</v>
      </c>
      <c r="BS45" s="3187">
        <f t="shared" si="35"/>
        <v>5308.0903563050933</v>
      </c>
      <c r="BT45" s="3187">
        <f t="shared" si="36"/>
        <v>2398.3656845104242</v>
      </c>
      <c r="BU45" s="3187">
        <f t="shared" si="37"/>
        <v>1310843.738555959</v>
      </c>
      <c r="BV45" s="3187">
        <f t="shared" si="38"/>
        <v>592281.29690248729</v>
      </c>
    </row>
    <row r="46" spans="18:87" ht="14">
      <c r="AL46" s="3150">
        <v>46265</v>
      </c>
      <c r="AM46" s="3149"/>
      <c r="AN46" s="3149">
        <f t="shared" si="34"/>
        <v>-31692.6</v>
      </c>
      <c r="AO46" s="3149">
        <f t="shared" si="10"/>
        <v>596.71</v>
      </c>
      <c r="AP46" s="3147">
        <f t="shared" si="11"/>
        <v>-705156</v>
      </c>
      <c r="AQ46" s="3147">
        <f t="shared" si="12"/>
        <v>31095.89</v>
      </c>
      <c r="AR46" s="3147"/>
      <c r="AS46" s="3149">
        <f t="shared" si="13"/>
        <v>-125705.51000000043</v>
      </c>
      <c r="AT46" s="3149">
        <f t="shared" si="14"/>
        <v>6655.445999999999</v>
      </c>
      <c r="AU46" s="3149">
        <f t="shared" si="15"/>
        <v>-125.3091</v>
      </c>
      <c r="AV46" s="3149">
        <f t="shared" si="16"/>
        <v>-6530.1368999999986</v>
      </c>
      <c r="AW46" s="3149">
        <f t="shared" si="17"/>
        <v>26398.157100000011</v>
      </c>
      <c r="BM46" s="2670" t="s">
        <v>855</v>
      </c>
      <c r="BQ46" s="3187">
        <f t="shared" si="39"/>
        <v>1310843.738555959</v>
      </c>
      <c r="BR46" s="3187">
        <f t="shared" si="40"/>
        <v>592281.29690248729</v>
      </c>
      <c r="BS46" s="3187">
        <f t="shared" si="35"/>
        <v>5329.6721670121033</v>
      </c>
      <c r="BT46" s="3187">
        <f t="shared" si="36"/>
        <v>2408.1170396560296</v>
      </c>
      <c r="BU46" s="3187">
        <f t="shared" si="37"/>
        <v>1316173.410722971</v>
      </c>
      <c r="BV46" s="3187">
        <f t="shared" si="38"/>
        <v>594689.41394214332</v>
      </c>
    </row>
    <row r="47" spans="18:87" ht="14.5" thickBot="1">
      <c r="AL47" s="3150">
        <v>46295</v>
      </c>
      <c r="AM47" s="3149"/>
      <c r="AN47" s="3149">
        <f t="shared" si="34"/>
        <v>-31692.6</v>
      </c>
      <c r="AO47" s="3149">
        <f t="shared" si="10"/>
        <v>465.07</v>
      </c>
      <c r="AP47" s="3147">
        <f t="shared" si="11"/>
        <v>-705156</v>
      </c>
      <c r="AQ47" s="3147">
        <f t="shared" si="12"/>
        <v>31227.53</v>
      </c>
      <c r="AR47" s="3147"/>
      <c r="AS47" s="3149">
        <f t="shared" si="13"/>
        <v>-94477.980000000447</v>
      </c>
      <c r="AT47" s="3149">
        <f t="shared" si="14"/>
        <v>6655.445999999999</v>
      </c>
      <c r="AU47" s="3149">
        <f t="shared" si="15"/>
        <v>-97.664699999999996</v>
      </c>
      <c r="AV47" s="3149">
        <f t="shared" si="16"/>
        <v>-6557.7812999999987</v>
      </c>
      <c r="AW47" s="3149">
        <f t="shared" si="17"/>
        <v>19840.375800000013</v>
      </c>
      <c r="BM47" s="2670" t="s">
        <v>854</v>
      </c>
      <c r="BQ47" s="3187">
        <f t="shared" si="39"/>
        <v>1316173.410722971</v>
      </c>
      <c r="BR47" s="3187">
        <f t="shared" si="40"/>
        <v>594689.41394214332</v>
      </c>
      <c r="BS47" s="3187">
        <f t="shared" si="35"/>
        <v>5351.3417257644796</v>
      </c>
      <c r="BT47" s="3187">
        <f t="shared" si="36"/>
        <v>2417.908042186431</v>
      </c>
      <c r="BU47" s="3187">
        <f t="shared" si="37"/>
        <v>1321524.7524487355</v>
      </c>
      <c r="BV47" s="3187">
        <f t="shared" si="38"/>
        <v>597107.32198432973</v>
      </c>
    </row>
    <row r="48" spans="18:87" ht="14.5" thickBot="1">
      <c r="AL48" s="3150">
        <v>46326</v>
      </c>
      <c r="AM48" s="3149"/>
      <c r="AN48" s="3149">
        <f t="shared" si="34"/>
        <v>-31692.6</v>
      </c>
      <c r="AO48" s="3149">
        <f t="shared" si="10"/>
        <v>332.87</v>
      </c>
      <c r="AP48" s="3147">
        <f t="shared" si="11"/>
        <v>-705156</v>
      </c>
      <c r="AQ48" s="3147">
        <f t="shared" si="12"/>
        <v>31359.73</v>
      </c>
      <c r="AR48" s="3147"/>
      <c r="AS48" s="3149">
        <f t="shared" si="13"/>
        <v>-63118.250000000451</v>
      </c>
      <c r="AT48" s="3149">
        <f t="shared" si="14"/>
        <v>6655.445999999999</v>
      </c>
      <c r="AU48" s="3149">
        <f t="shared" si="15"/>
        <v>-69.902699999999996</v>
      </c>
      <c r="AV48" s="3149">
        <f t="shared" si="16"/>
        <v>-6585.5432999999994</v>
      </c>
      <c r="AW48" s="3149">
        <f t="shared" si="17"/>
        <v>13254.832500000013</v>
      </c>
      <c r="BM48" s="2670" t="s">
        <v>853</v>
      </c>
      <c r="BQ48" s="3187">
        <f t="shared" si="39"/>
        <v>1321524.7524487355</v>
      </c>
      <c r="BR48" s="3187">
        <f t="shared" si="40"/>
        <v>597107.32198432973</v>
      </c>
      <c r="BS48" s="3187">
        <f t="shared" si="35"/>
        <v>5373.0993893311506</v>
      </c>
      <c r="BT48" s="3187">
        <f t="shared" si="36"/>
        <v>2427.7388533012872</v>
      </c>
      <c r="BU48" s="3186">
        <f t="shared" si="37"/>
        <v>1326897.8518380667</v>
      </c>
      <c r="BV48" s="3186">
        <f t="shared" si="38"/>
        <v>599535.060837631</v>
      </c>
    </row>
    <row r="49" spans="38:74" ht="14">
      <c r="AL49" s="3150">
        <v>46356</v>
      </c>
      <c r="AM49" s="3149"/>
      <c r="AN49" s="3149">
        <f t="shared" si="34"/>
        <v>-31692.6</v>
      </c>
      <c r="AO49" s="3149">
        <f t="shared" si="10"/>
        <v>200.12</v>
      </c>
      <c r="AP49" s="3147">
        <f t="shared" si="11"/>
        <v>-705156</v>
      </c>
      <c r="AQ49" s="3147">
        <f t="shared" si="12"/>
        <v>31492.48</v>
      </c>
      <c r="AR49" s="3147"/>
      <c r="AS49" s="3149">
        <f t="shared" si="13"/>
        <v>-31625.770000000452</v>
      </c>
      <c r="AT49" s="3149">
        <f t="shared" si="14"/>
        <v>6655.445999999999</v>
      </c>
      <c r="AU49" s="3149">
        <f t="shared" si="15"/>
        <v>-42.025199999999998</v>
      </c>
      <c r="AV49" s="3149">
        <f t="shared" si="16"/>
        <v>-6613.420799999999</v>
      </c>
      <c r="AW49" s="3149">
        <f t="shared" si="17"/>
        <v>6641.4117000000142</v>
      </c>
      <c r="BU49" s="3185" t="s">
        <v>2883</v>
      </c>
      <c r="BV49" s="3185" t="s">
        <v>2883</v>
      </c>
    </row>
    <row r="50" spans="38:74" ht="14">
      <c r="AL50" s="3150">
        <v>46387</v>
      </c>
      <c r="AM50" s="3149"/>
      <c r="AN50" s="3149">
        <f>ROUND((AP49+$AO$52)/$AO$10,2)+0.03</f>
        <v>-31692.57</v>
      </c>
      <c r="AO50" s="3149">
        <f t="shared" si="10"/>
        <v>66.8</v>
      </c>
      <c r="AP50" s="3147">
        <f t="shared" si="11"/>
        <v>-705156</v>
      </c>
      <c r="AQ50" s="3147">
        <f t="shared" si="12"/>
        <v>31625.77</v>
      </c>
      <c r="AR50" s="3147"/>
      <c r="AS50" s="3149">
        <f t="shared" si="13"/>
        <v>-4.5183412566984771E-10</v>
      </c>
      <c r="AT50" s="3149">
        <f t="shared" si="14"/>
        <v>6655.4396999999999</v>
      </c>
      <c r="AU50" s="3149">
        <f t="shared" si="15"/>
        <v>-14.027999999999999</v>
      </c>
      <c r="AV50" s="3149">
        <f t="shared" si="16"/>
        <v>-6641.4116999999997</v>
      </c>
      <c r="AW50" s="3149">
        <f t="shared" si="17"/>
        <v>1.4551915228366852E-11</v>
      </c>
      <c r="BU50" s="3185" t="s">
        <v>1808</v>
      </c>
      <c r="BV50" s="3185" t="s">
        <v>1808</v>
      </c>
    </row>
    <row r="51" spans="38:74" ht="14.5" thickBot="1">
      <c r="AM51" s="3148">
        <f>SUM(AM15:AM50)</f>
        <v>705156</v>
      </c>
      <c r="AN51" s="3148">
        <f>SUM(AN27:AN50)</f>
        <v>-760622.36999999965</v>
      </c>
      <c r="AO51" s="3148">
        <f>SUM(AO27:AO50)</f>
        <v>37286.260000000009</v>
      </c>
      <c r="AP51" s="3148"/>
      <c r="AQ51" s="3148">
        <f>SUM(AQ27:AQ50)</f>
        <v>723336.11</v>
      </c>
      <c r="AR51" s="3148"/>
      <c r="AS51" s="3148"/>
      <c r="AT51" s="3148">
        <f>SUM(AT27:AT50)</f>
        <v>159730.69769999993</v>
      </c>
      <c r="AU51" s="3148">
        <f>SUM(AU27:AU50)</f>
        <v>-7830.1146000000008</v>
      </c>
      <c r="AV51" s="3148">
        <f>SUM(AV27:AV50)</f>
        <v>-151900.58309999996</v>
      </c>
      <c r="AW51" s="3148"/>
    </row>
    <row r="52" spans="38:74" ht="15" thickTop="1" thickBot="1">
      <c r="AM52" s="3147"/>
      <c r="AN52" s="3147"/>
      <c r="AO52" s="3151">
        <v>-55466.3</v>
      </c>
      <c r="AP52" s="3146"/>
      <c r="AQ52" s="3146"/>
      <c r="AR52" s="3146"/>
      <c r="AS52" s="3146"/>
      <c r="AT52" s="3146"/>
      <c r="AU52" s="3146"/>
      <c r="AV52" s="3146"/>
      <c r="AW52" s="3145"/>
    </row>
    <row r="53" spans="38:74" ht="15" thickTop="1" thickBot="1">
      <c r="AM53" s="3144" t="s">
        <v>2841</v>
      </c>
      <c r="AN53" s="3143">
        <f>SUM(AN27:AN38)</f>
        <v>-380311.19999999995</v>
      </c>
      <c r="AO53" s="3147"/>
      <c r="AP53" s="3146"/>
      <c r="AQ53" s="3146"/>
      <c r="AR53" s="3146"/>
      <c r="AS53" s="3146"/>
      <c r="AT53" s="3146"/>
      <c r="AU53" s="3146"/>
      <c r="AV53" s="3146"/>
      <c r="AW53" s="3145"/>
    </row>
    <row r="54" spans="38:74" ht="15" thickTop="1" thickBot="1">
      <c r="AM54" s="3144" t="s">
        <v>2840</v>
      </c>
      <c r="AN54" s="3143">
        <f>SUM(AN39:AN50)</f>
        <v>-380311.17</v>
      </c>
      <c r="AP54" s="916"/>
      <c r="AS54" s="916"/>
      <c r="AT54" s="916"/>
    </row>
    <row r="55" spans="38:74" ht="13"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1640625" defaultRowHeight="12.5"/>
  <cols>
    <col min="1" max="1" width="1.7265625" style="2128" customWidth="1"/>
    <col min="2" max="2" width="4.26953125" style="2128" bestFit="1" customWidth="1"/>
    <col min="3" max="3" width="22.453125" style="2128" bestFit="1" customWidth="1"/>
    <col min="4" max="4" width="11.81640625" style="2128" bestFit="1" customWidth="1"/>
    <col min="5" max="5" width="9.81640625" style="2128" bestFit="1" customWidth="1"/>
    <col min="6" max="6" width="7.54296875" style="2128" bestFit="1" customWidth="1"/>
    <col min="7" max="7" width="8.453125" style="2128" bestFit="1" customWidth="1"/>
    <col min="8" max="8" width="8.26953125" style="2128" customWidth="1"/>
    <col min="9" max="9" width="6.54296875" style="2128" customWidth="1"/>
    <col min="10" max="10" width="7.81640625" style="2128" customWidth="1"/>
    <col min="11" max="11" width="8.453125" style="2128" customWidth="1"/>
    <col min="12" max="12" width="9.81640625" style="2128" customWidth="1"/>
    <col min="13" max="13" width="7.453125" style="2128" bestFit="1" customWidth="1"/>
    <col min="14" max="14" width="10.54296875" style="2128" customWidth="1"/>
    <col min="15" max="15" width="12.7265625" style="2128" customWidth="1"/>
    <col min="16" max="16" width="10.26953125" style="2128" customWidth="1"/>
    <col min="17" max="16384" width="8.81640625" style="2128"/>
  </cols>
  <sheetData>
    <row r="3" spans="2:16" ht="18.5">
      <c r="C3" s="4056" t="s">
        <v>2903</v>
      </c>
      <c r="D3" s="4056"/>
      <c r="E3" s="4056"/>
      <c r="F3" s="4056"/>
      <c r="G3" s="4056"/>
      <c r="K3" s="4057" t="s">
        <v>2904</v>
      </c>
      <c r="L3" s="4057"/>
      <c r="M3" s="4057"/>
      <c r="N3" s="4057"/>
      <c r="O3" s="4057"/>
      <c r="P3" s="4057"/>
    </row>
    <row r="4" spans="2:16" ht="29.5" thickBot="1">
      <c r="B4" s="4055" t="s">
        <v>2905</v>
      </c>
      <c r="C4" s="3212" t="s">
        <v>2906</v>
      </c>
      <c r="D4" s="3213" t="s">
        <v>2907</v>
      </c>
      <c r="E4" s="3214" t="s">
        <v>2908</v>
      </c>
      <c r="F4" s="3213" t="s">
        <v>2909</v>
      </c>
      <c r="G4" s="3213" t="s">
        <v>24</v>
      </c>
      <c r="H4" s="3213" t="s">
        <v>1291</v>
      </c>
      <c r="J4" s="2666">
        <v>2024</v>
      </c>
      <c r="K4" s="2666">
        <v>2025</v>
      </c>
      <c r="L4" s="2666">
        <v>2026</v>
      </c>
      <c r="M4" s="2666">
        <v>2027</v>
      </c>
      <c r="N4" s="2666">
        <v>2028</v>
      </c>
      <c r="O4" s="3215" t="s">
        <v>2910</v>
      </c>
    </row>
    <row r="5" spans="2:16" ht="15" thickBot="1">
      <c r="B5" s="4055"/>
      <c r="C5" s="2128" t="s">
        <v>2911</v>
      </c>
      <c r="D5" s="3216">
        <v>0.26</v>
      </c>
      <c r="E5" s="3216">
        <v>0.62</v>
      </c>
      <c r="F5" s="3216">
        <v>0</v>
      </c>
      <c r="G5" s="3216">
        <f>SUM(D5:F5)</f>
        <v>0.88</v>
      </c>
      <c r="H5" s="2666">
        <v>2025</v>
      </c>
      <c r="J5" s="3217">
        <v>0</v>
      </c>
      <c r="K5" s="3218">
        <f>(D7+E7)*1000</f>
        <v>1200</v>
      </c>
      <c r="L5" s="3219">
        <f>(E9+F9+D17+D9)*1000</f>
        <v>760</v>
      </c>
      <c r="M5" s="2150">
        <f>(E10+F10+D18+D10)*1000</f>
        <v>450</v>
      </c>
      <c r="N5" s="2150">
        <f>D19*1000</f>
        <v>320</v>
      </c>
      <c r="O5" s="3130">
        <f>SUM(J5:N5)</f>
        <v>2730</v>
      </c>
    </row>
    <row r="6" spans="2:16" ht="15" thickBot="1">
      <c r="B6" s="4055"/>
      <c r="C6" s="2128" t="s">
        <v>2912</v>
      </c>
      <c r="D6" s="3220">
        <v>0.11</v>
      </c>
      <c r="E6" s="3220">
        <v>0.21</v>
      </c>
      <c r="F6" s="3220">
        <v>0</v>
      </c>
      <c r="G6" s="3220">
        <f>SUM(D6:F6)</f>
        <v>0.32</v>
      </c>
      <c r="H6" s="3221">
        <v>2025</v>
      </c>
      <c r="O6" s="2150">
        <f>O5-G22</f>
        <v>460</v>
      </c>
    </row>
    <row r="7" spans="2:16" ht="15" thickBot="1">
      <c r="B7" s="4055"/>
      <c r="C7" s="3222" t="s">
        <v>24</v>
      </c>
      <c r="D7" s="3223">
        <f>SUM(D5:D6)</f>
        <v>0.37</v>
      </c>
      <c r="E7" s="3224">
        <f>SUM(E5:E6)</f>
        <v>0.83</v>
      </c>
      <c r="F7" s="3225">
        <f>SUM(F5:F6)</f>
        <v>0</v>
      </c>
      <c r="G7" s="3225">
        <f>SUM(D7:F7)</f>
        <v>1.2</v>
      </c>
      <c r="H7" s="3226">
        <v>2025</v>
      </c>
    </row>
    <row r="8" spans="2:16" ht="13" thickBot="1">
      <c r="B8" s="4055"/>
      <c r="K8" s="2128" t="s">
        <v>2913</v>
      </c>
    </row>
    <row r="9" spans="2:16" ht="15" thickBot="1">
      <c r="B9" s="4055"/>
      <c r="C9" s="2128" t="s">
        <v>2914</v>
      </c>
      <c r="D9" s="3227">
        <v>0.14000000000000001</v>
      </c>
      <c r="E9" s="3228">
        <v>0.18</v>
      </c>
      <c r="F9" s="3229">
        <v>0.14000000000000001</v>
      </c>
      <c r="G9" s="3216">
        <f>SUM(D9:F9)</f>
        <v>0.46</v>
      </c>
      <c r="H9" s="3230">
        <v>2026</v>
      </c>
      <c r="K9" s="2128" t="s">
        <v>2915</v>
      </c>
    </row>
    <row r="10" spans="2:16">
      <c r="B10" s="4055"/>
      <c r="C10" s="2128" t="s">
        <v>2916</v>
      </c>
      <c r="D10" s="3216">
        <v>0.04</v>
      </c>
      <c r="E10" s="3216">
        <v>0.06</v>
      </c>
      <c r="F10" s="3216">
        <v>0.04</v>
      </c>
      <c r="G10" s="3216">
        <f>SUM(D10:F10)</f>
        <v>0.14000000000000001</v>
      </c>
      <c r="H10" s="2128">
        <v>2027</v>
      </c>
    </row>
    <row r="11" spans="2:16" ht="14.5">
      <c r="B11" s="4055"/>
      <c r="C11" s="3222" t="s">
        <v>24</v>
      </c>
      <c r="D11" s="3225">
        <f>SUM(D10:D10)</f>
        <v>0.04</v>
      </c>
      <c r="E11" s="3225">
        <f>SUM(E10:E10)</f>
        <v>0.06</v>
      </c>
      <c r="F11" s="3225">
        <f>SUM(F10:F10)</f>
        <v>0.04</v>
      </c>
      <c r="G11" s="3225">
        <f>SUM(G10:G10)</f>
        <v>0.14000000000000001</v>
      </c>
    </row>
    <row r="12" spans="2:16" ht="14.5">
      <c r="B12" s="4055"/>
      <c r="H12" s="3216"/>
      <c r="J12" s="2128" t="s">
        <v>839</v>
      </c>
      <c r="K12" s="4058">
        <v>2025</v>
      </c>
      <c r="L12" s="4059"/>
      <c r="M12" s="4058">
        <v>2026</v>
      </c>
      <c r="N12" s="4059"/>
    </row>
    <row r="13" spans="2:16" ht="14.5">
      <c r="B13" s="4055"/>
      <c r="C13" s="3231" t="s">
        <v>978</v>
      </c>
      <c r="D13" s="3232">
        <f>SUM(D7+D11)</f>
        <v>0.41</v>
      </c>
      <c r="E13" s="3232">
        <f>SUM(E7+E11)</f>
        <v>0.8899999999999999</v>
      </c>
      <c r="F13" s="3232">
        <f>SUM(F7+F11)</f>
        <v>0.04</v>
      </c>
      <c r="G13" s="3232">
        <f>SUM(G7+G11)</f>
        <v>1.3399999999999999</v>
      </c>
      <c r="K13" s="3233" t="s">
        <v>2917</v>
      </c>
      <c r="L13" s="3234" t="s">
        <v>517</v>
      </c>
      <c r="M13" s="3233" t="s">
        <v>2917</v>
      </c>
      <c r="N13" s="3234" t="s">
        <v>519</v>
      </c>
    </row>
    <row r="14" spans="2:16" ht="15" thickBot="1">
      <c r="C14" s="3222"/>
      <c r="D14" s="3235"/>
      <c r="E14" s="3235"/>
      <c r="F14" s="3235"/>
      <c r="G14" s="3235"/>
      <c r="J14" s="2128" t="s">
        <v>540</v>
      </c>
      <c r="K14" s="3236">
        <f>K5</f>
        <v>1200</v>
      </c>
      <c r="L14" s="3237">
        <f>K14</f>
        <v>1200</v>
      </c>
      <c r="M14" s="3236">
        <f>N14-L14</f>
        <v>-440</v>
      </c>
      <c r="N14" s="3237">
        <f>L5</f>
        <v>760</v>
      </c>
    </row>
    <row r="15" spans="2:16" ht="15.5" thickTop="1" thickBot="1">
      <c r="B15" s="4055" t="s">
        <v>2918</v>
      </c>
      <c r="C15" s="2666" t="s">
        <v>2919</v>
      </c>
      <c r="H15" s="2666" t="s">
        <v>2920</v>
      </c>
      <c r="K15" s="3238">
        <f>K14*$H$16*$H$17</f>
        <v>563.22091391999993</v>
      </c>
      <c r="L15" s="3239">
        <f>L14*$H$16*$H$17</f>
        <v>563.22091391999993</v>
      </c>
      <c r="M15" s="3240">
        <f>M14*$H$16*$H$17</f>
        <v>-206.51433510399997</v>
      </c>
      <c r="N15" s="3239">
        <f>N14*$H$16*$H$17</f>
        <v>356.70657881599993</v>
      </c>
      <c r="O15" s="2150"/>
    </row>
    <row r="16" spans="2:16" ht="15" thickBot="1">
      <c r="B16" s="4055"/>
      <c r="C16" s="2666" t="s">
        <v>2921</v>
      </c>
      <c r="D16" s="3241">
        <v>0.09</v>
      </c>
      <c r="H16" s="2128">
        <v>0.70111999999999997</v>
      </c>
      <c r="I16" s="2128" t="s">
        <v>2387</v>
      </c>
      <c r="K16" s="3242"/>
      <c r="L16" s="3243"/>
      <c r="M16" s="3242"/>
      <c r="N16" s="3243"/>
    </row>
    <row r="17" spans="2:15" ht="15" thickBot="1">
      <c r="B17" s="4055"/>
      <c r="C17" s="3230" t="s">
        <v>2922</v>
      </c>
      <c r="D17" s="3244">
        <v>0.3</v>
      </c>
      <c r="H17" s="2128">
        <v>0.66942999999999997</v>
      </c>
      <c r="I17" s="2128" t="s">
        <v>2388</v>
      </c>
      <c r="K17" s="3245"/>
      <c r="L17" s="3246"/>
      <c r="M17" s="3242"/>
      <c r="N17" s="3246"/>
    </row>
    <row r="18" spans="2:15" ht="15" thickBot="1">
      <c r="B18" s="4055"/>
      <c r="C18" s="2128" t="s">
        <v>2923</v>
      </c>
      <c r="D18" s="3216">
        <v>0.31</v>
      </c>
      <c r="H18" s="2666" t="s">
        <v>2924</v>
      </c>
      <c r="K18" s="3238">
        <f>K14*$H$19*$H$20</f>
        <v>178.28594016</v>
      </c>
      <c r="L18" s="3239">
        <f>L14*$H$19*$H$20</f>
        <v>178.28594016</v>
      </c>
      <c r="M18" s="3240">
        <f>M14*$H$19*$H$20</f>
        <v>-65.371511391999988</v>
      </c>
      <c r="N18" s="3239">
        <f>N14*$H$19*$H$20</f>
        <v>112.91442876799999</v>
      </c>
      <c r="O18" s="2150"/>
    </row>
    <row r="19" spans="2:15">
      <c r="B19" s="4055"/>
      <c r="C19" s="2128" t="s">
        <v>2925</v>
      </c>
      <c r="D19" s="3216">
        <v>0.32</v>
      </c>
      <c r="H19" s="2128">
        <v>0.20707999999999999</v>
      </c>
      <c r="I19" s="2128" t="s">
        <v>2387</v>
      </c>
      <c r="K19" s="3242"/>
      <c r="L19" s="3243"/>
      <c r="M19" s="3242"/>
      <c r="N19" s="3243"/>
    </row>
    <row r="20" spans="2:15" ht="14.5">
      <c r="C20" s="3222" t="s">
        <v>2926</v>
      </c>
      <c r="D20" s="3235" cm="1">
        <f t="array" ref="D20">SUM(D16:D19+D7)</f>
        <v>2.5</v>
      </c>
      <c r="H20" s="2128">
        <v>0.71745999999999999</v>
      </c>
      <c r="I20" s="2128" t="s">
        <v>2388</v>
      </c>
      <c r="K20" s="3242"/>
      <c r="L20" s="3243"/>
      <c r="M20" s="3242"/>
      <c r="N20" s="3243"/>
    </row>
    <row r="21" spans="2:15">
      <c r="H21" s="2128" t="s">
        <v>2927</v>
      </c>
      <c r="K21" s="3245">
        <f>K14*$H$22*$H$23</f>
        <v>278.12308607999995</v>
      </c>
      <c r="L21" s="3246">
        <f>L14*$H$22*$H$23</f>
        <v>278.12308607999995</v>
      </c>
      <c r="M21" s="3245">
        <f>M14*$H$22*$H$23</f>
        <v>-101.97846489599999</v>
      </c>
      <c r="N21" s="3246">
        <f>N14*$H$22*$H$23</f>
        <v>176.14462118399996</v>
      </c>
      <c r="O21" s="2150"/>
    </row>
    <row r="22" spans="2:15" ht="14.5">
      <c r="C22" s="3247" t="s">
        <v>2928</v>
      </c>
      <c r="D22" s="3248">
        <f>(D7+D11+D17+D18+D19)*1000</f>
        <v>1340</v>
      </c>
      <c r="E22" s="3248">
        <f>E13*1000</f>
        <v>889.99999999999989</v>
      </c>
      <c r="F22" s="3248">
        <f>F13*1000</f>
        <v>40</v>
      </c>
      <c r="G22" s="3248">
        <f>SUM(D22:F22)</f>
        <v>2270</v>
      </c>
      <c r="H22" s="2128">
        <v>0.70111999999999997</v>
      </c>
      <c r="I22" s="2128" t="s">
        <v>2387</v>
      </c>
      <c r="K22" s="3242"/>
      <c r="L22" s="3243"/>
      <c r="M22" s="3242"/>
      <c r="N22" s="3243"/>
    </row>
    <row r="23" spans="2:15">
      <c r="D23" s="3217"/>
      <c r="H23" s="2128">
        <v>0.33056999999999997</v>
      </c>
      <c r="I23" s="2128" t="s">
        <v>2388</v>
      </c>
      <c r="K23" s="3242"/>
      <c r="L23" s="3243"/>
      <c r="M23" s="3242"/>
      <c r="N23" s="3243"/>
    </row>
    <row r="24" spans="2:15">
      <c r="H24" s="2128" t="s">
        <v>2929</v>
      </c>
      <c r="K24" s="3245">
        <f>K14*$H$25*$H$26</f>
        <v>70.21005984</v>
      </c>
      <c r="L24" s="3246">
        <f>L14*$H$25*$H$26</f>
        <v>70.21005984</v>
      </c>
      <c r="M24" s="3245">
        <f>M14*$H$25*$H$26</f>
        <v>-25.743688607999999</v>
      </c>
      <c r="N24" s="3246">
        <f>N14*$H$25*$H$26</f>
        <v>44.466371232</v>
      </c>
      <c r="O24" s="2150"/>
    </row>
    <row r="25" spans="2:15">
      <c r="H25" s="2128">
        <v>0.20707999999999999</v>
      </c>
      <c r="I25" s="2128" t="s">
        <v>2387</v>
      </c>
      <c r="K25" s="3242"/>
      <c r="L25" s="3243"/>
      <c r="M25" s="3242"/>
      <c r="N25" s="3243"/>
    </row>
    <row r="26" spans="2:15">
      <c r="H26" s="2128">
        <v>0.28254000000000001</v>
      </c>
      <c r="I26" s="2128" t="s">
        <v>2388</v>
      </c>
      <c r="K26" s="3242"/>
      <c r="L26" s="3243"/>
      <c r="M26" s="3242"/>
      <c r="N26" s="3243"/>
    </row>
    <row r="27" spans="2:15">
      <c r="H27" s="2128" t="s">
        <v>2930</v>
      </c>
      <c r="K27" s="3245">
        <f>K14*$H$28</f>
        <v>110.16000000000001</v>
      </c>
      <c r="L27" s="3246">
        <f>L14*$H$28</f>
        <v>110.16000000000001</v>
      </c>
      <c r="M27" s="3245">
        <f>M14*$H$28</f>
        <v>-40.392000000000003</v>
      </c>
      <c r="N27" s="3246">
        <f>N14*$H$28</f>
        <v>69.768000000000001</v>
      </c>
      <c r="O27" s="2150"/>
    </row>
    <row r="28" spans="2:15">
      <c r="H28" s="2128">
        <v>9.1800000000000007E-2</v>
      </c>
      <c r="I28" s="2128" t="s">
        <v>2387</v>
      </c>
      <c r="K28" s="3242"/>
      <c r="L28" s="3243"/>
      <c r="M28" s="3242"/>
      <c r="N28" s="3243"/>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1640625" defaultRowHeight="14"/>
  <cols>
    <col min="1" max="1" width="28.7265625" style="2128" bestFit="1" customWidth="1"/>
    <col min="2" max="2" width="8.26953125" style="2128" bestFit="1" customWidth="1"/>
    <col min="3" max="3" width="9.54296875" style="2128" bestFit="1" customWidth="1"/>
    <col min="4" max="4" width="5.7265625" style="2128" customWidth="1"/>
    <col min="5" max="5" width="13.54296875" style="2128" customWidth="1"/>
    <col min="6" max="6" width="4.1796875" style="2128" customWidth="1"/>
    <col min="7" max="7" width="13.54296875" style="2128" customWidth="1"/>
    <col min="8" max="8" width="10.1796875" style="2128" bestFit="1" customWidth="1"/>
    <col min="9" max="9" width="8.81640625" style="2128"/>
    <col min="10" max="10" width="1.7265625" style="2129" customWidth="1"/>
    <col min="11" max="11" width="8.81640625" style="2128"/>
    <col min="12" max="12" width="40.7265625" style="2128" customWidth="1"/>
    <col min="13" max="13" width="18.54296875" style="2128" customWidth="1"/>
    <col min="14" max="14" width="31.26953125" style="2128" bestFit="1" customWidth="1"/>
    <col min="15" max="17" width="15.453125" style="3250" bestFit="1" customWidth="1"/>
    <col min="18" max="18" width="13.1796875" style="3250" bestFit="1" customWidth="1"/>
    <col min="19" max="19" width="15.81640625" style="2128" bestFit="1" customWidth="1"/>
    <col min="20" max="20" width="1.7265625" style="2129" customWidth="1"/>
    <col min="21" max="21" width="8.81640625" style="2128"/>
    <col min="22" max="22" width="29.7265625" style="3293" customWidth="1"/>
    <col min="23" max="25" width="14.7265625" style="3390" customWidth="1"/>
    <col min="26" max="26" width="15" style="3390" bestFit="1" customWidth="1"/>
    <col min="27" max="30" width="15" style="3390" customWidth="1"/>
    <col min="31" max="31" width="15.453125" style="3390" customWidth="1"/>
    <col min="32" max="33" width="14.7265625" style="3338" customWidth="1"/>
    <col min="34" max="34" width="19.26953125" style="3390" customWidth="1"/>
    <col min="35" max="16384" width="8.81640625" style="2128"/>
  </cols>
  <sheetData>
    <row r="1" spans="1:34" ht="14.5" thickBot="1">
      <c r="A1" s="3945" t="s">
        <v>1204</v>
      </c>
      <c r="B1" s="3945"/>
      <c r="C1" s="3945"/>
      <c r="D1" s="3945"/>
      <c r="E1" s="3945"/>
      <c r="F1" s="3945"/>
      <c r="G1" s="3945"/>
      <c r="L1" s="4061" t="s">
        <v>2931</v>
      </c>
      <c r="M1" s="4061"/>
      <c r="N1" s="4061"/>
      <c r="O1" s="4061"/>
      <c r="P1" s="3249"/>
      <c r="Q1" s="3249"/>
      <c r="V1" s="3251"/>
      <c r="W1" s="3252" t="s">
        <v>2932</v>
      </c>
      <c r="X1" s="3252" t="s">
        <v>2933</v>
      </c>
      <c r="Y1" s="3252" t="s">
        <v>2934</v>
      </c>
      <c r="Z1" s="3252" t="s">
        <v>2935</v>
      </c>
      <c r="AA1" s="3252" t="s">
        <v>2936</v>
      </c>
      <c r="AB1" s="3252" t="s">
        <v>2937</v>
      </c>
      <c r="AC1" s="3252" t="s">
        <v>2938</v>
      </c>
      <c r="AD1" s="3252" t="s">
        <v>2939</v>
      </c>
      <c r="AE1" s="3252" t="s">
        <v>2940</v>
      </c>
      <c r="AF1" s="3252" t="s">
        <v>2941</v>
      </c>
      <c r="AG1" s="3253" t="s">
        <v>2942</v>
      </c>
      <c r="AH1" s="3254" t="s">
        <v>2943</v>
      </c>
    </row>
    <row r="2" spans="1:34">
      <c r="A2" s="3945" t="s">
        <v>2944</v>
      </c>
      <c r="B2" s="3945"/>
      <c r="C2" s="3945"/>
      <c r="D2" s="3945"/>
      <c r="E2" s="3945"/>
      <c r="F2" s="3945"/>
      <c r="G2" s="3945"/>
      <c r="L2" s="4061" t="s">
        <v>2945</v>
      </c>
      <c r="M2" s="4061"/>
      <c r="N2" s="4061"/>
      <c r="O2" s="4061"/>
      <c r="P2" s="3249"/>
      <c r="Q2" s="3249"/>
      <c r="V2" s="3255" t="s">
        <v>2946</v>
      </c>
      <c r="W2" s="3256">
        <v>124972.78</v>
      </c>
      <c r="X2" s="3256">
        <v>0</v>
      </c>
      <c r="Y2" s="3256">
        <v>124972.78</v>
      </c>
      <c r="Z2" s="3256">
        <v>124972.78</v>
      </c>
      <c r="AA2" s="3256">
        <v>124972.78</v>
      </c>
      <c r="AB2" s="3256">
        <v>124972.78</v>
      </c>
      <c r="AC2" s="3256">
        <v>124972.78</v>
      </c>
      <c r="AD2" s="3256">
        <v>124972.78</v>
      </c>
      <c r="AE2" s="3256">
        <v>124972.78</v>
      </c>
      <c r="AF2" s="3256">
        <v>124972.78</v>
      </c>
      <c r="AG2" s="3256">
        <v>124972.78</v>
      </c>
      <c r="AH2" s="3257">
        <f>SUM(W2:AG2)</f>
        <v>1249727.8</v>
      </c>
    </row>
    <row r="3" spans="1:34">
      <c r="A3" s="3945" t="s">
        <v>2945</v>
      </c>
      <c r="B3" s="3945"/>
      <c r="C3" s="3945"/>
      <c r="D3" s="3945"/>
      <c r="E3" s="3945"/>
      <c r="F3" s="3945"/>
      <c r="G3" s="3945"/>
      <c r="L3" s="3258"/>
      <c r="M3" s="3258"/>
      <c r="N3" s="3258"/>
      <c r="O3" s="3259"/>
      <c r="P3" s="3259"/>
      <c r="Q3" s="3259"/>
      <c r="V3" s="3260" t="s">
        <v>2947</v>
      </c>
      <c r="W3" s="3261">
        <v>4997.49</v>
      </c>
      <c r="X3" s="3261">
        <v>4997.49</v>
      </c>
      <c r="Y3" s="3261">
        <v>4997.49</v>
      </c>
      <c r="Z3" s="3261">
        <v>4997.49</v>
      </c>
      <c r="AA3" s="3261">
        <v>4997.49</v>
      </c>
      <c r="AB3" s="3261">
        <v>4997.49</v>
      </c>
      <c r="AC3" s="3261">
        <v>4997.49</v>
      </c>
      <c r="AD3" s="3261">
        <v>4997.49</v>
      </c>
      <c r="AE3" s="3261">
        <v>4997.49</v>
      </c>
      <c r="AF3" s="3261">
        <v>4997.49</v>
      </c>
      <c r="AG3" s="3261">
        <v>4997.49</v>
      </c>
      <c r="AH3" s="3257">
        <f>SUM(W3:AG3)</f>
        <v>54972.389999999985</v>
      </c>
    </row>
    <row r="4" spans="1:34" ht="28">
      <c r="A4" s="3262"/>
      <c r="B4" s="3262"/>
      <c r="C4" s="3263"/>
      <c r="D4" s="1184"/>
      <c r="E4" s="1184"/>
      <c r="F4" s="1184"/>
      <c r="G4" s="1184"/>
      <c r="L4" s="4060" t="s">
        <v>2948</v>
      </c>
      <c r="M4" s="4060"/>
      <c r="N4" s="4060"/>
      <c r="O4" s="4060"/>
      <c r="P4" s="3264"/>
      <c r="Q4" s="3264"/>
      <c r="V4" s="3265" t="s">
        <v>2949</v>
      </c>
      <c r="W4" s="3266"/>
      <c r="X4" s="3266"/>
      <c r="Y4" s="3266"/>
      <c r="Z4" s="3266"/>
      <c r="AA4" s="3266"/>
      <c r="AB4" s="3266"/>
      <c r="AC4" s="3266"/>
      <c r="AD4" s="3266"/>
      <c r="AE4" s="3266"/>
      <c r="AF4" s="3266"/>
      <c r="AG4" s="3266"/>
      <c r="AH4" s="3257">
        <f>SUM(W4:AG4)</f>
        <v>0</v>
      </c>
    </row>
    <row r="5" spans="1:34" ht="39.5" thickBot="1">
      <c r="A5" s="3267"/>
      <c r="B5" s="3267"/>
      <c r="C5" s="3268"/>
      <c r="D5" s="2903"/>
      <c r="E5" s="3269" t="s">
        <v>2950</v>
      </c>
      <c r="F5" s="3269"/>
      <c r="G5" s="3269" t="s">
        <v>2951</v>
      </c>
      <c r="O5" s="3270"/>
      <c r="P5" s="3271"/>
      <c r="Q5" s="3270"/>
      <c r="V5" s="3265" t="s">
        <v>2952</v>
      </c>
      <c r="W5" s="3272">
        <f t="shared" ref="W5:AG5" si="0">W53+W65+W26+W43</f>
        <v>95472.51</v>
      </c>
      <c r="X5" s="3272">
        <f t="shared" si="0"/>
        <v>184961.3016666667</v>
      </c>
      <c r="Y5" s="3272">
        <f t="shared" si="0"/>
        <v>120097.51</v>
      </c>
      <c r="Z5" s="3272">
        <f t="shared" si="0"/>
        <v>110247.51</v>
      </c>
      <c r="AA5" s="3272">
        <f t="shared" si="0"/>
        <v>97935.01</v>
      </c>
      <c r="AB5" s="3272">
        <f t="shared" si="0"/>
        <v>110247.51</v>
      </c>
      <c r="AC5" s="3272">
        <f t="shared" si="0"/>
        <v>192495.01</v>
      </c>
      <c r="AD5" s="3272">
        <f t="shared" si="0"/>
        <v>95472.51</v>
      </c>
      <c r="AE5" s="3272">
        <f t="shared" si="0"/>
        <v>95472.51</v>
      </c>
      <c r="AF5" s="3272">
        <f t="shared" si="0"/>
        <v>110247.51</v>
      </c>
      <c r="AG5" s="3272">
        <f t="shared" si="0"/>
        <v>7113.8933333333325</v>
      </c>
      <c r="AH5" s="3257">
        <f>SUM(W5:AG5)</f>
        <v>1219762.7849999999</v>
      </c>
    </row>
    <row r="6" spans="1:34" ht="28.5" thickBot="1">
      <c r="A6" s="3267"/>
      <c r="B6" s="3267"/>
      <c r="C6" s="3268"/>
      <c r="D6" s="2903"/>
      <c r="E6" s="2903"/>
      <c r="F6" s="2903"/>
      <c r="G6" s="2903"/>
      <c r="L6" s="3273" t="s">
        <v>2953</v>
      </c>
      <c r="M6" s="3274" t="s">
        <v>2349</v>
      </c>
      <c r="N6" s="3274" t="s">
        <v>444</v>
      </c>
      <c r="O6" s="3275" t="s">
        <v>2954</v>
      </c>
      <c r="P6" s="3276"/>
      <c r="Q6" s="3276"/>
      <c r="V6" s="3277" t="s">
        <v>2955</v>
      </c>
      <c r="W6" s="3278">
        <f t="shared" ref="W6:AH6" si="1">SUM(W2:W5)</f>
        <v>225442.78</v>
      </c>
      <c r="X6" s="3278">
        <f t="shared" si="1"/>
        <v>189958.79166666669</v>
      </c>
      <c r="Y6" s="3278">
        <f t="shared" si="1"/>
        <v>250067.78</v>
      </c>
      <c r="Z6" s="3278">
        <f t="shared" si="1"/>
        <v>240217.78</v>
      </c>
      <c r="AA6" s="3278">
        <f t="shared" si="1"/>
        <v>227905.28</v>
      </c>
      <c r="AB6" s="3278">
        <f t="shared" si="1"/>
        <v>240217.78</v>
      </c>
      <c r="AC6" s="3278">
        <f t="shared" si="1"/>
        <v>322465.28000000003</v>
      </c>
      <c r="AD6" s="3278">
        <f t="shared" si="1"/>
        <v>225442.78</v>
      </c>
      <c r="AE6" s="3278">
        <f t="shared" si="1"/>
        <v>225442.78</v>
      </c>
      <c r="AF6" s="3278">
        <f t="shared" si="1"/>
        <v>240217.78</v>
      </c>
      <c r="AG6" s="3278">
        <f t="shared" si="1"/>
        <v>137084.16333333333</v>
      </c>
      <c r="AH6" s="3278">
        <f t="shared" si="1"/>
        <v>2524462.9749999996</v>
      </c>
    </row>
    <row r="7" spans="1:34" ht="14.5" thickTop="1">
      <c r="A7" s="3279" t="s">
        <v>2548</v>
      </c>
      <c r="B7" s="3279"/>
      <c r="D7" s="3280" t="s">
        <v>2956</v>
      </c>
      <c r="E7" s="3281">
        <f>'G-3.20 PF BOD'!M24</f>
        <v>-1197152.6125000003</v>
      </c>
      <c r="F7" s="3282"/>
      <c r="G7" s="3281">
        <f>'G-3.20 PF BOD'!M35</f>
        <v>1009785.19</v>
      </c>
      <c r="L7" s="3249" t="s">
        <v>2957</v>
      </c>
      <c r="M7" s="3283">
        <f>M10-M9</f>
        <v>1193824.9157000002</v>
      </c>
      <c r="N7" s="3283">
        <f>O7*N11</f>
        <v>36592.883549999991</v>
      </c>
      <c r="O7" s="3284">
        <f>O10-O9-O8</f>
        <v>1219762.7849999997</v>
      </c>
      <c r="P7" s="3285" t="s">
        <v>2958</v>
      </c>
      <c r="Q7" s="3283"/>
      <c r="V7" s="3286"/>
      <c r="W7" s="3287"/>
      <c r="X7" s="3287"/>
      <c r="Y7" s="3287"/>
      <c r="Z7" s="3287"/>
      <c r="AA7" s="3287"/>
      <c r="AB7" s="3287"/>
      <c r="AC7" s="3287"/>
      <c r="AD7" s="3287"/>
      <c r="AE7" s="3287"/>
      <c r="AF7" s="3288"/>
      <c r="AG7" s="3288"/>
      <c r="AH7" s="3289"/>
    </row>
    <row r="8" spans="1:34">
      <c r="F8" s="996"/>
      <c r="L8" s="3290"/>
      <c r="M8" s="3291"/>
      <c r="N8" s="3291"/>
      <c r="O8" s="3284"/>
      <c r="P8" s="3285"/>
      <c r="Q8" s="3292"/>
      <c r="W8" s="3294"/>
      <c r="X8" s="3294"/>
      <c r="Y8" s="3294"/>
      <c r="Z8" s="3294"/>
      <c r="AA8" s="3294"/>
      <c r="AB8" s="3294"/>
      <c r="AC8" s="3294"/>
      <c r="AD8" s="3295" t="s">
        <v>1208</v>
      </c>
      <c r="AE8" s="3294"/>
      <c r="AF8" s="3296"/>
      <c r="AG8" s="3296"/>
      <c r="AH8" s="3294"/>
    </row>
    <row r="9" spans="1:34" ht="14.5" thickBot="1">
      <c r="A9" s="3297" t="s">
        <v>2457</v>
      </c>
      <c r="B9" s="3298"/>
      <c r="C9" s="1849"/>
      <c r="F9" s="996"/>
      <c r="L9" s="3299" t="s">
        <v>2959</v>
      </c>
      <c r="M9" s="3300">
        <f>O9*M11</f>
        <v>1265559.1842999998</v>
      </c>
      <c r="N9" s="3300">
        <f>O9*N11</f>
        <v>39141.005699999994</v>
      </c>
      <c r="O9" s="3301">
        <f>'G-3.20 PF BOD'!AH2+'G-3.20 PF BOD'!AH3</f>
        <v>1304700.19</v>
      </c>
      <c r="P9" s="3285" t="s">
        <v>2958</v>
      </c>
      <c r="Q9" s="3292"/>
      <c r="V9" s="3302"/>
      <c r="W9" s="3303"/>
      <c r="X9" s="3302"/>
      <c r="Y9" s="3302"/>
      <c r="Z9" s="3302"/>
      <c r="AA9" s="3302"/>
      <c r="AB9" s="3302"/>
      <c r="AC9" s="3302"/>
      <c r="AD9" s="3302"/>
      <c r="AE9" s="3302"/>
      <c r="AF9" s="3304"/>
      <c r="AG9" s="3304"/>
      <c r="AH9" s="3294"/>
    </row>
    <row r="10" spans="1:34" ht="36" thickTop="1" thickBot="1">
      <c r="A10" s="3298"/>
      <c r="B10" s="3298">
        <v>6.2023000000000001</v>
      </c>
      <c r="C10" s="1849"/>
      <c r="F10" s="996"/>
      <c r="L10" s="3299" t="s">
        <v>2960</v>
      </c>
      <c r="M10" s="3305">
        <f>Q140</f>
        <v>2459384.1</v>
      </c>
      <c r="N10" s="3305">
        <f>O141</f>
        <v>76063.47</v>
      </c>
      <c r="O10" s="3305">
        <f>'G-3.20 PF BOD'!AH6</f>
        <v>2524462.9749999996</v>
      </c>
      <c r="P10" s="3306"/>
      <c r="Q10" s="3292"/>
      <c r="S10" s="3217"/>
      <c r="V10" s="3307" t="s">
        <v>2961</v>
      </c>
      <c r="W10" s="3307"/>
      <c r="X10" s="3307"/>
      <c r="Y10" s="3307"/>
      <c r="Z10" s="3307"/>
      <c r="AA10" s="3307"/>
      <c r="AB10" s="3307"/>
      <c r="AC10" s="3307"/>
      <c r="AD10" s="3307"/>
      <c r="AE10" s="3307"/>
      <c r="AF10" s="3307"/>
      <c r="AG10" s="3307"/>
      <c r="AH10" s="3307"/>
    </row>
    <row r="11" spans="1:34">
      <c r="A11" s="3308"/>
      <c r="B11" s="3308">
        <v>0.70111999999999997</v>
      </c>
      <c r="C11" s="1838" t="s">
        <v>2962</v>
      </c>
      <c r="D11" s="3309"/>
      <c r="F11" s="996"/>
      <c r="H11" s="2819" t="s">
        <v>2963</v>
      </c>
      <c r="L11" s="3299"/>
      <c r="M11" s="3310">
        <v>0.97</v>
      </c>
      <c r="N11" s="3310">
        <v>0.03</v>
      </c>
      <c r="O11" s="3311"/>
      <c r="P11" s="3306"/>
      <c r="Q11" s="3292"/>
      <c r="V11" s="3312"/>
      <c r="W11" s="3313" t="s">
        <v>2932</v>
      </c>
      <c r="X11" s="3314" t="s">
        <v>2964</v>
      </c>
      <c r="Y11" s="3314" t="s">
        <v>2934</v>
      </c>
      <c r="Z11" s="3314" t="s">
        <v>2935</v>
      </c>
      <c r="AA11" s="3314" t="s">
        <v>2936</v>
      </c>
      <c r="AB11" s="3314" t="s">
        <v>2937</v>
      </c>
      <c r="AC11" s="3314" t="s">
        <v>2938</v>
      </c>
      <c r="AD11" s="3314" t="s">
        <v>2939</v>
      </c>
      <c r="AE11" s="3315" t="s">
        <v>2940</v>
      </c>
      <c r="AF11" s="3314" t="s">
        <v>2941</v>
      </c>
      <c r="AG11" s="3316" t="s">
        <v>2942</v>
      </c>
      <c r="AH11" s="3317" t="s">
        <v>198</v>
      </c>
    </row>
    <row r="12" spans="1:34">
      <c r="A12" s="3308"/>
      <c r="B12" s="3308">
        <v>0.66942999999999997</v>
      </c>
      <c r="C12" s="1838" t="s">
        <v>2965</v>
      </c>
      <c r="D12" s="3309"/>
      <c r="E12" s="3318">
        <f>ROUND((E7)*$B$11*$B$12,0)</f>
        <v>-561884</v>
      </c>
      <c r="F12" s="3319"/>
      <c r="G12" s="3318">
        <f>ROUND((G7)*$B$11*$B$12,0)</f>
        <v>473943</v>
      </c>
      <c r="H12" s="2819">
        <v>930200</v>
      </c>
      <c r="I12" s="2128" t="s">
        <v>1712</v>
      </c>
      <c r="L12" s="3299" t="s">
        <v>2966</v>
      </c>
      <c r="M12" s="3311">
        <f>M10</f>
        <v>2459384.1</v>
      </c>
      <c r="N12" s="3311">
        <f>N10</f>
        <v>76063.47</v>
      </c>
      <c r="O12" s="3311">
        <f>O10</f>
        <v>2524462.9749999996</v>
      </c>
      <c r="P12" s="3320"/>
      <c r="Q12" s="3292"/>
      <c r="V12" s="3321" t="s">
        <v>2967</v>
      </c>
      <c r="W12" s="3322">
        <f t="shared" ref="W12:AF12" si="2">(80000/12*2)+(95000/12)</f>
        <v>21250</v>
      </c>
      <c r="X12" s="3322">
        <f t="shared" si="2"/>
        <v>21250</v>
      </c>
      <c r="Y12" s="3322">
        <f t="shared" si="2"/>
        <v>21250</v>
      </c>
      <c r="Z12" s="3322">
        <f t="shared" si="2"/>
        <v>21250</v>
      </c>
      <c r="AA12" s="3322">
        <f t="shared" si="2"/>
        <v>21250</v>
      </c>
      <c r="AB12" s="3322">
        <f t="shared" si="2"/>
        <v>21250</v>
      </c>
      <c r="AC12" s="3322">
        <f t="shared" si="2"/>
        <v>21250</v>
      </c>
      <c r="AD12" s="3322">
        <f t="shared" si="2"/>
        <v>21250</v>
      </c>
      <c r="AE12" s="3322">
        <f t="shared" si="2"/>
        <v>21250</v>
      </c>
      <c r="AF12" s="3322">
        <f t="shared" si="2"/>
        <v>21250</v>
      </c>
      <c r="AG12" s="3323"/>
      <c r="AH12" s="3324">
        <f t="shared" ref="AH12:AH26" si="3">SUM(W12:AF12)</f>
        <v>212500</v>
      </c>
    </row>
    <row r="13" spans="1:34">
      <c r="F13" s="996"/>
      <c r="L13" s="3299"/>
      <c r="M13" s="3306"/>
      <c r="N13" s="3306"/>
      <c r="O13" s="3301"/>
      <c r="P13" s="3320"/>
      <c r="Q13" s="3292"/>
      <c r="V13" s="3325" t="s">
        <v>2968</v>
      </c>
      <c r="W13" s="3322"/>
      <c r="X13" s="3326">
        <v>3750</v>
      </c>
      <c r="Y13" s="3326">
        <v>5000</v>
      </c>
      <c r="Z13" s="3326">
        <v>3750</v>
      </c>
      <c r="AA13" s="3327"/>
      <c r="AB13" s="3327">
        <v>3750</v>
      </c>
      <c r="AC13" s="3327"/>
      <c r="AD13" s="3327"/>
      <c r="AE13" s="3327"/>
      <c r="AF13" s="3328">
        <v>3750</v>
      </c>
      <c r="AG13" s="3329"/>
      <c r="AH13" s="3324">
        <f t="shared" si="3"/>
        <v>20000</v>
      </c>
    </row>
    <row r="14" spans="1:34">
      <c r="A14" s="3330" t="s">
        <v>2463</v>
      </c>
      <c r="D14" s="3298"/>
      <c r="F14" s="996"/>
      <c r="L14" s="3299" t="s">
        <v>2969</v>
      </c>
      <c r="M14" s="3306"/>
      <c r="N14" s="3306"/>
      <c r="O14" s="3311">
        <f>O12-O13</f>
        <v>2524462.9749999996</v>
      </c>
      <c r="P14" s="3320"/>
      <c r="Q14" s="3292"/>
      <c r="V14" s="3325" t="s">
        <v>2970</v>
      </c>
      <c r="W14" s="3322"/>
      <c r="X14" s="3326">
        <f>(25000/12*2)+(30000/12)</f>
        <v>6666.666666666667</v>
      </c>
      <c r="Y14" s="3326"/>
      <c r="Z14" s="3326"/>
      <c r="AA14" s="3327"/>
      <c r="AB14" s="3327"/>
      <c r="AC14" s="3327"/>
      <c r="AD14" s="3327"/>
      <c r="AE14" s="3327"/>
      <c r="AF14" s="3328"/>
      <c r="AG14" s="3329"/>
      <c r="AH14" s="3324">
        <f t="shared" si="3"/>
        <v>6666.666666666667</v>
      </c>
    </row>
    <row r="15" spans="1:34">
      <c r="A15" s="3298"/>
      <c r="B15" s="3298">
        <f>B10</f>
        <v>6.2023000000000001</v>
      </c>
      <c r="D15" s="3298"/>
      <c r="F15" s="996"/>
      <c r="L15" s="3299"/>
      <c r="M15" s="3331">
        <v>0.5</v>
      </c>
      <c r="N15" s="3331">
        <v>0.5</v>
      </c>
      <c r="O15" s="3331"/>
      <c r="P15" s="3292"/>
      <c r="Q15" s="3332"/>
      <c r="S15" s="3217"/>
      <c r="V15" s="3325" t="s">
        <v>2971</v>
      </c>
      <c r="W15" s="3322"/>
      <c r="X15" s="3326"/>
      <c r="Y15" s="3326"/>
      <c r="Z15" s="3326"/>
      <c r="AA15" s="3327"/>
      <c r="AB15" s="3327"/>
      <c r="AC15" s="3327">
        <v>25000</v>
      </c>
      <c r="AD15" s="3327"/>
      <c r="AE15" s="3327"/>
      <c r="AF15" s="3328"/>
      <c r="AG15" s="3329"/>
      <c r="AH15" s="3324">
        <f t="shared" si="3"/>
        <v>25000</v>
      </c>
    </row>
    <row r="16" spans="1:34">
      <c r="A16" s="3308"/>
      <c r="B16" s="3308">
        <v>0.20707999999999999</v>
      </c>
      <c r="C16" s="1838" t="s">
        <v>2962</v>
      </c>
      <c r="D16" s="3309"/>
      <c r="F16" s="996"/>
      <c r="H16" s="2819" t="s">
        <v>2963</v>
      </c>
      <c r="L16" s="3333" t="s">
        <v>2972</v>
      </c>
      <c r="M16" s="3334" t="s">
        <v>2349</v>
      </c>
      <c r="N16" s="3334" t="s">
        <v>444</v>
      </c>
      <c r="O16" s="3334" t="s">
        <v>24</v>
      </c>
      <c r="P16" s="3292"/>
      <c r="V16" s="3325" t="s">
        <v>2973</v>
      </c>
      <c r="W16" s="3335"/>
      <c r="X16" s="3327">
        <v>1500</v>
      </c>
      <c r="Y16" s="3327">
        <v>1500</v>
      </c>
      <c r="Z16" s="3327"/>
      <c r="AA16" s="3327"/>
      <c r="AB16" s="3327"/>
      <c r="AC16" s="3327"/>
      <c r="AD16" s="3327"/>
      <c r="AE16" s="3327">
        <v>1500</v>
      </c>
      <c r="AF16" s="3328"/>
      <c r="AG16" s="3329"/>
      <c r="AH16" s="3324">
        <f t="shared" si="3"/>
        <v>4500</v>
      </c>
    </row>
    <row r="17" spans="1:34">
      <c r="A17" s="3308"/>
      <c r="B17" s="3308">
        <v>0.71745999999999999</v>
      </c>
      <c r="C17" s="1838" t="s">
        <v>2974</v>
      </c>
      <c r="D17" s="3309"/>
      <c r="E17" s="3318">
        <f>ROUND((E7)*$B$16*$B$17,0)</f>
        <v>-177863</v>
      </c>
      <c r="F17" s="3319"/>
      <c r="G17" s="3318">
        <f>ROUND((G7)*$B$16*$B$17,0)</f>
        <v>150025</v>
      </c>
      <c r="H17" s="2819">
        <v>930200</v>
      </c>
      <c r="I17" s="2128" t="s">
        <v>1712</v>
      </c>
      <c r="L17" s="3249" t="s">
        <v>2957</v>
      </c>
      <c r="M17" s="3336">
        <f>O17*M15</f>
        <v>609881.39249999984</v>
      </c>
      <c r="N17" s="3336">
        <f>O17*N15</f>
        <v>609881.39249999984</v>
      </c>
      <c r="O17" s="3284">
        <f>O20-O18-O19</f>
        <v>1219762.7849999997</v>
      </c>
      <c r="P17" s="3337"/>
      <c r="V17" s="3325" t="s">
        <v>2975</v>
      </c>
      <c r="W17" s="3335"/>
      <c r="X17" s="3327">
        <v>1500</v>
      </c>
      <c r="Y17" s="3327">
        <v>1500</v>
      </c>
      <c r="Z17" s="3327"/>
      <c r="AA17" s="3327"/>
      <c r="AB17" s="3327">
        <v>1500</v>
      </c>
      <c r="AC17" s="3327"/>
      <c r="AD17" s="3327"/>
      <c r="AE17" s="3327"/>
      <c r="AF17" s="3327">
        <v>1500</v>
      </c>
      <c r="AG17" s="3335"/>
      <c r="AH17" s="3324">
        <f t="shared" si="3"/>
        <v>6000</v>
      </c>
    </row>
    <row r="18" spans="1:34">
      <c r="F18" s="996"/>
      <c r="L18" s="3290"/>
      <c r="M18" s="3336"/>
      <c r="N18" s="3336"/>
      <c r="O18" s="3284"/>
      <c r="P18" s="3337"/>
      <c r="V18" s="3325" t="s">
        <v>2976</v>
      </c>
      <c r="W18" s="3335">
        <v>1500</v>
      </c>
      <c r="X18" s="3327"/>
      <c r="Y18" s="3327"/>
      <c r="Z18" s="3326">
        <v>1500</v>
      </c>
      <c r="AA18" s="3326">
        <v>1500</v>
      </c>
      <c r="AB18" s="3327"/>
      <c r="AC18" s="3327"/>
      <c r="AD18" s="3327"/>
      <c r="AE18" s="3326">
        <v>1500</v>
      </c>
      <c r="AH18" s="3324">
        <f t="shared" si="3"/>
        <v>6000</v>
      </c>
    </row>
    <row r="19" spans="1:34">
      <c r="A19" s="3297" t="s">
        <v>2391</v>
      </c>
      <c r="D19" s="3298"/>
      <c r="F19" s="996"/>
      <c r="L19" s="3299" t="s">
        <v>2959</v>
      </c>
      <c r="M19" s="3336">
        <f>O19*M15</f>
        <v>652350.09499999997</v>
      </c>
      <c r="N19" s="3336">
        <f>O19*N15</f>
        <v>652350.09499999997</v>
      </c>
      <c r="O19" s="3301">
        <f>'G-3.20 PF BOD'!AH2+'G-3.20 PF BOD'!AH3</f>
        <v>1304700.19</v>
      </c>
      <c r="P19" s="3337"/>
      <c r="V19" s="3325" t="s">
        <v>2977</v>
      </c>
      <c r="W19" s="3335"/>
      <c r="X19" s="3327"/>
      <c r="Y19" s="3327"/>
      <c r="Z19" s="3326">
        <v>1500</v>
      </c>
      <c r="AA19" s="3327"/>
      <c r="AB19" s="3327">
        <v>1500</v>
      </c>
      <c r="AC19" s="3327"/>
      <c r="AD19" s="3327">
        <v>1500</v>
      </c>
      <c r="AE19" s="3327"/>
      <c r="AF19" s="3328"/>
      <c r="AG19" s="3329"/>
      <c r="AH19" s="3324">
        <f t="shared" si="3"/>
        <v>4500</v>
      </c>
    </row>
    <row r="20" spans="1:34" ht="14.5" thickBot="1">
      <c r="A20" s="3298"/>
      <c r="B20" s="3298">
        <f>B15</f>
        <v>6.2023000000000001</v>
      </c>
      <c r="D20" s="3298"/>
      <c r="F20" s="996"/>
      <c r="L20" s="3339"/>
      <c r="M20" s="3340">
        <f>SUM(M17:M19)</f>
        <v>1262231.4874999998</v>
      </c>
      <c r="N20" s="3340">
        <f>SUM(N17:N19)</f>
        <v>1262231.4874999998</v>
      </c>
      <c r="O20" s="3340">
        <f>O10</f>
        <v>2524462.9749999996</v>
      </c>
      <c r="Q20" s="3337"/>
      <c r="V20" s="3325" t="s">
        <v>2978</v>
      </c>
      <c r="W20" s="3322">
        <v>1500</v>
      </c>
      <c r="X20" s="3326"/>
      <c r="Y20" s="3327"/>
      <c r="Z20" s="3327"/>
      <c r="AA20" s="3327">
        <v>1500</v>
      </c>
      <c r="AB20" s="3327"/>
      <c r="AC20" s="3327">
        <v>1500</v>
      </c>
      <c r="AD20" s="3327">
        <v>1500</v>
      </c>
      <c r="AE20" s="3327"/>
      <c r="AF20" s="3327">
        <v>1500</v>
      </c>
      <c r="AG20" s="3335"/>
      <c r="AH20" s="3324">
        <f t="shared" si="3"/>
        <v>7500</v>
      </c>
    </row>
    <row r="21" spans="1:34" ht="28.5" thickTop="1">
      <c r="A21" s="3308"/>
      <c r="B21" s="3308">
        <v>0.70111999999999997</v>
      </c>
      <c r="C21" s="1838" t="s">
        <v>2962</v>
      </c>
      <c r="D21" s="3309"/>
      <c r="F21" s="996"/>
      <c r="L21" s="2708"/>
      <c r="O21" s="2128"/>
      <c r="Q21" s="3337"/>
      <c r="V21" s="3325" t="s">
        <v>2979</v>
      </c>
      <c r="W21" s="3335">
        <v>1500</v>
      </c>
      <c r="X21" s="3327">
        <v>1500</v>
      </c>
      <c r="Y21" s="3327">
        <v>1500</v>
      </c>
      <c r="Z21" s="3327">
        <v>1500</v>
      </c>
      <c r="AA21" s="3327">
        <v>1500</v>
      </c>
      <c r="AB21" s="3327">
        <v>1500</v>
      </c>
      <c r="AC21" s="3327">
        <v>1500</v>
      </c>
      <c r="AD21" s="3341">
        <v>1500</v>
      </c>
      <c r="AE21" s="3327">
        <v>1500</v>
      </c>
      <c r="AF21" s="3327">
        <v>1500</v>
      </c>
      <c r="AG21" s="3335"/>
      <c r="AH21" s="3324">
        <f t="shared" si="3"/>
        <v>15000</v>
      </c>
    </row>
    <row r="22" spans="1:34" ht="14.5" thickBot="1">
      <c r="A22" s="3308"/>
      <c r="B22" s="3308">
        <v>0.33056999999999997</v>
      </c>
      <c r="C22" s="1838" t="s">
        <v>2965</v>
      </c>
      <c r="D22" s="3309"/>
      <c r="E22" s="3342">
        <f>ROUND((E7)*$B$21*$B$22,0)</f>
        <v>-277463</v>
      </c>
      <c r="F22" s="3319"/>
      <c r="G22" s="3342">
        <f>ROUND((G7)*$B$21*$B$22,0)</f>
        <v>234037</v>
      </c>
      <c r="L22" s="3339" t="s">
        <v>2980</v>
      </c>
      <c r="M22" s="3343"/>
      <c r="N22" s="3343"/>
      <c r="O22" s="3343"/>
      <c r="Q22" s="3337"/>
      <c r="V22" s="3325" t="s">
        <v>2981</v>
      </c>
      <c r="W22" s="3322"/>
      <c r="X22" s="3326">
        <f>SUM(2519*0.44)</f>
        <v>1108.3599999999999</v>
      </c>
      <c r="Y22" s="3326"/>
      <c r="Z22" s="3326"/>
      <c r="AA22" s="3326"/>
      <c r="AB22" s="3326"/>
      <c r="AC22" s="3326"/>
      <c r="AD22" s="3326"/>
      <c r="AE22" s="3326"/>
      <c r="AF22" s="3328"/>
      <c r="AG22" s="3329"/>
      <c r="AH22" s="3324">
        <f t="shared" si="3"/>
        <v>1108.3599999999999</v>
      </c>
    </row>
    <row r="23" spans="1:34" ht="14.5" thickTop="1">
      <c r="F23" s="996"/>
      <c r="L23" s="2708"/>
      <c r="O23" s="2128"/>
      <c r="P23" s="3344"/>
      <c r="Q23" s="3337"/>
      <c r="V23" s="3325" t="s">
        <v>2982</v>
      </c>
      <c r="W23" s="3322">
        <v>2.5099999999999998</v>
      </c>
      <c r="X23" s="3322">
        <v>2.5099999999999998</v>
      </c>
      <c r="Y23" s="3322">
        <v>2.5099999999999998</v>
      </c>
      <c r="Z23" s="3322">
        <v>2.5099999999999998</v>
      </c>
      <c r="AA23" s="3322">
        <v>2.5099999999999998</v>
      </c>
      <c r="AB23" s="3322">
        <v>2.5099999999999998</v>
      </c>
      <c r="AC23" s="3322">
        <v>2.5099999999999998</v>
      </c>
      <c r="AD23" s="3322">
        <v>2.5099999999999998</v>
      </c>
      <c r="AE23" s="3322">
        <v>2.5099999999999998</v>
      </c>
      <c r="AF23" s="3322">
        <v>2.5099999999999998</v>
      </c>
      <c r="AG23" s="3335"/>
      <c r="AH23" s="3324">
        <f t="shared" si="3"/>
        <v>25.099999999999994</v>
      </c>
    </row>
    <row r="24" spans="1:34" ht="14.5" thickBot="1">
      <c r="A24" s="3297" t="s">
        <v>2392</v>
      </c>
      <c r="B24" s="3298"/>
      <c r="D24" s="3298"/>
      <c r="F24" s="996"/>
      <c r="L24" s="3339" t="s">
        <v>2983</v>
      </c>
      <c r="M24" s="3345">
        <f>M20-M12</f>
        <v>-1197152.6125000003</v>
      </c>
      <c r="N24" s="3346">
        <f>N20-N12</f>
        <v>1186168.0174999998</v>
      </c>
      <c r="O24" s="3346">
        <f>SUM(M24:N24)</f>
        <v>-10984.595000000438</v>
      </c>
      <c r="P24" s="3344"/>
      <c r="Q24" s="3337"/>
      <c r="V24" s="3347" t="s">
        <v>1985</v>
      </c>
      <c r="W24" s="3348">
        <f t="shared" ref="W24:AF24" si="4">SUM(W10:W23)</f>
        <v>25752.51</v>
      </c>
      <c r="X24" s="3348">
        <f t="shared" si="4"/>
        <v>37277.536666666674</v>
      </c>
      <c r="Y24" s="3348">
        <f t="shared" si="4"/>
        <v>30752.51</v>
      </c>
      <c r="Z24" s="3348">
        <f t="shared" si="4"/>
        <v>29502.51</v>
      </c>
      <c r="AA24" s="3348">
        <f t="shared" si="4"/>
        <v>25752.51</v>
      </c>
      <c r="AB24" s="3348">
        <f t="shared" si="4"/>
        <v>29502.51</v>
      </c>
      <c r="AC24" s="3348">
        <f t="shared" si="4"/>
        <v>49252.51</v>
      </c>
      <c r="AD24" s="3348">
        <f t="shared" si="4"/>
        <v>25752.51</v>
      </c>
      <c r="AE24" s="3348">
        <f t="shared" si="4"/>
        <v>25752.51</v>
      </c>
      <c r="AF24" s="3348">
        <f t="shared" si="4"/>
        <v>29502.51</v>
      </c>
      <c r="AG24" s="3349"/>
      <c r="AH24" s="3350">
        <f t="shared" si="3"/>
        <v>308800.12666666671</v>
      </c>
    </row>
    <row r="25" spans="1:34" ht="28.5" thickTop="1">
      <c r="A25" s="3298"/>
      <c r="B25" s="3298">
        <f>B20</f>
        <v>6.2023000000000001</v>
      </c>
      <c r="D25" s="3298"/>
      <c r="F25" s="996"/>
      <c r="M25" s="3351" t="s">
        <v>1722</v>
      </c>
      <c r="N25" s="3351"/>
      <c r="O25" s="3352"/>
      <c r="P25" s="3353"/>
      <c r="Q25" s="3353"/>
      <c r="V25" s="3325" t="s">
        <v>2984</v>
      </c>
      <c r="W25" s="3322">
        <v>-461.25</v>
      </c>
      <c r="X25" s="3322">
        <v>0</v>
      </c>
      <c r="Y25" s="3322">
        <v>-536.25</v>
      </c>
      <c r="Z25" s="3322">
        <v>-517.5</v>
      </c>
      <c r="AA25" s="3322">
        <v>-461.25</v>
      </c>
      <c r="AB25" s="3322">
        <v>-517.5</v>
      </c>
      <c r="AC25" s="3322">
        <v>-813.75</v>
      </c>
      <c r="AD25" s="3322">
        <v>-461.25</v>
      </c>
      <c r="AE25" s="3322">
        <v>-461.25</v>
      </c>
      <c r="AF25" s="3322">
        <v>-517.5</v>
      </c>
      <c r="AG25" s="3335"/>
      <c r="AH25" s="3324">
        <f t="shared" si="3"/>
        <v>-4747.5</v>
      </c>
    </row>
    <row r="26" spans="1:34">
      <c r="A26" s="3308"/>
      <c r="B26" s="3308">
        <v>0.20707999999999999</v>
      </c>
      <c r="C26" s="1838" t="s">
        <v>2962</v>
      </c>
      <c r="D26" s="3309"/>
      <c r="F26" s="996"/>
      <c r="M26" s="3351"/>
      <c r="N26" s="3351"/>
      <c r="O26" s="3352"/>
      <c r="P26" s="3353"/>
      <c r="Q26" s="3353"/>
      <c r="V26" s="3354" t="s">
        <v>198</v>
      </c>
      <c r="W26" s="3348">
        <f t="shared" ref="W26:AF26" si="5">SUM(W24:W25)</f>
        <v>25291.26</v>
      </c>
      <c r="X26" s="3348">
        <f t="shared" si="5"/>
        <v>37277.536666666674</v>
      </c>
      <c r="Y26" s="3348">
        <f t="shared" si="5"/>
        <v>30216.26</v>
      </c>
      <c r="Z26" s="3348">
        <f t="shared" si="5"/>
        <v>28985.01</v>
      </c>
      <c r="AA26" s="3348">
        <f t="shared" si="5"/>
        <v>25291.26</v>
      </c>
      <c r="AB26" s="3348">
        <f t="shared" si="5"/>
        <v>28985.01</v>
      </c>
      <c r="AC26" s="3348">
        <f t="shared" si="5"/>
        <v>48438.76</v>
      </c>
      <c r="AD26" s="3348">
        <f t="shared" si="5"/>
        <v>25291.26</v>
      </c>
      <c r="AE26" s="3348">
        <f t="shared" si="5"/>
        <v>25291.26</v>
      </c>
      <c r="AF26" s="3348">
        <f t="shared" si="5"/>
        <v>28985.01</v>
      </c>
      <c r="AG26" s="3349"/>
      <c r="AH26" s="3350">
        <f t="shared" si="3"/>
        <v>304052.62666666671</v>
      </c>
    </row>
    <row r="27" spans="1:34" ht="84.5" thickBot="1">
      <c r="A27" s="3308"/>
      <c r="B27" s="3308">
        <v>0.28254000000000001</v>
      </c>
      <c r="C27" s="1838" t="s">
        <v>2974</v>
      </c>
      <c r="D27" s="3309"/>
      <c r="E27" s="3342">
        <f>ROUND((E7)*$B$26*$B$27,0)</f>
        <v>-70043</v>
      </c>
      <c r="F27" s="3319"/>
      <c r="G27" s="3342">
        <f>ROUND((G7)*$B$26*$B$27,0)</f>
        <v>59081</v>
      </c>
      <c r="L27" s="3299" t="s">
        <v>2969</v>
      </c>
      <c r="M27" s="3306"/>
      <c r="N27" s="3306"/>
      <c r="O27" s="3311">
        <f>O12</f>
        <v>2524462.9749999996</v>
      </c>
      <c r="P27" s="3353"/>
      <c r="Q27" s="3353"/>
      <c r="V27" s="3355" t="s">
        <v>2985</v>
      </c>
      <c r="W27" s="3355"/>
      <c r="X27" s="3355"/>
      <c r="Y27" s="3355"/>
      <c r="Z27" s="3355"/>
      <c r="AA27" s="3355"/>
      <c r="AB27" s="3355"/>
      <c r="AC27" s="3355"/>
      <c r="AD27" s="3355"/>
      <c r="AE27" s="3355"/>
      <c r="AF27" s="3355"/>
      <c r="AG27" s="3355"/>
      <c r="AH27" s="3355"/>
    </row>
    <row r="28" spans="1:34" ht="36" thickTop="1" thickBot="1">
      <c r="B28" s="3279"/>
      <c r="D28" s="3279"/>
      <c r="E28" s="3319"/>
      <c r="F28" s="3319"/>
      <c r="G28" s="3319"/>
      <c r="L28" s="3299"/>
      <c r="M28" s="3331">
        <v>0.9</v>
      </c>
      <c r="N28" s="3331">
        <v>0.1</v>
      </c>
      <c r="O28" s="3331"/>
      <c r="P28" s="3353"/>
      <c r="Q28" s="3353"/>
      <c r="V28" s="3356" t="s">
        <v>2986</v>
      </c>
      <c r="W28" s="3356"/>
      <c r="X28" s="3356"/>
      <c r="Y28" s="3356"/>
      <c r="Z28" s="3356"/>
      <c r="AA28" s="3356"/>
      <c r="AB28" s="3356"/>
      <c r="AC28" s="3356"/>
      <c r="AD28" s="3356"/>
      <c r="AE28" s="3356"/>
      <c r="AF28" s="3356"/>
      <c r="AG28" s="3356"/>
      <c r="AH28" s="3356"/>
    </row>
    <row r="29" spans="1:34">
      <c r="A29" s="3297" t="s">
        <v>2393</v>
      </c>
      <c r="C29" s="1838"/>
      <c r="D29" s="3298"/>
      <c r="E29" s="3319"/>
      <c r="F29" s="3319"/>
      <c r="G29" s="3319"/>
      <c r="L29" s="3333" t="s">
        <v>2972</v>
      </c>
      <c r="M29" s="3334" t="s">
        <v>2349</v>
      </c>
      <c r="N29" s="3334" t="s">
        <v>444</v>
      </c>
      <c r="O29" s="3334" t="s">
        <v>24</v>
      </c>
      <c r="P29" s="3353"/>
      <c r="Q29" s="3353"/>
      <c r="V29" s="3312"/>
      <c r="W29" s="3313" t="s">
        <v>2932</v>
      </c>
      <c r="X29" s="3314" t="s">
        <v>2964</v>
      </c>
      <c r="Y29" s="3314" t="s">
        <v>2934</v>
      </c>
      <c r="Z29" s="3314" t="s">
        <v>2935</v>
      </c>
      <c r="AA29" s="3314" t="s">
        <v>2936</v>
      </c>
      <c r="AB29" s="3314" t="s">
        <v>2937</v>
      </c>
      <c r="AC29" s="3314" t="s">
        <v>2938</v>
      </c>
      <c r="AD29" s="3314" t="s">
        <v>2939</v>
      </c>
      <c r="AE29" s="3315" t="s">
        <v>2940</v>
      </c>
      <c r="AF29" s="3314" t="s">
        <v>2941</v>
      </c>
      <c r="AG29" s="3316" t="s">
        <v>2942</v>
      </c>
      <c r="AH29" s="3317" t="s">
        <v>198</v>
      </c>
    </row>
    <row r="30" spans="1:34">
      <c r="A30" s="3298"/>
      <c r="B30" s="3298">
        <f>B25</f>
        <v>6.2023000000000001</v>
      </c>
      <c r="C30" s="1838"/>
      <c r="D30" s="3298"/>
      <c r="E30" s="3319"/>
      <c r="F30" s="3319"/>
      <c r="G30" s="3319"/>
      <c r="L30" s="3249" t="s">
        <v>2957</v>
      </c>
      <c r="M30" s="3336">
        <f>O30*M28</f>
        <v>1097786.5064999997</v>
      </c>
      <c r="N30" s="3336">
        <f>O30*N28</f>
        <v>121976.27849999997</v>
      </c>
      <c r="O30" s="3284">
        <f>O33-O31-O32</f>
        <v>1219762.7849999997</v>
      </c>
      <c r="P30" s="3353"/>
      <c r="Q30" s="3353"/>
      <c r="V30" s="3321" t="s">
        <v>2967</v>
      </c>
      <c r="W30" s="3322">
        <f t="shared" ref="W30:AF30" si="6">95000/12*3</f>
        <v>23750</v>
      </c>
      <c r="X30" s="3322">
        <f t="shared" si="6"/>
        <v>23750</v>
      </c>
      <c r="Y30" s="3322">
        <f t="shared" si="6"/>
        <v>23750</v>
      </c>
      <c r="Z30" s="3322">
        <f t="shared" si="6"/>
        <v>23750</v>
      </c>
      <c r="AA30" s="3322">
        <f t="shared" si="6"/>
        <v>23750</v>
      </c>
      <c r="AB30" s="3322">
        <f t="shared" si="6"/>
        <v>23750</v>
      </c>
      <c r="AC30" s="3322">
        <f t="shared" si="6"/>
        <v>23750</v>
      </c>
      <c r="AD30" s="3322">
        <f t="shared" si="6"/>
        <v>23750</v>
      </c>
      <c r="AE30" s="3322">
        <f t="shared" si="6"/>
        <v>23750</v>
      </c>
      <c r="AF30" s="3322">
        <f t="shared" si="6"/>
        <v>23750</v>
      </c>
      <c r="AG30" s="3323"/>
      <c r="AH30" s="3324">
        <f t="shared" ref="AH30:AH43" si="7">SUM(W30:AF30)</f>
        <v>237500</v>
      </c>
    </row>
    <row r="31" spans="1:34" ht="14.5" thickBot="1">
      <c r="A31" s="3308"/>
      <c r="B31" s="3308">
        <v>9.1800000000000007E-2</v>
      </c>
      <c r="C31" s="1838" t="s">
        <v>2962</v>
      </c>
      <c r="D31" s="3309"/>
      <c r="E31" s="3342">
        <f>ROUND((E7)*$B$31,0)</f>
        <v>-109899</v>
      </c>
      <c r="F31" s="3319"/>
      <c r="G31" s="3342">
        <f>ROUND((G7)*$B$31,0)</f>
        <v>92698</v>
      </c>
      <c r="L31" s="3290"/>
      <c r="M31" s="3336"/>
      <c r="N31" s="3336"/>
      <c r="O31" s="3284"/>
      <c r="P31" s="3353"/>
      <c r="Q31" s="3353"/>
      <c r="V31" s="3325" t="s">
        <v>2968</v>
      </c>
      <c r="W31" s="3322"/>
      <c r="X31" s="3326">
        <v>3750</v>
      </c>
      <c r="Y31" s="3326">
        <v>5000</v>
      </c>
      <c r="Z31" s="3326">
        <v>3750</v>
      </c>
      <c r="AA31" s="3327"/>
      <c r="AB31" s="3327">
        <v>3750</v>
      </c>
      <c r="AC31" s="3327"/>
      <c r="AD31" s="3327"/>
      <c r="AE31" s="3327"/>
      <c r="AF31" s="3328">
        <v>3750</v>
      </c>
      <c r="AG31" s="3329"/>
      <c r="AH31" s="3324">
        <f t="shared" si="7"/>
        <v>20000</v>
      </c>
    </row>
    <row r="32" spans="1:34" ht="14.5" thickTop="1">
      <c r="A32" s="3279"/>
      <c r="B32" s="3279"/>
      <c r="C32" s="1838"/>
      <c r="D32" s="996"/>
      <c r="E32" s="996"/>
      <c r="F32" s="996"/>
      <c r="G32" s="996"/>
      <c r="L32" s="3299" t="s">
        <v>2959</v>
      </c>
      <c r="M32" s="3336">
        <f>O32*M28</f>
        <v>1174230.1710000001</v>
      </c>
      <c r="N32" s="3336">
        <f>O32*N28</f>
        <v>130470.019</v>
      </c>
      <c r="O32" s="3301">
        <f>'G-3.20 PF BOD'!AH2+'G-3.20 PF BOD'!AH3</f>
        <v>1304700.19</v>
      </c>
      <c r="P32" s="3353"/>
      <c r="Q32" s="3353"/>
      <c r="V32" s="3325" t="s">
        <v>2970</v>
      </c>
      <c r="W32" s="3322"/>
      <c r="X32" s="3326">
        <f>30000/12*3</f>
        <v>7500</v>
      </c>
      <c r="Y32" s="3326"/>
      <c r="Z32" s="3326"/>
      <c r="AA32" s="3327"/>
      <c r="AB32" s="3327"/>
      <c r="AC32" s="3327"/>
      <c r="AD32" s="3327"/>
      <c r="AE32" s="3327"/>
      <c r="AF32" s="3328"/>
      <c r="AG32" s="3329"/>
      <c r="AH32" s="3324">
        <f t="shared" si="7"/>
        <v>7500</v>
      </c>
    </row>
    <row r="33" spans="1:34" ht="14.5" thickBot="1">
      <c r="A33" s="3279"/>
      <c r="B33" s="3279"/>
      <c r="C33" s="1838"/>
      <c r="D33" s="996"/>
      <c r="E33" s="2858">
        <f>E31+E27+E22+E17+E12</f>
        <v>-1197152</v>
      </c>
      <c r="F33" s="2858"/>
      <c r="G33" s="2858">
        <f>G31+G27+G22+G17+G12</f>
        <v>1009784</v>
      </c>
      <c r="L33" s="3339"/>
      <c r="M33" s="3340">
        <f>SUM(M30:M32)</f>
        <v>2272016.6774999998</v>
      </c>
      <c r="N33" s="3340">
        <f>SUM(N30:N32)</f>
        <v>252446.29749999999</v>
      </c>
      <c r="O33" s="3340">
        <f>O10</f>
        <v>2524462.9749999996</v>
      </c>
      <c r="P33" s="3353"/>
      <c r="Q33" s="3353"/>
      <c r="V33" s="3325" t="s">
        <v>2971</v>
      </c>
      <c r="W33" s="3322"/>
      <c r="X33" s="3326"/>
      <c r="Y33" s="3326"/>
      <c r="Z33" s="3326"/>
      <c r="AA33" s="3327"/>
      <c r="AB33" s="3327"/>
      <c r="AC33" s="3327">
        <v>25000</v>
      </c>
      <c r="AD33" s="3327"/>
      <c r="AE33" s="3327"/>
      <c r="AF33" s="3328"/>
      <c r="AG33" s="3329"/>
      <c r="AH33" s="3324">
        <f t="shared" si="7"/>
        <v>25000</v>
      </c>
    </row>
    <row r="34" spans="1:34" ht="14.5" thickTop="1">
      <c r="A34" s="3279"/>
      <c r="B34" s="3279"/>
      <c r="C34" s="1838"/>
      <c r="D34" s="996"/>
      <c r="E34" s="996"/>
      <c r="F34" s="996"/>
      <c r="G34" s="996"/>
      <c r="H34" s="3357"/>
      <c r="M34" s="3351"/>
      <c r="N34" s="3351"/>
      <c r="O34" s="3352"/>
      <c r="P34" s="3353"/>
      <c r="Q34" s="3353"/>
      <c r="V34" s="3325" t="s">
        <v>2987</v>
      </c>
      <c r="W34" s="3335"/>
      <c r="X34" s="3327"/>
      <c r="Y34" s="3327"/>
      <c r="Z34" s="3327"/>
      <c r="AA34" s="3327"/>
      <c r="AB34" s="3327"/>
      <c r="AC34" s="3327"/>
      <c r="AD34" s="3327"/>
      <c r="AE34" s="3327"/>
      <c r="AF34" s="3328"/>
      <c r="AG34" s="3329"/>
      <c r="AH34" s="3324">
        <f t="shared" si="7"/>
        <v>0</v>
      </c>
    </row>
    <row r="35" spans="1:34" ht="14.5" thickBot="1">
      <c r="A35" s="3279"/>
      <c r="B35" s="3279"/>
      <c r="C35" s="1838"/>
      <c r="D35" s="996"/>
      <c r="E35" s="3358"/>
      <c r="F35" s="3358"/>
      <c r="G35" s="3358"/>
      <c r="L35" s="3339" t="s">
        <v>2988</v>
      </c>
      <c r="M35" s="3345">
        <f>(M33-M12)-M24</f>
        <v>1009785.19</v>
      </c>
      <c r="N35" s="3346">
        <f>(N33-N12)-N24</f>
        <v>-1009785.1899999998</v>
      </c>
      <c r="O35" s="3346">
        <f>(O33-O12)-O24</f>
        <v>10984.595000000438</v>
      </c>
      <c r="P35" s="3344"/>
      <c r="Q35" s="3337"/>
      <c r="V35" s="3325" t="s">
        <v>2989</v>
      </c>
      <c r="W35" s="3335"/>
      <c r="X35" s="3327"/>
      <c r="Y35" s="3327"/>
      <c r="Z35" s="3326"/>
      <c r="AA35" s="3326"/>
      <c r="AB35" s="3327"/>
      <c r="AC35" s="3327"/>
      <c r="AD35" s="3327"/>
      <c r="AE35" s="3327"/>
      <c r="AF35" s="3327"/>
      <c r="AG35" s="3335"/>
      <c r="AH35" s="3324">
        <f t="shared" si="7"/>
        <v>0</v>
      </c>
    </row>
    <row r="36" spans="1:34" ht="14.5" thickTop="1">
      <c r="M36" s="3351" t="s">
        <v>1722</v>
      </c>
      <c r="O36" s="2128"/>
      <c r="P36" s="2128"/>
      <c r="Q36" s="2128"/>
      <c r="R36" s="2128"/>
      <c r="V36" s="3325" t="s">
        <v>2990</v>
      </c>
      <c r="W36" s="3335"/>
      <c r="X36" s="3327"/>
      <c r="Y36" s="3327"/>
      <c r="Z36" s="3327"/>
      <c r="AA36" s="3327"/>
      <c r="AB36" s="3327"/>
      <c r="AC36" s="3327"/>
      <c r="AD36" s="3327"/>
      <c r="AE36" s="3327"/>
      <c r="AF36" s="3327"/>
      <c r="AG36" s="3335"/>
      <c r="AH36" s="3324">
        <f t="shared" si="7"/>
        <v>0</v>
      </c>
    </row>
    <row r="37" spans="1:34">
      <c r="A37" s="3359">
        <v>1</v>
      </c>
      <c r="B37" s="3359"/>
      <c r="C37" s="1838" t="s">
        <v>2962</v>
      </c>
      <c r="D37" s="3360" t="s">
        <v>2991</v>
      </c>
      <c r="O37" s="2128"/>
      <c r="P37" s="2128"/>
      <c r="Q37" s="2128"/>
      <c r="R37" s="2128"/>
      <c r="V37" s="3325" t="s">
        <v>2992</v>
      </c>
      <c r="W37" s="3335"/>
      <c r="X37" s="3327"/>
      <c r="Y37" s="3327"/>
      <c r="Z37" s="3326"/>
      <c r="AA37" s="3327"/>
      <c r="AB37" s="3327"/>
      <c r="AC37" s="3327"/>
      <c r="AD37" s="3327"/>
      <c r="AE37" s="3327"/>
      <c r="AF37" s="3328"/>
      <c r="AG37" s="3329"/>
      <c r="AH37" s="3324">
        <f t="shared" si="7"/>
        <v>0</v>
      </c>
    </row>
    <row r="38" spans="1:34">
      <c r="A38" s="3359">
        <v>1</v>
      </c>
      <c r="B38" s="3359"/>
      <c r="C38" s="1838" t="s">
        <v>2965</v>
      </c>
      <c r="D38" s="3360" t="s">
        <v>2993</v>
      </c>
      <c r="O38" s="2128"/>
      <c r="P38" s="2128"/>
      <c r="Q38" s="2128"/>
      <c r="R38" s="2128"/>
      <c r="V38" s="3325" t="s">
        <v>2994</v>
      </c>
      <c r="W38" s="3322"/>
      <c r="X38" s="3326"/>
      <c r="Y38" s="3327"/>
      <c r="Z38" s="3327"/>
      <c r="AA38" s="3327"/>
      <c r="AB38" s="3327"/>
      <c r="AC38" s="3327"/>
      <c r="AD38" s="3327"/>
      <c r="AE38" s="3327"/>
      <c r="AF38" s="3327"/>
      <c r="AG38" s="3335"/>
      <c r="AH38" s="3324">
        <f t="shared" si="7"/>
        <v>0</v>
      </c>
    </row>
    <row r="39" spans="1:34">
      <c r="A39" s="3359">
        <v>1</v>
      </c>
      <c r="B39" s="3359"/>
      <c r="C39" s="1838" t="s">
        <v>2974</v>
      </c>
      <c r="D39" s="3360" t="s">
        <v>2995</v>
      </c>
      <c r="L39" s="3361" t="s">
        <v>1251</v>
      </c>
      <c r="M39" s="3361"/>
      <c r="N39" s="3361"/>
      <c r="O39" s="3362" t="s">
        <v>1065</v>
      </c>
      <c r="P39" s="3362"/>
      <c r="Q39" s="3362"/>
      <c r="R39" s="3362"/>
      <c r="V39" s="3325" t="s">
        <v>2996</v>
      </c>
      <c r="W39" s="3335"/>
      <c r="X39" s="3327"/>
      <c r="Y39" s="3327"/>
      <c r="Z39" s="3327"/>
      <c r="AA39" s="3327"/>
      <c r="AB39" s="3327"/>
      <c r="AC39" s="3327"/>
      <c r="AD39" s="3327"/>
      <c r="AE39" s="3327"/>
      <c r="AF39" s="3327"/>
      <c r="AG39" s="3335"/>
      <c r="AH39" s="3324">
        <f t="shared" si="7"/>
        <v>0</v>
      </c>
    </row>
    <row r="40" spans="1:34">
      <c r="L40" s="3363" t="s">
        <v>2997</v>
      </c>
      <c r="M40" s="3363" t="s">
        <v>679</v>
      </c>
      <c r="N40" s="3363" t="s">
        <v>1245</v>
      </c>
      <c r="O40" s="3364" t="s">
        <v>1756</v>
      </c>
      <c r="P40" s="3364" t="s">
        <v>2728</v>
      </c>
      <c r="Q40" s="3364" t="s">
        <v>2734</v>
      </c>
      <c r="R40" s="3363" t="s">
        <v>978</v>
      </c>
      <c r="V40" s="3325" t="s">
        <v>2998</v>
      </c>
      <c r="W40" s="3322"/>
      <c r="X40" s="3326">
        <f>SUM(2519*0.44)</f>
        <v>1108.3599999999999</v>
      </c>
      <c r="Y40" s="3326"/>
      <c r="Z40" s="3326"/>
      <c r="AA40" s="3326"/>
      <c r="AB40" s="3326"/>
      <c r="AC40" s="3326"/>
      <c r="AD40" s="3326"/>
      <c r="AE40" s="3326"/>
      <c r="AF40" s="3328"/>
      <c r="AG40" s="3329"/>
      <c r="AH40" s="3324">
        <f t="shared" si="7"/>
        <v>1108.3599999999999</v>
      </c>
    </row>
    <row r="41" spans="1:34">
      <c r="L41" s="3365" t="s">
        <v>2999</v>
      </c>
      <c r="M41" s="3366" t="s">
        <v>1254</v>
      </c>
      <c r="N41" s="3367" t="s">
        <v>3000</v>
      </c>
      <c r="O41" s="3368">
        <v>922.58</v>
      </c>
      <c r="P41" s="3368"/>
      <c r="Q41" s="3368"/>
      <c r="R41" s="3368">
        <v>922.58</v>
      </c>
      <c r="V41" s="3347" t="s">
        <v>1985</v>
      </c>
      <c r="W41" s="3348">
        <f t="shared" ref="W41:AF41" si="8">SUM(W27:W40)</f>
        <v>23750</v>
      </c>
      <c r="X41" s="3348">
        <f t="shared" si="8"/>
        <v>36108.36</v>
      </c>
      <c r="Y41" s="3348">
        <f t="shared" si="8"/>
        <v>28750</v>
      </c>
      <c r="Z41" s="3348">
        <f t="shared" si="8"/>
        <v>27500</v>
      </c>
      <c r="AA41" s="3348">
        <f t="shared" si="8"/>
        <v>23750</v>
      </c>
      <c r="AB41" s="3348">
        <f t="shared" si="8"/>
        <v>27500</v>
      </c>
      <c r="AC41" s="3348">
        <f t="shared" si="8"/>
        <v>48750</v>
      </c>
      <c r="AD41" s="3348">
        <f t="shared" si="8"/>
        <v>23750</v>
      </c>
      <c r="AE41" s="3348">
        <f t="shared" si="8"/>
        <v>23750</v>
      </c>
      <c r="AF41" s="3348">
        <f t="shared" si="8"/>
        <v>27500</v>
      </c>
      <c r="AG41" s="3349"/>
      <c r="AH41" s="3350">
        <f t="shared" si="7"/>
        <v>291108.36</v>
      </c>
    </row>
    <row r="42" spans="1:34" ht="28">
      <c r="L42" s="3369"/>
      <c r="M42" s="3370"/>
      <c r="N42" s="3367" t="s">
        <v>3001</v>
      </c>
      <c r="O42" s="3368"/>
      <c r="P42" s="3368">
        <v>29829.93</v>
      </c>
      <c r="Q42" s="3368"/>
      <c r="R42" s="3368">
        <v>29829.93</v>
      </c>
      <c r="V42" s="3325" t="s">
        <v>3002</v>
      </c>
      <c r="W42" s="3328">
        <v>-356.25</v>
      </c>
      <c r="X42" s="3328" t="s">
        <v>1208</v>
      </c>
      <c r="Y42" s="3328">
        <v>-431.25</v>
      </c>
      <c r="Z42" s="3328">
        <v>-412.5</v>
      </c>
      <c r="AA42" s="3328">
        <v>-356.25</v>
      </c>
      <c r="AB42" s="3328">
        <v>-412.5</v>
      </c>
      <c r="AC42" s="3328">
        <v>-731.25</v>
      </c>
      <c r="AD42" s="3328">
        <v>-356.25</v>
      </c>
      <c r="AE42" s="3328">
        <v>-356.25</v>
      </c>
      <c r="AF42" s="3328">
        <v>-412.5</v>
      </c>
      <c r="AG42" s="3329"/>
      <c r="AH42" s="3324">
        <f t="shared" si="7"/>
        <v>-3825</v>
      </c>
    </row>
    <row r="43" spans="1:34">
      <c r="L43" s="3369"/>
      <c r="M43" s="3366" t="s">
        <v>1257</v>
      </c>
      <c r="N43" s="3367" t="s">
        <v>3003</v>
      </c>
      <c r="O43" s="3368"/>
      <c r="P43" s="3368">
        <v>27887.5</v>
      </c>
      <c r="Q43" s="3368"/>
      <c r="R43" s="3368">
        <v>27887.5</v>
      </c>
      <c r="V43" s="3371" t="s">
        <v>198</v>
      </c>
      <c r="W43" s="3372">
        <f t="shared" ref="W43:AF43" si="9">SUM(W41:W42)</f>
        <v>23393.75</v>
      </c>
      <c r="X43" s="3372">
        <f t="shared" si="9"/>
        <v>36108.36</v>
      </c>
      <c r="Y43" s="3372">
        <f t="shared" si="9"/>
        <v>28318.75</v>
      </c>
      <c r="Z43" s="3372">
        <f t="shared" si="9"/>
        <v>27087.5</v>
      </c>
      <c r="AA43" s="3372">
        <f t="shared" si="9"/>
        <v>23393.75</v>
      </c>
      <c r="AB43" s="3372">
        <f t="shared" si="9"/>
        <v>27087.5</v>
      </c>
      <c r="AC43" s="3372">
        <f t="shared" si="9"/>
        <v>48018.75</v>
      </c>
      <c r="AD43" s="3372">
        <f t="shared" si="9"/>
        <v>23393.75</v>
      </c>
      <c r="AE43" s="3372">
        <f t="shared" si="9"/>
        <v>23393.75</v>
      </c>
      <c r="AF43" s="3372">
        <f t="shared" si="9"/>
        <v>27087.5</v>
      </c>
      <c r="AG43" s="3373"/>
      <c r="AH43" s="3374">
        <f t="shared" si="7"/>
        <v>287283.36</v>
      </c>
    </row>
    <row r="44" spans="1:34" ht="28.5" thickBot="1">
      <c r="L44" s="3369"/>
      <c r="M44" s="3370"/>
      <c r="N44" s="3367" t="s">
        <v>3004</v>
      </c>
      <c r="O44" s="3368">
        <v>862.5</v>
      </c>
      <c r="P44" s="3368"/>
      <c r="Q44" s="3368"/>
      <c r="R44" s="3368">
        <v>862.5</v>
      </c>
      <c r="V44" s="3375" t="s">
        <v>3005</v>
      </c>
      <c r="W44" s="3375"/>
      <c r="X44" s="3375"/>
      <c r="Y44" s="3375"/>
      <c r="Z44" s="3375"/>
      <c r="AA44" s="3375"/>
      <c r="AB44" s="3375"/>
      <c r="AC44" s="3375"/>
      <c r="AD44" s="3375"/>
      <c r="AE44" s="3375"/>
      <c r="AF44" s="3375"/>
      <c r="AG44" s="3375"/>
      <c r="AH44" s="3375"/>
    </row>
    <row r="45" spans="1:34" ht="36" thickTop="1" thickBot="1">
      <c r="L45" s="3369"/>
      <c r="M45" s="3366" t="s">
        <v>1053</v>
      </c>
      <c r="N45" s="3367" t="s">
        <v>3006</v>
      </c>
      <c r="O45" s="3368">
        <v>862.5</v>
      </c>
      <c r="P45" s="3368"/>
      <c r="Q45" s="3368"/>
      <c r="R45" s="3368">
        <v>862.5</v>
      </c>
      <c r="V45" s="3376" t="s">
        <v>3007</v>
      </c>
      <c r="W45" s="3376"/>
      <c r="X45" s="3376"/>
      <c r="Y45" s="3376"/>
      <c r="Z45" s="3376"/>
      <c r="AA45" s="3376"/>
      <c r="AB45" s="3376"/>
      <c r="AC45" s="3376"/>
      <c r="AD45" s="3376"/>
      <c r="AE45" s="3376"/>
      <c r="AF45" s="3376"/>
      <c r="AG45" s="3376"/>
      <c r="AH45" s="3376"/>
    </row>
    <row r="46" spans="1:34">
      <c r="L46" s="3369"/>
      <c r="M46" s="3370"/>
      <c r="N46" s="3367" t="s">
        <v>3008</v>
      </c>
      <c r="O46" s="3368"/>
      <c r="P46" s="3368">
        <v>27887.5</v>
      </c>
      <c r="Q46" s="3368"/>
      <c r="R46" s="3368">
        <v>27887.5</v>
      </c>
      <c r="V46" s="3312"/>
      <c r="W46" s="3313" t="s">
        <v>2932</v>
      </c>
      <c r="X46" s="3314" t="s">
        <v>2964</v>
      </c>
      <c r="Y46" s="3314" t="s">
        <v>2934</v>
      </c>
      <c r="Z46" s="3314" t="s">
        <v>2935</v>
      </c>
      <c r="AA46" s="3314" t="s">
        <v>2936</v>
      </c>
      <c r="AB46" s="3314" t="s">
        <v>2937</v>
      </c>
      <c r="AC46" s="3314" t="s">
        <v>2938</v>
      </c>
      <c r="AD46" s="3314" t="s">
        <v>2939</v>
      </c>
      <c r="AE46" s="3315" t="s">
        <v>2940</v>
      </c>
      <c r="AF46" s="3314" t="s">
        <v>2941</v>
      </c>
      <c r="AG46" s="3316" t="s">
        <v>2942</v>
      </c>
      <c r="AH46" s="3317" t="s">
        <v>198</v>
      </c>
    </row>
    <row r="47" spans="1:34">
      <c r="L47" s="3369"/>
      <c r="M47" s="3366" t="s">
        <v>1260</v>
      </c>
      <c r="N47" s="3367" t="s">
        <v>3009</v>
      </c>
      <c r="O47" s="3368">
        <v>1012.5</v>
      </c>
      <c r="P47" s="3368"/>
      <c r="Q47" s="3368"/>
      <c r="R47" s="3368">
        <v>1012.5</v>
      </c>
      <c r="V47" s="3321" t="s">
        <v>2967</v>
      </c>
      <c r="W47" s="3322">
        <f>95000/4</f>
        <v>23750</v>
      </c>
      <c r="X47" s="3322">
        <f>91666.67/2</f>
        <v>45833.334999999999</v>
      </c>
      <c r="Y47" s="3322">
        <f t="shared" ref="Y47:AF47" si="10">95000/4</f>
        <v>23750</v>
      </c>
      <c r="Z47" s="3322">
        <f t="shared" si="10"/>
        <v>23750</v>
      </c>
      <c r="AA47" s="3322">
        <f t="shared" si="10"/>
        <v>23750</v>
      </c>
      <c r="AB47" s="3322">
        <f t="shared" si="10"/>
        <v>23750</v>
      </c>
      <c r="AC47" s="3322">
        <f t="shared" si="10"/>
        <v>23750</v>
      </c>
      <c r="AD47" s="3322">
        <f t="shared" si="10"/>
        <v>23750</v>
      </c>
      <c r="AE47" s="3322">
        <f t="shared" si="10"/>
        <v>23750</v>
      </c>
      <c r="AF47" s="3322">
        <f t="shared" si="10"/>
        <v>23750</v>
      </c>
      <c r="AG47" s="3323"/>
      <c r="AH47" s="3324">
        <f>SUM(W47:AF47)</f>
        <v>259583.33499999999</v>
      </c>
    </row>
    <row r="48" spans="1:34">
      <c r="L48" s="3377"/>
      <c r="M48" s="3370"/>
      <c r="N48" s="3367" t="s">
        <v>3010</v>
      </c>
      <c r="O48" s="3368"/>
      <c r="P48" s="3368">
        <v>32737.5</v>
      </c>
      <c r="Q48" s="3368"/>
      <c r="R48" s="3368">
        <v>32737.5</v>
      </c>
      <c r="S48" s="3250"/>
      <c r="V48" s="3325" t="s">
        <v>2968</v>
      </c>
      <c r="W48" s="3322"/>
      <c r="X48" s="3326">
        <f>15000/4</f>
        <v>3750</v>
      </c>
      <c r="Y48" s="3326">
        <f>20000/4</f>
        <v>5000</v>
      </c>
      <c r="Z48" s="3326">
        <f>15000/4</f>
        <v>3750</v>
      </c>
      <c r="AA48" s="3327"/>
      <c r="AB48" s="3326">
        <f>15000/4</f>
        <v>3750</v>
      </c>
      <c r="AC48" s="3327"/>
      <c r="AD48" s="3327"/>
      <c r="AE48" s="3327"/>
      <c r="AF48" s="3326">
        <f>15000/4</f>
        <v>3750</v>
      </c>
      <c r="AG48" s="3329"/>
      <c r="AH48" s="3324">
        <f>SUM(W48:AF48)</f>
        <v>20000</v>
      </c>
    </row>
    <row r="49" spans="12:34">
      <c r="L49" s="3378" t="s">
        <v>3011</v>
      </c>
      <c r="M49" s="3378"/>
      <c r="N49" s="3378"/>
      <c r="O49" s="3379">
        <v>3660.08</v>
      </c>
      <c r="P49" s="3379">
        <v>118342.43</v>
      </c>
      <c r="Q49" s="3379"/>
      <c r="R49" s="3379">
        <v>122002.51000000001</v>
      </c>
      <c r="S49" s="3250">
        <v>120097.51</v>
      </c>
      <c r="V49" s="3325" t="s">
        <v>2970</v>
      </c>
      <c r="W49" s="3322"/>
      <c r="X49" s="3326">
        <f>30000/4</f>
        <v>7500</v>
      </c>
      <c r="Y49" s="3326"/>
      <c r="Z49" s="3326"/>
      <c r="AA49" s="3327"/>
      <c r="AB49" s="3327"/>
      <c r="AC49" s="3327"/>
      <c r="AD49" s="3327"/>
      <c r="AE49" s="3327"/>
      <c r="AF49" s="3328"/>
      <c r="AG49" s="3329"/>
      <c r="AH49" s="3324">
        <f>SUM(W49:AF49)</f>
        <v>7500</v>
      </c>
    </row>
    <row r="50" spans="12:34">
      <c r="L50" s="3365" t="s">
        <v>3012</v>
      </c>
      <c r="M50" s="3366" t="s">
        <v>1254</v>
      </c>
      <c r="N50" s="3367" t="s">
        <v>3000</v>
      </c>
      <c r="O50" s="3368">
        <v>772.58</v>
      </c>
      <c r="P50" s="3368"/>
      <c r="Q50" s="3368"/>
      <c r="R50" s="3368">
        <v>772.58</v>
      </c>
      <c r="S50" s="3250"/>
      <c r="V50" s="3325" t="s">
        <v>2971</v>
      </c>
      <c r="W50" s="3335"/>
      <c r="X50" s="3327"/>
      <c r="Y50" s="3327"/>
      <c r="Z50" s="3326"/>
      <c r="AA50" s="3327"/>
      <c r="AB50" s="3327"/>
      <c r="AC50" s="3327">
        <v>25000</v>
      </c>
      <c r="AD50" s="3327"/>
      <c r="AE50" s="3327"/>
      <c r="AF50" s="3328"/>
      <c r="AG50" s="3329"/>
      <c r="AH50" s="3380">
        <f>SUM(W50:AF50)</f>
        <v>25000</v>
      </c>
    </row>
    <row r="51" spans="12:34">
      <c r="L51" s="3369"/>
      <c r="M51" s="3370"/>
      <c r="N51" s="3367" t="s">
        <v>3001</v>
      </c>
      <c r="O51" s="3368"/>
      <c r="P51" s="3368">
        <v>24979.93</v>
      </c>
      <c r="Q51" s="3368"/>
      <c r="R51" s="3368">
        <v>24979.93</v>
      </c>
      <c r="S51" s="3250"/>
      <c r="V51" s="3381" t="s">
        <v>1985</v>
      </c>
      <c r="W51" s="3348">
        <f t="shared" ref="W51:AH51" si="11">SUM(W47:W50)</f>
        <v>23750</v>
      </c>
      <c r="X51" s="3348">
        <f t="shared" si="11"/>
        <v>57083.334999999999</v>
      </c>
      <c r="Y51" s="3348">
        <f t="shared" si="11"/>
        <v>28750</v>
      </c>
      <c r="Z51" s="3348">
        <f t="shared" si="11"/>
        <v>27500</v>
      </c>
      <c r="AA51" s="3348">
        <f t="shared" si="11"/>
        <v>23750</v>
      </c>
      <c r="AB51" s="3348">
        <f t="shared" si="11"/>
        <v>27500</v>
      </c>
      <c r="AC51" s="3348">
        <f t="shared" si="11"/>
        <v>48750</v>
      </c>
      <c r="AD51" s="3348">
        <f t="shared" si="11"/>
        <v>23750</v>
      </c>
      <c r="AE51" s="3348">
        <f t="shared" si="11"/>
        <v>23750</v>
      </c>
      <c r="AF51" s="3348">
        <f t="shared" si="11"/>
        <v>27500</v>
      </c>
      <c r="AG51" s="3382">
        <f t="shared" si="11"/>
        <v>0</v>
      </c>
      <c r="AH51" s="3350">
        <f t="shared" si="11"/>
        <v>312083.33499999996</v>
      </c>
    </row>
    <row r="52" spans="12:34" ht="28">
      <c r="L52" s="3369"/>
      <c r="M52" s="3366" t="s">
        <v>1257</v>
      </c>
      <c r="N52" s="3367" t="s">
        <v>3003</v>
      </c>
      <c r="O52" s="3368"/>
      <c r="P52" s="3368">
        <v>23037.5</v>
      </c>
      <c r="Q52" s="3368"/>
      <c r="R52" s="3368">
        <v>23037.5</v>
      </c>
      <c r="S52" s="3250"/>
      <c r="V52" s="3325" t="s">
        <v>3013</v>
      </c>
      <c r="W52" s="3383">
        <v>-356.25</v>
      </c>
      <c r="X52" s="3383"/>
      <c r="Y52" s="3383">
        <v>-431.25</v>
      </c>
      <c r="Z52" s="3383">
        <v>-412.5</v>
      </c>
      <c r="AA52" s="3383">
        <v>-356.25</v>
      </c>
      <c r="AB52" s="3383">
        <v>-412.5</v>
      </c>
      <c r="AC52" s="3383">
        <v>-731.25</v>
      </c>
      <c r="AD52" s="3383">
        <v>-356.25</v>
      </c>
      <c r="AE52" s="3383">
        <v>-356.25</v>
      </c>
      <c r="AF52" s="3383">
        <v>-412.5</v>
      </c>
      <c r="AG52" s="3329"/>
      <c r="AH52" s="3384">
        <f>SUM(W52:AF52)</f>
        <v>-3825</v>
      </c>
    </row>
    <row r="53" spans="12:34">
      <c r="L53" s="3369"/>
      <c r="M53" s="3370"/>
      <c r="N53" s="3367" t="s">
        <v>3004</v>
      </c>
      <c r="O53" s="3368">
        <v>712.5</v>
      </c>
      <c r="P53" s="3368"/>
      <c r="Q53" s="3368"/>
      <c r="R53" s="3368">
        <v>712.5</v>
      </c>
      <c r="S53" s="3250"/>
      <c r="V53" s="3381" t="s">
        <v>198</v>
      </c>
      <c r="W53" s="3348">
        <f t="shared" ref="W53:AH53" si="12">SUM(W51:W52)</f>
        <v>23393.75</v>
      </c>
      <c r="X53" s="3348">
        <f t="shared" si="12"/>
        <v>57083.334999999999</v>
      </c>
      <c r="Y53" s="3348">
        <f t="shared" si="12"/>
        <v>28318.75</v>
      </c>
      <c r="Z53" s="3348">
        <f t="shared" si="12"/>
        <v>27087.5</v>
      </c>
      <c r="AA53" s="3348">
        <f t="shared" si="12"/>
        <v>23393.75</v>
      </c>
      <c r="AB53" s="3348">
        <f t="shared" si="12"/>
        <v>27087.5</v>
      </c>
      <c r="AC53" s="3348">
        <f t="shared" si="12"/>
        <v>48018.75</v>
      </c>
      <c r="AD53" s="3348">
        <f t="shared" si="12"/>
        <v>23393.75</v>
      </c>
      <c r="AE53" s="3348">
        <f t="shared" si="12"/>
        <v>23393.75</v>
      </c>
      <c r="AF53" s="3348">
        <f t="shared" si="12"/>
        <v>27087.5</v>
      </c>
      <c r="AG53" s="3348">
        <f t="shared" si="12"/>
        <v>0</v>
      </c>
      <c r="AH53" s="3348">
        <f t="shared" si="12"/>
        <v>308258.33499999996</v>
      </c>
    </row>
    <row r="54" spans="12:34" ht="98.5" thickBot="1">
      <c r="L54" s="3369"/>
      <c r="M54" s="3366" t="s">
        <v>1053</v>
      </c>
      <c r="N54" s="3367" t="s">
        <v>3006</v>
      </c>
      <c r="O54" s="3368">
        <v>712.5</v>
      </c>
      <c r="P54" s="3368"/>
      <c r="Q54" s="3368"/>
      <c r="R54" s="3368">
        <v>712.5</v>
      </c>
      <c r="S54" s="3250"/>
      <c r="V54" s="3385" t="s">
        <v>3014</v>
      </c>
      <c r="W54" s="3385"/>
      <c r="X54" s="3385"/>
      <c r="Y54" s="3385"/>
      <c r="Z54" s="3385"/>
      <c r="AA54" s="3385"/>
      <c r="AB54" s="3385"/>
      <c r="AC54" s="3385"/>
      <c r="AD54" s="3385"/>
      <c r="AE54" s="3385"/>
      <c r="AF54" s="3385"/>
      <c r="AG54" s="3385"/>
      <c r="AH54" s="3385"/>
    </row>
    <row r="55" spans="12:34" ht="35.5" thickBot="1">
      <c r="L55" s="3369"/>
      <c r="M55" s="3370"/>
      <c r="N55" s="3367" t="s">
        <v>3008</v>
      </c>
      <c r="O55" s="3368"/>
      <c r="P55" s="3368">
        <v>23037.5</v>
      </c>
      <c r="Q55" s="3368"/>
      <c r="R55" s="3368">
        <v>23037.5</v>
      </c>
      <c r="S55" s="3250"/>
      <c r="V55" s="3386" t="s">
        <v>3015</v>
      </c>
      <c r="W55" s="3386"/>
      <c r="X55" s="3386"/>
      <c r="Y55" s="3386"/>
      <c r="Z55" s="3386"/>
      <c r="AA55" s="3386"/>
      <c r="AB55" s="3386"/>
      <c r="AC55" s="3386"/>
      <c r="AD55" s="3386"/>
      <c r="AE55" s="3386"/>
      <c r="AF55" s="3386"/>
      <c r="AG55" s="3386"/>
      <c r="AH55" s="3386"/>
    </row>
    <row r="56" spans="12:34">
      <c r="L56" s="3369"/>
      <c r="M56" s="3366" t="s">
        <v>1260</v>
      </c>
      <c r="N56" s="3367" t="s">
        <v>3009</v>
      </c>
      <c r="O56" s="3368">
        <v>712.5</v>
      </c>
      <c r="P56" s="3368"/>
      <c r="Q56" s="3368"/>
      <c r="R56" s="3368">
        <v>712.5</v>
      </c>
      <c r="S56" s="3250"/>
      <c r="V56" s="3312"/>
      <c r="W56" s="3313" t="s">
        <v>2932</v>
      </c>
      <c r="X56" s="3314" t="s">
        <v>2964</v>
      </c>
      <c r="Y56" s="3314" t="s">
        <v>2934</v>
      </c>
      <c r="Z56" s="3314" t="s">
        <v>2935</v>
      </c>
      <c r="AA56" s="3314" t="s">
        <v>2936</v>
      </c>
      <c r="AB56" s="3314" t="s">
        <v>2937</v>
      </c>
      <c r="AC56" s="3314" t="s">
        <v>2938</v>
      </c>
      <c r="AD56" s="3314" t="s">
        <v>2939</v>
      </c>
      <c r="AE56" s="3315" t="s">
        <v>2940</v>
      </c>
      <c r="AF56" s="3314" t="s">
        <v>2941</v>
      </c>
      <c r="AG56" s="3316" t="s">
        <v>2942</v>
      </c>
      <c r="AH56" s="3317" t="s">
        <v>198</v>
      </c>
    </row>
    <row r="57" spans="12:34">
      <c r="L57" s="3377"/>
      <c r="M57" s="3370"/>
      <c r="N57" s="3367" t="s">
        <v>3010</v>
      </c>
      <c r="O57" s="3368"/>
      <c r="P57" s="3368">
        <v>23037.5</v>
      </c>
      <c r="Q57" s="3368"/>
      <c r="R57" s="3368">
        <v>23037.5</v>
      </c>
      <c r="S57" s="3250"/>
      <c r="V57" s="3321" t="s">
        <v>2967</v>
      </c>
      <c r="W57" s="3322">
        <f>95000/4</f>
        <v>23750</v>
      </c>
      <c r="X57" s="3322">
        <v>45833.33</v>
      </c>
      <c r="Y57" s="3322">
        <f t="shared" ref="Y57:AF57" si="13">95000/4</f>
        <v>23750</v>
      </c>
      <c r="Z57" s="3322">
        <f t="shared" si="13"/>
        <v>23750</v>
      </c>
      <c r="AA57" s="3322">
        <f t="shared" si="13"/>
        <v>23750</v>
      </c>
      <c r="AB57" s="3322">
        <f t="shared" si="13"/>
        <v>23750</v>
      </c>
      <c r="AC57" s="3322">
        <f t="shared" si="13"/>
        <v>23750</v>
      </c>
      <c r="AD57" s="3322">
        <f t="shared" si="13"/>
        <v>23750</v>
      </c>
      <c r="AE57" s="3322">
        <f t="shared" si="13"/>
        <v>23750</v>
      </c>
      <c r="AF57" s="3322">
        <f t="shared" si="13"/>
        <v>23750</v>
      </c>
      <c r="AG57" s="3323">
        <f>21666.67/3</f>
        <v>7222.2233333333324</v>
      </c>
      <c r="AH57" s="3324">
        <f>SUM(W57:AG57)</f>
        <v>266805.55333333334</v>
      </c>
    </row>
    <row r="58" spans="12:34">
      <c r="L58" s="3378" t="s">
        <v>3016</v>
      </c>
      <c r="M58" s="3378"/>
      <c r="N58" s="3378"/>
      <c r="O58" s="3379">
        <v>2910.08</v>
      </c>
      <c r="P58" s="3379">
        <v>94092.43</v>
      </c>
      <c r="Q58" s="3379"/>
      <c r="R58" s="3379">
        <v>97002.510000000009</v>
      </c>
      <c r="S58" s="3250">
        <v>95472.51</v>
      </c>
      <c r="V58" s="3325" t="s">
        <v>2968</v>
      </c>
      <c r="W58" s="3322"/>
      <c r="X58" s="3326">
        <f>15000/12*2</f>
        <v>2500</v>
      </c>
      <c r="Y58" s="3326">
        <f>20000/4</f>
        <v>5000</v>
      </c>
      <c r="Z58" s="3326">
        <f>15000/4</f>
        <v>3750</v>
      </c>
      <c r="AA58" s="3327">
        <f>15000/12*2</f>
        <v>2500</v>
      </c>
      <c r="AB58" s="3326">
        <f>15000/4</f>
        <v>3750</v>
      </c>
      <c r="AC58" s="3327"/>
      <c r="AD58" s="3327"/>
      <c r="AE58" s="3327"/>
      <c r="AF58" s="3326">
        <f>15000/4</f>
        <v>3750</v>
      </c>
      <c r="AG58" s="3329"/>
      <c r="AH58" s="3324">
        <f>SUM(W58:AF58)</f>
        <v>21250</v>
      </c>
    </row>
    <row r="59" spans="12:34" ht="28">
      <c r="L59" s="3365" t="s">
        <v>3017</v>
      </c>
      <c r="M59" s="3366" t="s">
        <v>1254</v>
      </c>
      <c r="N59" s="3367" t="s">
        <v>3000</v>
      </c>
      <c r="O59" s="3368">
        <v>885.08</v>
      </c>
      <c r="P59" s="3368"/>
      <c r="Q59" s="3368"/>
      <c r="R59" s="3368">
        <v>885.08</v>
      </c>
      <c r="S59" s="3250"/>
      <c r="V59" s="3325" t="s">
        <v>3018</v>
      </c>
      <c r="W59" s="3322"/>
      <c r="X59" s="3326">
        <f>30000/12*2</f>
        <v>5000</v>
      </c>
      <c r="Y59" s="3326">
        <f>30000/12*2</f>
        <v>5000</v>
      </c>
      <c r="Z59" s="3326"/>
      <c r="AA59" s="3327"/>
      <c r="AB59" s="3327"/>
      <c r="AC59" s="3327"/>
      <c r="AD59" s="3327"/>
      <c r="AE59" s="3327"/>
      <c r="AF59" s="3328"/>
      <c r="AG59" s="3329"/>
      <c r="AH59" s="3324">
        <f>SUM(W59:AF59)</f>
        <v>10000</v>
      </c>
    </row>
    <row r="60" spans="12:34">
      <c r="L60" s="3369"/>
      <c r="M60" s="3370"/>
      <c r="N60" s="3367" t="s">
        <v>3001</v>
      </c>
      <c r="O60" s="3368"/>
      <c r="P60" s="3368">
        <v>28617.43</v>
      </c>
      <c r="Q60" s="3368"/>
      <c r="R60" s="3368">
        <v>28617.43</v>
      </c>
      <c r="S60" s="3250"/>
      <c r="V60" s="3325" t="s">
        <v>2971</v>
      </c>
      <c r="W60" s="3322"/>
      <c r="X60" s="3326"/>
      <c r="Y60" s="3326"/>
      <c r="Z60" s="3326"/>
      <c r="AA60" s="3327"/>
      <c r="AB60" s="3327"/>
      <c r="AC60" s="3327">
        <v>25000</v>
      </c>
      <c r="AD60" s="3327"/>
      <c r="AE60" s="3327"/>
      <c r="AF60" s="3328"/>
      <c r="AG60" s="3329"/>
      <c r="AH60" s="3324">
        <f>SUM(W60:AF60)</f>
        <v>25000</v>
      </c>
    </row>
    <row r="61" spans="12:34">
      <c r="L61" s="3369"/>
      <c r="M61" s="3366" t="s">
        <v>1257</v>
      </c>
      <c r="N61" s="3367" t="s">
        <v>3003</v>
      </c>
      <c r="O61" s="3368"/>
      <c r="P61" s="3368">
        <v>26675</v>
      </c>
      <c r="Q61" s="3368"/>
      <c r="R61" s="3368">
        <v>26675</v>
      </c>
      <c r="S61" s="3250"/>
      <c r="V61" s="3325" t="s">
        <v>3019</v>
      </c>
      <c r="W61" s="3322"/>
      <c r="X61" s="3326">
        <f>SUM(2519*0.46)</f>
        <v>1158.74</v>
      </c>
      <c r="Y61" s="3326"/>
      <c r="Z61" s="3326"/>
      <c r="AA61" s="3326"/>
      <c r="AB61" s="3326"/>
      <c r="AC61" s="3326"/>
      <c r="AD61" s="3327"/>
      <c r="AE61" s="3326"/>
      <c r="AF61" s="3328"/>
      <c r="AG61" s="3329"/>
      <c r="AH61" s="3324">
        <f>SUM(W61:AF61)</f>
        <v>1158.74</v>
      </c>
    </row>
    <row r="62" spans="12:34">
      <c r="L62" s="3369"/>
      <c r="M62" s="3370"/>
      <c r="N62" s="3367" t="s">
        <v>3004</v>
      </c>
      <c r="O62" s="3368">
        <v>825</v>
      </c>
      <c r="P62" s="3368"/>
      <c r="Q62" s="3368"/>
      <c r="R62" s="3368">
        <v>825</v>
      </c>
      <c r="S62" s="3250"/>
      <c r="V62" s="3325" t="s">
        <v>2982</v>
      </c>
      <c r="W62" s="3322"/>
      <c r="X62" s="3322"/>
      <c r="Y62" s="3322"/>
      <c r="Z62" s="3322"/>
      <c r="AA62" s="3322"/>
      <c r="AB62" s="3322"/>
      <c r="AC62" s="3322"/>
      <c r="AD62" s="3322"/>
      <c r="AE62" s="3322"/>
      <c r="AF62" s="3322"/>
      <c r="AG62" s="3335"/>
      <c r="AH62" s="3324">
        <f>SUM(W62:AF62)</f>
        <v>0</v>
      </c>
    </row>
    <row r="63" spans="12:34">
      <c r="L63" s="3369"/>
      <c r="M63" s="3366" t="s">
        <v>1053</v>
      </c>
      <c r="N63" s="3367" t="s">
        <v>3006</v>
      </c>
      <c r="O63" s="3368">
        <v>825</v>
      </c>
      <c r="P63" s="3368"/>
      <c r="Q63" s="3368"/>
      <c r="R63" s="3368">
        <v>825</v>
      </c>
      <c r="S63" s="3250"/>
      <c r="V63" s="3354" t="s">
        <v>1985</v>
      </c>
      <c r="W63" s="3348">
        <f t="shared" ref="W63:AH63" si="14">SUM(W57:W62)</f>
        <v>23750</v>
      </c>
      <c r="X63" s="3348">
        <f t="shared" si="14"/>
        <v>54492.07</v>
      </c>
      <c r="Y63" s="3348">
        <f t="shared" si="14"/>
        <v>33750</v>
      </c>
      <c r="Z63" s="3348">
        <f t="shared" si="14"/>
        <v>27500</v>
      </c>
      <c r="AA63" s="3348">
        <f t="shared" si="14"/>
        <v>26250</v>
      </c>
      <c r="AB63" s="3348">
        <f t="shared" si="14"/>
        <v>27500</v>
      </c>
      <c r="AC63" s="3348">
        <f t="shared" si="14"/>
        <v>48750</v>
      </c>
      <c r="AD63" s="3348">
        <f t="shared" si="14"/>
        <v>23750</v>
      </c>
      <c r="AE63" s="3348">
        <f t="shared" si="14"/>
        <v>23750</v>
      </c>
      <c r="AF63" s="3348">
        <f t="shared" si="14"/>
        <v>27500</v>
      </c>
      <c r="AG63" s="3348">
        <f t="shared" si="14"/>
        <v>7222.2233333333324</v>
      </c>
      <c r="AH63" s="3348">
        <f t="shared" si="14"/>
        <v>324214.29333333333</v>
      </c>
    </row>
    <row r="64" spans="12:34" ht="28">
      <c r="L64" s="3369"/>
      <c r="M64" s="3370"/>
      <c r="N64" s="3367" t="s">
        <v>3008</v>
      </c>
      <c r="O64" s="3368"/>
      <c r="P64" s="3368">
        <v>26675</v>
      </c>
      <c r="Q64" s="3368"/>
      <c r="R64" s="3368">
        <v>26675</v>
      </c>
      <c r="S64" s="3250"/>
      <c r="V64" s="3325" t="s">
        <v>3020</v>
      </c>
      <c r="W64" s="3328">
        <v>-356.25</v>
      </c>
      <c r="X64" s="3328"/>
      <c r="Y64" s="3328">
        <v>-506.25</v>
      </c>
      <c r="Z64" s="3328">
        <v>-412.5</v>
      </c>
      <c r="AA64" s="3328">
        <v>-393.75</v>
      </c>
      <c r="AB64" s="3328">
        <v>-412.5</v>
      </c>
      <c r="AC64" s="3328">
        <v>-731.25</v>
      </c>
      <c r="AD64" s="3328">
        <v>-356.25</v>
      </c>
      <c r="AE64" s="3328">
        <v>-356.25</v>
      </c>
      <c r="AF64" s="3328">
        <v>-412.5</v>
      </c>
      <c r="AG64" s="3329">
        <v>-108.33</v>
      </c>
      <c r="AH64" s="3324">
        <f>SUM(W64:AG64)</f>
        <v>-4045.83</v>
      </c>
    </row>
    <row r="65" spans="12:34">
      <c r="L65" s="3369"/>
      <c r="M65" s="3366" t="s">
        <v>1260</v>
      </c>
      <c r="N65" s="3367" t="s">
        <v>3009</v>
      </c>
      <c r="O65" s="3368">
        <v>825</v>
      </c>
      <c r="P65" s="3368"/>
      <c r="Q65" s="3368"/>
      <c r="R65" s="3368">
        <v>825</v>
      </c>
      <c r="S65" s="3250"/>
      <c r="V65" s="3354" t="s">
        <v>198</v>
      </c>
      <c r="W65" s="3348">
        <f t="shared" ref="W65:AH65" si="15">SUM(W63:W64)</f>
        <v>23393.75</v>
      </c>
      <c r="X65" s="3348">
        <f t="shared" si="15"/>
        <v>54492.07</v>
      </c>
      <c r="Y65" s="3348">
        <f t="shared" si="15"/>
        <v>33243.75</v>
      </c>
      <c r="Z65" s="3348">
        <f t="shared" si="15"/>
        <v>27087.5</v>
      </c>
      <c r="AA65" s="3348">
        <f t="shared" si="15"/>
        <v>25856.25</v>
      </c>
      <c r="AB65" s="3348">
        <f t="shared" si="15"/>
        <v>27087.5</v>
      </c>
      <c r="AC65" s="3348">
        <f t="shared" si="15"/>
        <v>48018.75</v>
      </c>
      <c r="AD65" s="3348">
        <f t="shared" si="15"/>
        <v>23393.75</v>
      </c>
      <c r="AE65" s="3348">
        <f t="shared" si="15"/>
        <v>23393.75</v>
      </c>
      <c r="AF65" s="3348">
        <f t="shared" si="15"/>
        <v>27087.5</v>
      </c>
      <c r="AG65" s="3348">
        <f t="shared" si="15"/>
        <v>7113.8933333333325</v>
      </c>
      <c r="AH65" s="3348">
        <f t="shared" si="15"/>
        <v>320168.46333333332</v>
      </c>
    </row>
    <row r="66" spans="12:34" ht="70.5" thickBot="1">
      <c r="L66" s="3377"/>
      <c r="M66" s="3370"/>
      <c r="N66" s="3367" t="s">
        <v>3010</v>
      </c>
      <c r="O66" s="3368"/>
      <c r="P66" s="3368">
        <v>26675</v>
      </c>
      <c r="Q66" s="3368"/>
      <c r="R66" s="3368">
        <v>26675</v>
      </c>
      <c r="S66" s="3250"/>
      <c r="V66" s="3387" t="s">
        <v>3021</v>
      </c>
      <c r="W66" s="3387"/>
      <c r="X66" s="3387"/>
      <c r="Y66" s="3387"/>
      <c r="Z66" s="3387"/>
      <c r="AA66" s="3387"/>
      <c r="AB66" s="3387"/>
      <c r="AC66" s="3387"/>
      <c r="AD66" s="3387" t="s">
        <v>1208</v>
      </c>
      <c r="AE66" s="3387"/>
      <c r="AF66" s="3387"/>
      <c r="AG66" s="3387"/>
      <c r="AH66" s="3387"/>
    </row>
    <row r="67" spans="12:34" ht="85" thickTop="1" thickBot="1">
      <c r="L67" s="3378" t="s">
        <v>3022</v>
      </c>
      <c r="M67" s="3378"/>
      <c r="N67" s="3378"/>
      <c r="O67" s="3379">
        <v>3360.08</v>
      </c>
      <c r="P67" s="3379">
        <v>108642.43</v>
      </c>
      <c r="Q67" s="3379"/>
      <c r="R67" s="3379">
        <v>112002.51000000001</v>
      </c>
      <c r="S67" s="3250">
        <v>110247.51</v>
      </c>
      <c r="V67" s="3388" t="s">
        <v>3023</v>
      </c>
      <c r="W67" s="3388"/>
      <c r="X67" s="3388"/>
      <c r="Y67" s="3388"/>
      <c r="Z67" s="3388"/>
      <c r="AA67" s="3388"/>
      <c r="AB67" s="3388"/>
      <c r="AC67" s="3388"/>
      <c r="AD67" s="3388"/>
      <c r="AE67" s="3388"/>
      <c r="AF67" s="3388"/>
      <c r="AG67" s="3388"/>
      <c r="AH67" s="3388"/>
    </row>
    <row r="68" spans="12:34" ht="127" thickTop="1" thickBot="1">
      <c r="L68" s="3365" t="s">
        <v>3024</v>
      </c>
      <c r="M68" s="3366" t="s">
        <v>1254</v>
      </c>
      <c r="N68" s="3367" t="s">
        <v>3000</v>
      </c>
      <c r="O68" s="3368">
        <v>1118.33</v>
      </c>
      <c r="P68" s="3368"/>
      <c r="Q68" s="3368"/>
      <c r="R68" s="3368">
        <v>1118.33</v>
      </c>
      <c r="S68" s="3250"/>
      <c r="V68" s="3389" t="s">
        <v>3025</v>
      </c>
      <c r="W68" s="3389"/>
      <c r="X68" s="3389"/>
      <c r="Y68" s="3389"/>
      <c r="Z68" s="3389"/>
      <c r="AA68" s="3389"/>
      <c r="AB68" s="3389"/>
      <c r="AC68" s="3389"/>
      <c r="AD68" s="3389"/>
      <c r="AE68" s="3389"/>
      <c r="AF68" s="3389"/>
      <c r="AG68" s="3389"/>
      <c r="AH68" s="3389"/>
    </row>
    <row r="69" spans="12:34" ht="14.5" thickTop="1">
      <c r="L69" s="3369"/>
      <c r="M69" s="3370"/>
      <c r="N69" s="3367" t="s">
        <v>3001</v>
      </c>
      <c r="O69" s="3368"/>
      <c r="P69" s="3368">
        <v>36159.21</v>
      </c>
      <c r="Q69" s="3368"/>
      <c r="R69" s="3368">
        <v>36159.21</v>
      </c>
      <c r="S69" s="3250"/>
    </row>
    <row r="70" spans="12:34">
      <c r="L70" s="3369"/>
      <c r="M70" s="3366" t="s">
        <v>1257</v>
      </c>
      <c r="N70" s="3367" t="s">
        <v>3003</v>
      </c>
      <c r="O70" s="3368"/>
      <c r="P70" s="3368">
        <v>35025.11</v>
      </c>
      <c r="Q70" s="3368"/>
      <c r="R70" s="3368">
        <v>35025.11</v>
      </c>
      <c r="S70" s="3250"/>
    </row>
    <row r="71" spans="12:34">
      <c r="L71" s="3369"/>
      <c r="M71" s="3370"/>
      <c r="N71" s="3367" t="s">
        <v>3004</v>
      </c>
      <c r="O71" s="3368">
        <v>1083.25</v>
      </c>
      <c r="P71" s="3368"/>
      <c r="Q71" s="3368"/>
      <c r="R71" s="3368">
        <v>1083.25</v>
      </c>
      <c r="S71" s="3250"/>
    </row>
    <row r="72" spans="12:34">
      <c r="L72" s="3369"/>
      <c r="M72" s="3366" t="s">
        <v>1053</v>
      </c>
      <c r="N72" s="3367" t="s">
        <v>3006</v>
      </c>
      <c r="O72" s="3368">
        <v>1712.5</v>
      </c>
      <c r="P72" s="3368"/>
      <c r="Q72" s="3368"/>
      <c r="R72" s="3368">
        <v>1712.5</v>
      </c>
      <c r="S72" s="3250"/>
    </row>
    <row r="73" spans="12:34">
      <c r="L73" s="3369"/>
      <c r="M73" s="3370"/>
      <c r="N73" s="3367" t="s">
        <v>3008</v>
      </c>
      <c r="O73" s="3368"/>
      <c r="P73" s="3368">
        <v>55370.84</v>
      </c>
      <c r="Q73" s="3368"/>
      <c r="R73" s="3368">
        <v>55370.84</v>
      </c>
      <c r="S73" s="3250"/>
    </row>
    <row r="74" spans="12:34">
      <c r="L74" s="3369"/>
      <c r="M74" s="3366" t="s">
        <v>1260</v>
      </c>
      <c r="N74" s="3367" t="s">
        <v>3009</v>
      </c>
      <c r="O74" s="3368">
        <v>0</v>
      </c>
      <c r="P74" s="3368"/>
      <c r="Q74" s="3368"/>
      <c r="R74" s="3368">
        <v>0</v>
      </c>
      <c r="S74" s="3250"/>
    </row>
    <row r="75" spans="12:34">
      <c r="L75" s="3369"/>
      <c r="M75" s="3366"/>
      <c r="N75" s="3367" t="s">
        <v>3010</v>
      </c>
      <c r="O75" s="3368"/>
      <c r="P75" s="3368">
        <v>0</v>
      </c>
      <c r="Q75" s="3368"/>
      <c r="R75" s="3368">
        <v>0</v>
      </c>
      <c r="S75" s="3250"/>
    </row>
    <row r="76" spans="12:34">
      <c r="L76" s="3369"/>
      <c r="M76" s="3366"/>
      <c r="N76" s="3367" t="s">
        <v>3026</v>
      </c>
      <c r="O76" s="3368">
        <v>1634.76</v>
      </c>
      <c r="P76" s="3368"/>
      <c r="Q76" s="3368"/>
      <c r="R76" s="3368">
        <v>1634.76</v>
      </c>
      <c r="S76" s="3250"/>
    </row>
    <row r="77" spans="12:34">
      <c r="L77" s="3377"/>
      <c r="M77" s="3370"/>
      <c r="N77" s="3367" t="s">
        <v>3027</v>
      </c>
      <c r="O77" s="3368"/>
      <c r="P77" s="3368">
        <v>52857.31</v>
      </c>
      <c r="Q77" s="3368"/>
      <c r="R77" s="3368">
        <v>52857.31</v>
      </c>
      <c r="S77" s="3250"/>
    </row>
    <row r="78" spans="12:34">
      <c r="L78" s="3378" t="s">
        <v>3028</v>
      </c>
      <c r="M78" s="3378"/>
      <c r="N78" s="3378"/>
      <c r="O78" s="3379">
        <v>5548.84</v>
      </c>
      <c r="P78" s="3379">
        <v>179412.47</v>
      </c>
      <c r="Q78" s="3379"/>
      <c r="R78" s="3379">
        <v>184961.31</v>
      </c>
      <c r="S78" s="3250">
        <v>184961.3016666667</v>
      </c>
    </row>
    <row r="79" spans="12:34">
      <c r="L79" s="3365" t="s">
        <v>3029</v>
      </c>
      <c r="M79" s="3366" t="s">
        <v>1254</v>
      </c>
      <c r="N79" s="3367" t="s">
        <v>3000</v>
      </c>
      <c r="O79" s="3368">
        <v>885.08</v>
      </c>
      <c r="P79" s="3368"/>
      <c r="Q79" s="3368"/>
      <c r="R79" s="3368">
        <v>885.08</v>
      </c>
      <c r="S79" s="3250"/>
    </row>
    <row r="80" spans="12:34">
      <c r="L80" s="3369"/>
      <c r="M80" s="3370"/>
      <c r="N80" s="3367" t="s">
        <v>3001</v>
      </c>
      <c r="O80" s="3368"/>
      <c r="P80" s="3368">
        <v>28617.43</v>
      </c>
      <c r="Q80" s="3368"/>
      <c r="R80" s="3368">
        <v>28617.43</v>
      </c>
      <c r="S80" s="3250"/>
    </row>
    <row r="81" spans="12:19">
      <c r="L81" s="3369"/>
      <c r="M81" s="3366" t="s">
        <v>1257</v>
      </c>
      <c r="N81" s="3367" t="s">
        <v>3003</v>
      </c>
      <c r="O81" s="3368"/>
      <c r="P81" s="3368">
        <v>26675</v>
      </c>
      <c r="Q81" s="3368"/>
      <c r="R81" s="3368">
        <v>26675</v>
      </c>
      <c r="S81" s="3250"/>
    </row>
    <row r="82" spans="12:19">
      <c r="L82" s="3369"/>
      <c r="M82" s="3370"/>
      <c r="N82" s="3367" t="s">
        <v>3004</v>
      </c>
      <c r="O82" s="3368">
        <v>825</v>
      </c>
      <c r="P82" s="3368"/>
      <c r="Q82" s="3368"/>
      <c r="R82" s="3368">
        <v>825</v>
      </c>
      <c r="S82" s="3250"/>
    </row>
    <row r="83" spans="12:19">
      <c r="L83" s="3369"/>
      <c r="M83" s="3366" t="s">
        <v>1053</v>
      </c>
      <c r="N83" s="3367" t="s">
        <v>3006</v>
      </c>
      <c r="O83" s="3368">
        <v>825</v>
      </c>
      <c r="P83" s="3368"/>
      <c r="Q83" s="3368"/>
      <c r="R83" s="3368">
        <v>825</v>
      </c>
      <c r="S83" s="3250"/>
    </row>
    <row r="84" spans="12:19">
      <c r="L84" s="3369"/>
      <c r="M84" s="3370"/>
      <c r="N84" s="3367" t="s">
        <v>3008</v>
      </c>
      <c r="O84" s="3368"/>
      <c r="P84" s="3368">
        <v>26675</v>
      </c>
      <c r="Q84" s="3368"/>
      <c r="R84" s="3368">
        <v>26675</v>
      </c>
      <c r="S84" s="3250"/>
    </row>
    <row r="85" spans="12:19">
      <c r="L85" s="3369"/>
      <c r="M85" s="3366" t="s">
        <v>1260</v>
      </c>
      <c r="N85" s="3367" t="s">
        <v>3009</v>
      </c>
      <c r="O85" s="3368">
        <v>825</v>
      </c>
      <c r="P85" s="3368"/>
      <c r="Q85" s="3368"/>
      <c r="R85" s="3368">
        <v>825</v>
      </c>
      <c r="S85" s="3250"/>
    </row>
    <row r="86" spans="12:19">
      <c r="L86" s="3377"/>
      <c r="M86" s="3370"/>
      <c r="N86" s="3367" t="s">
        <v>3010</v>
      </c>
      <c r="O86" s="3368"/>
      <c r="P86" s="3368">
        <v>26675</v>
      </c>
      <c r="Q86" s="3368"/>
      <c r="R86" s="3368">
        <v>26675</v>
      </c>
      <c r="S86" s="3250"/>
    </row>
    <row r="87" spans="12:19">
      <c r="L87" s="3378" t="s">
        <v>3030</v>
      </c>
      <c r="M87" s="3378"/>
      <c r="N87" s="3378"/>
      <c r="O87" s="3379">
        <v>3360.08</v>
      </c>
      <c r="P87" s="3379">
        <v>108642.43</v>
      </c>
      <c r="Q87" s="3379"/>
      <c r="R87" s="3379">
        <v>112002.51000000001</v>
      </c>
      <c r="S87" s="3250">
        <v>110247.51</v>
      </c>
    </row>
    <row r="88" spans="12:19">
      <c r="L88" s="3365" t="s">
        <v>3031</v>
      </c>
      <c r="M88" s="3366" t="s">
        <v>1254</v>
      </c>
      <c r="N88" s="3367" t="s">
        <v>3000</v>
      </c>
      <c r="O88" s="3368">
        <v>885.08</v>
      </c>
      <c r="P88" s="3368"/>
      <c r="Q88" s="3368"/>
      <c r="R88" s="3368">
        <v>885.08</v>
      </c>
      <c r="S88" s="3250"/>
    </row>
    <row r="89" spans="12:19">
      <c r="L89" s="3369"/>
      <c r="M89" s="3370"/>
      <c r="N89" s="3367" t="s">
        <v>3001</v>
      </c>
      <c r="O89" s="3368"/>
      <c r="P89" s="3368">
        <v>28617.43</v>
      </c>
      <c r="Q89" s="3368"/>
      <c r="R89" s="3368">
        <v>28617.43</v>
      </c>
      <c r="S89" s="3250"/>
    </row>
    <row r="90" spans="12:19">
      <c r="L90" s="3369"/>
      <c r="M90" s="3366" t="s">
        <v>1257</v>
      </c>
      <c r="N90" s="3367" t="s">
        <v>3003</v>
      </c>
      <c r="O90" s="3368"/>
      <c r="P90" s="3368">
        <v>26675</v>
      </c>
      <c r="Q90" s="3368"/>
      <c r="R90" s="3368">
        <v>26675</v>
      </c>
      <c r="S90" s="3250"/>
    </row>
    <row r="91" spans="12:19">
      <c r="L91" s="3369"/>
      <c r="M91" s="3370"/>
      <c r="N91" s="3367" t="s">
        <v>3004</v>
      </c>
      <c r="O91" s="3368">
        <v>825</v>
      </c>
      <c r="P91" s="3368"/>
      <c r="Q91" s="3368"/>
      <c r="R91" s="3368">
        <v>825</v>
      </c>
      <c r="S91" s="3250"/>
    </row>
    <row r="92" spans="12:19">
      <c r="L92" s="3369"/>
      <c r="M92" s="3366" t="s">
        <v>1053</v>
      </c>
      <c r="N92" s="3367" t="s">
        <v>3006</v>
      </c>
      <c r="O92" s="3368">
        <v>825</v>
      </c>
      <c r="P92" s="3368"/>
      <c r="Q92" s="3368"/>
      <c r="R92" s="3368">
        <v>825</v>
      </c>
      <c r="S92" s="3250"/>
    </row>
    <row r="93" spans="12:19">
      <c r="L93" s="3369"/>
      <c r="M93" s="3370"/>
      <c r="N93" s="3367" t="s">
        <v>3008</v>
      </c>
      <c r="O93" s="3368"/>
      <c r="P93" s="3368">
        <v>26675</v>
      </c>
      <c r="Q93" s="3368"/>
      <c r="R93" s="3368">
        <v>26675</v>
      </c>
      <c r="S93" s="3250"/>
    </row>
    <row r="94" spans="12:19">
      <c r="L94" s="3369"/>
      <c r="M94" s="3366" t="s">
        <v>1260</v>
      </c>
      <c r="N94" s="3367" t="s">
        <v>3009</v>
      </c>
      <c r="O94" s="3368">
        <v>825</v>
      </c>
      <c r="P94" s="3368"/>
      <c r="Q94" s="3368"/>
      <c r="R94" s="3368">
        <v>825</v>
      </c>
      <c r="S94" s="3250"/>
    </row>
    <row r="95" spans="12:19">
      <c r="L95" s="3377"/>
      <c r="M95" s="3370"/>
      <c r="N95" s="3367" t="s">
        <v>3010</v>
      </c>
      <c r="O95" s="3368"/>
      <c r="P95" s="3368">
        <v>26675</v>
      </c>
      <c r="Q95" s="3368"/>
      <c r="R95" s="3368">
        <v>26675</v>
      </c>
      <c r="S95" s="3250"/>
    </row>
    <row r="96" spans="12:19">
      <c r="L96" s="3378" t="s">
        <v>3032</v>
      </c>
      <c r="M96" s="3378"/>
      <c r="N96" s="3378"/>
      <c r="O96" s="3379">
        <v>3360.08</v>
      </c>
      <c r="P96" s="3379">
        <v>108642.43</v>
      </c>
      <c r="Q96" s="3379"/>
      <c r="R96" s="3379">
        <v>112002.51000000001</v>
      </c>
      <c r="S96" s="3250">
        <v>110247.51</v>
      </c>
    </row>
    <row r="97" spans="12:19">
      <c r="L97" s="3365" t="s">
        <v>3033</v>
      </c>
      <c r="M97" s="3370" t="s">
        <v>1254</v>
      </c>
      <c r="N97" s="3367" t="s">
        <v>3034</v>
      </c>
      <c r="O97" s="3368">
        <v>1499.25</v>
      </c>
      <c r="P97" s="3368">
        <v>48475.65</v>
      </c>
      <c r="Q97" s="3368"/>
      <c r="R97" s="3368">
        <v>49974.9</v>
      </c>
      <c r="S97" s="3250"/>
    </row>
    <row r="98" spans="12:19">
      <c r="L98" s="3377"/>
      <c r="M98" s="3370" t="s">
        <v>1261</v>
      </c>
      <c r="N98" s="3367" t="s">
        <v>3035</v>
      </c>
      <c r="O98" s="3368">
        <v>37491.83</v>
      </c>
      <c r="P98" s="3368"/>
      <c r="Q98" s="3368">
        <v>1212235.97</v>
      </c>
      <c r="R98" s="3368">
        <v>1249727.8</v>
      </c>
      <c r="S98" s="3250"/>
    </row>
    <row r="99" spans="12:19">
      <c r="L99" s="3378" t="s">
        <v>3036</v>
      </c>
      <c r="M99" s="3378"/>
      <c r="N99" s="3378"/>
      <c r="O99" s="3379">
        <v>38991.08</v>
      </c>
      <c r="P99" s="3379">
        <v>48475.65</v>
      </c>
      <c r="Q99" s="3379">
        <v>1212235.97</v>
      </c>
      <c r="R99" s="3379">
        <v>1299702.7</v>
      </c>
      <c r="S99" s="3250">
        <v>1304700.19</v>
      </c>
    </row>
    <row r="100" spans="12:19">
      <c r="L100" s="3365" t="s">
        <v>3037</v>
      </c>
      <c r="M100" s="3366" t="s">
        <v>1255</v>
      </c>
      <c r="N100" s="3367" t="s">
        <v>3038</v>
      </c>
      <c r="O100" s="3368"/>
      <c r="P100" s="3368">
        <v>24532.52</v>
      </c>
      <c r="Q100" s="3368"/>
      <c r="R100" s="3368">
        <v>24532.52</v>
      </c>
      <c r="S100" s="3250"/>
    </row>
    <row r="101" spans="12:19">
      <c r="L101" s="3369"/>
      <c r="M101" s="3370"/>
      <c r="N101" s="3367" t="s">
        <v>3039</v>
      </c>
      <c r="O101" s="3368">
        <v>758.74</v>
      </c>
      <c r="P101" s="3368"/>
      <c r="Q101" s="3368"/>
      <c r="R101" s="3368">
        <v>758.74</v>
      </c>
      <c r="S101" s="3250"/>
    </row>
    <row r="102" spans="12:19">
      <c r="L102" s="3369"/>
      <c r="M102" s="3366" t="s">
        <v>1257</v>
      </c>
      <c r="N102" s="3367" t="s">
        <v>3003</v>
      </c>
      <c r="O102" s="3368"/>
      <c r="P102" s="3368">
        <v>23037.5</v>
      </c>
      <c r="Q102" s="3368"/>
      <c r="R102" s="3368">
        <v>23037.5</v>
      </c>
      <c r="S102" s="3250"/>
    </row>
    <row r="103" spans="12:19">
      <c r="L103" s="3369"/>
      <c r="M103" s="3370"/>
      <c r="N103" s="3367" t="s">
        <v>3004</v>
      </c>
      <c r="O103" s="3368">
        <v>712.5</v>
      </c>
      <c r="P103" s="3368"/>
      <c r="Q103" s="3368"/>
      <c r="R103" s="3368">
        <v>712.5</v>
      </c>
      <c r="S103" s="3250"/>
    </row>
    <row r="104" spans="12:19">
      <c r="L104" s="3369"/>
      <c r="M104" s="3366" t="s">
        <v>1053</v>
      </c>
      <c r="N104" s="3367" t="s">
        <v>3006</v>
      </c>
      <c r="O104" s="3368">
        <v>712.5</v>
      </c>
      <c r="P104" s="3368"/>
      <c r="Q104" s="3368"/>
      <c r="R104" s="3368">
        <v>712.5</v>
      </c>
      <c r="S104" s="3250"/>
    </row>
    <row r="105" spans="12:19">
      <c r="L105" s="3369"/>
      <c r="M105" s="3370"/>
      <c r="N105" s="3367" t="s">
        <v>3008</v>
      </c>
      <c r="O105" s="3368"/>
      <c r="P105" s="3368">
        <v>23037.5</v>
      </c>
      <c r="Q105" s="3368"/>
      <c r="R105" s="3368">
        <v>23037.5</v>
      </c>
      <c r="S105" s="3250"/>
    </row>
    <row r="106" spans="12:19">
      <c r="L106" s="3369"/>
      <c r="M106" s="3366" t="s">
        <v>1260</v>
      </c>
      <c r="N106" s="3367" t="s">
        <v>3009</v>
      </c>
      <c r="O106" s="3368">
        <v>712.5</v>
      </c>
      <c r="P106" s="3368"/>
      <c r="Q106" s="3368"/>
      <c r="R106" s="3368">
        <v>712.5</v>
      </c>
      <c r="S106" s="3250"/>
    </row>
    <row r="107" spans="12:19">
      <c r="L107" s="3377"/>
      <c r="M107" s="3370"/>
      <c r="N107" s="3367" t="s">
        <v>3010</v>
      </c>
      <c r="O107" s="3368"/>
      <c r="P107" s="3368">
        <v>23037.5</v>
      </c>
      <c r="Q107" s="3368"/>
      <c r="R107" s="3368">
        <v>23037.5</v>
      </c>
      <c r="S107" s="3250"/>
    </row>
    <row r="108" spans="12:19">
      <c r="L108" s="3378" t="s">
        <v>3040</v>
      </c>
      <c r="M108" s="3378"/>
      <c r="N108" s="3378"/>
      <c r="O108" s="3379">
        <v>2896.24</v>
      </c>
      <c r="P108" s="3379">
        <v>93645.02</v>
      </c>
      <c r="Q108" s="3379"/>
      <c r="R108" s="3379">
        <v>96541.260000000009</v>
      </c>
      <c r="S108" s="3250">
        <v>95472.51</v>
      </c>
    </row>
    <row r="109" spans="12:19">
      <c r="L109" s="3365" t="s">
        <v>3041</v>
      </c>
      <c r="M109" s="3366" t="s">
        <v>1254</v>
      </c>
      <c r="N109" s="3367" t="s">
        <v>3000</v>
      </c>
      <c r="O109" s="3368">
        <v>1477.58</v>
      </c>
      <c r="P109" s="3368"/>
      <c r="Q109" s="3368"/>
      <c r="R109" s="3368">
        <v>1477.58</v>
      </c>
      <c r="S109" s="3250"/>
    </row>
    <row r="110" spans="12:19">
      <c r="L110" s="3369"/>
      <c r="M110" s="3370"/>
      <c r="N110" s="3367" t="s">
        <v>3001</v>
      </c>
      <c r="O110" s="3368"/>
      <c r="P110" s="3368">
        <v>47774.93</v>
      </c>
      <c r="Q110" s="3368"/>
      <c r="R110" s="3368">
        <v>47774.93</v>
      </c>
      <c r="S110" s="3250"/>
    </row>
    <row r="111" spans="12:19">
      <c r="L111" s="3369"/>
      <c r="M111" s="3366" t="s">
        <v>1257</v>
      </c>
      <c r="N111" s="3367" t="s">
        <v>3003</v>
      </c>
      <c r="O111" s="3368"/>
      <c r="P111" s="3368">
        <v>47287.5</v>
      </c>
      <c r="Q111" s="3368"/>
      <c r="R111" s="3368">
        <v>47287.5</v>
      </c>
      <c r="S111" s="3250"/>
    </row>
    <row r="112" spans="12:19">
      <c r="L112" s="3369"/>
      <c r="M112" s="3370"/>
      <c r="N112" s="3367" t="s">
        <v>3004</v>
      </c>
      <c r="O112" s="3368">
        <v>1462.5</v>
      </c>
      <c r="P112" s="3368"/>
      <c r="Q112" s="3368"/>
      <c r="R112" s="3368">
        <v>1462.5</v>
      </c>
      <c r="S112" s="3250"/>
    </row>
    <row r="113" spans="12:19">
      <c r="L113" s="3369"/>
      <c r="M113" s="3366" t="s">
        <v>1053</v>
      </c>
      <c r="N113" s="3367" t="s">
        <v>3006</v>
      </c>
      <c r="O113" s="3368">
        <v>1462.5</v>
      </c>
      <c r="P113" s="3368"/>
      <c r="Q113" s="3368"/>
      <c r="R113" s="3368">
        <v>1462.5</v>
      </c>
      <c r="S113" s="3250"/>
    </row>
    <row r="114" spans="12:19">
      <c r="L114" s="3369"/>
      <c r="M114" s="3370"/>
      <c r="N114" s="3367" t="s">
        <v>3008</v>
      </c>
      <c r="O114" s="3368"/>
      <c r="P114" s="3368">
        <v>47287.5</v>
      </c>
      <c r="Q114" s="3368"/>
      <c r="R114" s="3368">
        <v>47287.5</v>
      </c>
      <c r="S114" s="3250"/>
    </row>
    <row r="115" spans="12:19">
      <c r="L115" s="3369"/>
      <c r="M115" s="3366" t="s">
        <v>1260</v>
      </c>
      <c r="N115" s="3367" t="s">
        <v>3009</v>
      </c>
      <c r="O115" s="3368">
        <v>1462.5</v>
      </c>
      <c r="P115" s="3368"/>
      <c r="Q115" s="3368"/>
      <c r="R115" s="3368">
        <v>1462.5</v>
      </c>
      <c r="S115" s="3250"/>
    </row>
    <row r="116" spans="12:19">
      <c r="L116" s="3377"/>
      <c r="M116" s="3370"/>
      <c r="N116" s="3367" t="s">
        <v>3010</v>
      </c>
      <c r="O116" s="3368"/>
      <c r="P116" s="3368">
        <v>47287.5</v>
      </c>
      <c r="Q116" s="3368"/>
      <c r="R116" s="3368">
        <v>47287.5</v>
      </c>
      <c r="S116" s="3250"/>
    </row>
    <row r="117" spans="12:19">
      <c r="L117" s="3378" t="s">
        <v>3042</v>
      </c>
      <c r="M117" s="3378"/>
      <c r="N117" s="3378"/>
      <c r="O117" s="3379">
        <v>5865.08</v>
      </c>
      <c r="P117" s="3379">
        <v>189637.43</v>
      </c>
      <c r="Q117" s="3379"/>
      <c r="R117" s="3379">
        <v>195502.51</v>
      </c>
      <c r="S117" s="3250">
        <v>192495.01</v>
      </c>
    </row>
    <row r="118" spans="12:19">
      <c r="L118" s="3365" t="s">
        <v>3043</v>
      </c>
      <c r="M118" s="3366" t="s">
        <v>1254</v>
      </c>
      <c r="N118" s="3367" t="s">
        <v>3000</v>
      </c>
      <c r="O118" s="3368">
        <v>772.58</v>
      </c>
      <c r="P118" s="3368"/>
      <c r="Q118" s="3368"/>
      <c r="R118" s="3368">
        <v>772.58</v>
      </c>
      <c r="S118" s="3250"/>
    </row>
    <row r="119" spans="12:19">
      <c r="L119" s="3369"/>
      <c r="M119" s="3370"/>
      <c r="N119" s="3367" t="s">
        <v>3001</v>
      </c>
      <c r="O119" s="3368"/>
      <c r="P119" s="3368">
        <v>24979.93</v>
      </c>
      <c r="Q119" s="3368"/>
      <c r="R119" s="3368">
        <v>24979.93</v>
      </c>
      <c r="S119" s="3250"/>
    </row>
    <row r="120" spans="12:19">
      <c r="L120" s="3369"/>
      <c r="M120" s="3366" t="s">
        <v>1257</v>
      </c>
      <c r="N120" s="3367" t="s">
        <v>3003</v>
      </c>
      <c r="O120" s="3368"/>
      <c r="P120" s="3368">
        <v>23037.5</v>
      </c>
      <c r="Q120" s="3368"/>
      <c r="R120" s="3368">
        <v>23037.5</v>
      </c>
      <c r="S120" s="3250"/>
    </row>
    <row r="121" spans="12:19">
      <c r="L121" s="3369"/>
      <c r="M121" s="3370"/>
      <c r="N121" s="3367" t="s">
        <v>3004</v>
      </c>
      <c r="O121" s="3368">
        <v>712.5</v>
      </c>
      <c r="P121" s="3368"/>
      <c r="Q121" s="3368"/>
      <c r="R121" s="3368">
        <v>712.5</v>
      </c>
      <c r="S121" s="3250"/>
    </row>
    <row r="122" spans="12:19">
      <c r="L122" s="3369"/>
      <c r="M122" s="3366" t="s">
        <v>1053</v>
      </c>
      <c r="N122" s="3367" t="s">
        <v>3006</v>
      </c>
      <c r="O122" s="3368">
        <v>712.5</v>
      </c>
      <c r="P122" s="3368"/>
      <c r="Q122" s="3368"/>
      <c r="R122" s="3368">
        <v>712.5</v>
      </c>
      <c r="S122" s="3250"/>
    </row>
    <row r="123" spans="12:19">
      <c r="L123" s="3369"/>
      <c r="M123" s="3370"/>
      <c r="N123" s="3367" t="s">
        <v>3008</v>
      </c>
      <c r="O123" s="3368"/>
      <c r="P123" s="3368">
        <v>23037.5</v>
      </c>
      <c r="Q123" s="3368"/>
      <c r="R123" s="3368">
        <v>23037.5</v>
      </c>
      <c r="S123" s="3250"/>
    </row>
    <row r="124" spans="12:19">
      <c r="L124" s="3369"/>
      <c r="M124" s="3366" t="s">
        <v>1260</v>
      </c>
      <c r="N124" s="3367" t="s">
        <v>3009</v>
      </c>
      <c r="O124" s="3368">
        <v>787.5</v>
      </c>
      <c r="P124" s="3368"/>
      <c r="Q124" s="3368"/>
      <c r="R124" s="3368">
        <v>787.5</v>
      </c>
      <c r="S124" s="3250"/>
    </row>
    <row r="125" spans="12:19">
      <c r="L125" s="3377"/>
      <c r="M125" s="3370"/>
      <c r="N125" s="3367" t="s">
        <v>3010</v>
      </c>
      <c r="O125" s="3368"/>
      <c r="P125" s="3368">
        <v>25462.5</v>
      </c>
      <c r="Q125" s="3368"/>
      <c r="R125" s="3368">
        <v>25462.5</v>
      </c>
      <c r="S125" s="3250"/>
    </row>
    <row r="126" spans="12:19">
      <c r="L126" s="3378" t="s">
        <v>3044</v>
      </c>
      <c r="M126" s="3378"/>
      <c r="N126" s="3378"/>
      <c r="O126" s="3379">
        <v>2985.08</v>
      </c>
      <c r="P126" s="3379">
        <v>96517.43</v>
      </c>
      <c r="Q126" s="3379"/>
      <c r="R126" s="3379">
        <v>99502.510000000009</v>
      </c>
      <c r="S126" s="3250">
        <v>97935.01</v>
      </c>
    </row>
    <row r="127" spans="12:19">
      <c r="L127" s="3365" t="s">
        <v>3045</v>
      </c>
      <c r="M127" s="3366" t="s">
        <v>1254</v>
      </c>
      <c r="N127" s="3367" t="s">
        <v>3000</v>
      </c>
      <c r="O127" s="3368">
        <v>772.58</v>
      </c>
      <c r="P127" s="3368"/>
      <c r="Q127" s="3368"/>
      <c r="R127" s="3368">
        <v>772.58</v>
      </c>
      <c r="S127" s="3250"/>
    </row>
    <row r="128" spans="12:19">
      <c r="L128" s="3369"/>
      <c r="M128" s="3370"/>
      <c r="N128" s="3367" t="s">
        <v>3001</v>
      </c>
      <c r="O128" s="3368"/>
      <c r="P128" s="3368">
        <v>24979.93</v>
      </c>
      <c r="Q128" s="3368"/>
      <c r="R128" s="3368">
        <v>24979.93</v>
      </c>
      <c r="S128" s="3250"/>
    </row>
    <row r="129" spans="12:19">
      <c r="L129" s="3369"/>
      <c r="M129" s="3366" t="s">
        <v>1257</v>
      </c>
      <c r="N129" s="3367" t="s">
        <v>3003</v>
      </c>
      <c r="O129" s="3368"/>
      <c r="P129" s="3368">
        <v>23037.5</v>
      </c>
      <c r="Q129" s="3368"/>
      <c r="R129" s="3368">
        <v>23037.5</v>
      </c>
      <c r="S129" s="3250"/>
    </row>
    <row r="130" spans="12:19">
      <c r="L130" s="3369"/>
      <c r="M130" s="3370"/>
      <c r="N130" s="3367" t="s">
        <v>3004</v>
      </c>
      <c r="O130" s="3368">
        <v>712.5</v>
      </c>
      <c r="P130" s="3368"/>
      <c r="Q130" s="3368"/>
      <c r="R130" s="3368">
        <v>712.5</v>
      </c>
      <c r="S130" s="3250"/>
    </row>
    <row r="131" spans="12:19">
      <c r="L131" s="3369"/>
      <c r="M131" s="3366" t="s">
        <v>1053</v>
      </c>
      <c r="N131" s="3367" t="s">
        <v>3006</v>
      </c>
      <c r="O131" s="3368">
        <v>712.5</v>
      </c>
      <c r="P131" s="3368"/>
      <c r="Q131" s="3368"/>
      <c r="R131" s="3368">
        <v>712.5</v>
      </c>
      <c r="S131" s="3250"/>
    </row>
    <row r="132" spans="12:19">
      <c r="L132" s="3369"/>
      <c r="M132" s="3370"/>
      <c r="N132" s="3367" t="s">
        <v>3008</v>
      </c>
      <c r="O132" s="3368"/>
      <c r="P132" s="3368">
        <v>23037.5</v>
      </c>
      <c r="Q132" s="3368"/>
      <c r="R132" s="3368">
        <v>23037.5</v>
      </c>
      <c r="S132" s="3250"/>
    </row>
    <row r="133" spans="12:19">
      <c r="L133" s="3369"/>
      <c r="M133" s="3366" t="s">
        <v>1260</v>
      </c>
      <c r="N133" s="3367" t="s">
        <v>3009</v>
      </c>
      <c r="O133" s="3368">
        <v>712.5</v>
      </c>
      <c r="P133" s="3368"/>
      <c r="Q133" s="3368"/>
      <c r="R133" s="3368">
        <v>712.5</v>
      </c>
      <c r="S133" s="3250"/>
    </row>
    <row r="134" spans="12:19">
      <c r="L134" s="3377"/>
      <c r="M134" s="3370"/>
      <c r="N134" s="3367" t="s">
        <v>3010</v>
      </c>
      <c r="O134" s="3368"/>
      <c r="P134" s="3368">
        <v>23037.5</v>
      </c>
      <c r="Q134" s="3368"/>
      <c r="R134" s="3368">
        <v>23037.5</v>
      </c>
      <c r="S134" s="3250"/>
    </row>
    <row r="135" spans="12:19">
      <c r="L135" s="3378" t="s">
        <v>3046</v>
      </c>
      <c r="M135" s="3378"/>
      <c r="N135" s="3378"/>
      <c r="O135" s="3379">
        <v>2910.08</v>
      </c>
      <c r="P135" s="3379">
        <v>94092.43</v>
      </c>
      <c r="Q135" s="3379"/>
      <c r="R135" s="3379">
        <v>97002.510000000009</v>
      </c>
      <c r="S135" s="3250">
        <v>95472.51</v>
      </c>
    </row>
    <row r="136" spans="12:19">
      <c r="L136" s="3365" t="s">
        <v>3047</v>
      </c>
      <c r="M136" s="3366" t="s">
        <v>1261</v>
      </c>
      <c r="N136" s="3367" t="s">
        <v>3048</v>
      </c>
      <c r="O136" s="3368"/>
      <c r="P136" s="3368">
        <v>7005.55</v>
      </c>
      <c r="Q136" s="3368"/>
      <c r="R136" s="3368">
        <v>7005.55</v>
      </c>
      <c r="S136" s="3250"/>
    </row>
    <row r="137" spans="12:19">
      <c r="L137" s="3377"/>
      <c r="M137" s="3370"/>
      <c r="N137" s="3367" t="s">
        <v>3049</v>
      </c>
      <c r="O137" s="3368">
        <v>216.67</v>
      </c>
      <c r="P137" s="3368"/>
      <c r="Q137" s="3368"/>
      <c r="R137" s="3368">
        <v>216.67</v>
      </c>
      <c r="S137" s="3250"/>
    </row>
    <row r="138" spans="12:19" ht="14.5" thickBot="1">
      <c r="L138" s="3378" t="s">
        <v>3050</v>
      </c>
      <c r="M138" s="3378"/>
      <c r="N138" s="3378"/>
      <c r="O138" s="3379">
        <v>216.67</v>
      </c>
      <c r="P138" s="3379">
        <v>7005.55</v>
      </c>
      <c r="Q138" s="3379"/>
      <c r="R138" s="3379">
        <v>7222.22</v>
      </c>
      <c r="S138" s="3250">
        <v>7113.8933333333325</v>
      </c>
    </row>
    <row r="139" spans="12:19" ht="14.5" thickTop="1">
      <c r="L139" s="3391" t="s">
        <v>978</v>
      </c>
      <c r="M139" s="3391"/>
      <c r="N139" s="3391"/>
      <c r="O139" s="3392">
        <v>76063.47</v>
      </c>
      <c r="P139" s="3393">
        <v>1247148.1300000001</v>
      </c>
      <c r="Q139" s="3392">
        <v>1212235.97</v>
      </c>
      <c r="R139" s="3392">
        <v>2535447.5700000008</v>
      </c>
    </row>
    <row r="140" spans="12:19">
      <c r="O140" s="3394">
        <f>-T139</f>
        <v>0</v>
      </c>
      <c r="P140" s="2128"/>
      <c r="Q140" s="3395">
        <f>SUM(P139:Q139)</f>
        <v>2459384.1</v>
      </c>
      <c r="R140" s="3394">
        <f>-T139</f>
        <v>0</v>
      </c>
    </row>
    <row r="141" spans="12:19">
      <c r="N141" s="3396" t="s">
        <v>444</v>
      </c>
      <c r="O141" s="3397">
        <f>SUM(O139:O140)</f>
        <v>76063.47</v>
      </c>
      <c r="P141" s="3398"/>
      <c r="Q141" s="3398"/>
      <c r="R141" s="3397">
        <f>SUM(R139:R140)</f>
        <v>2535447.5700000008</v>
      </c>
    </row>
    <row r="142" spans="12:19">
      <c r="O142" s="2128"/>
      <c r="P142" s="2128"/>
      <c r="Q142" s="2128"/>
      <c r="R142" s="2128"/>
    </row>
    <row r="143" spans="12:19">
      <c r="O143" s="2128"/>
      <c r="P143" s="2128"/>
      <c r="Q143" s="2128"/>
      <c r="R143" s="2128"/>
    </row>
    <row r="144" spans="12:19">
      <c r="O144" s="2128"/>
      <c r="P144" s="2128"/>
      <c r="Q144" s="2128"/>
      <c r="R144" s="2128"/>
    </row>
    <row r="145" spans="15:18">
      <c r="O145" s="2128"/>
      <c r="P145" s="2128"/>
      <c r="Q145" s="2128"/>
      <c r="R145" s="2128"/>
    </row>
    <row r="146" spans="15:18">
      <c r="O146" s="2128"/>
      <c r="P146" s="2128"/>
      <c r="Q146" s="2128"/>
      <c r="R146" s="2128"/>
    </row>
    <row r="147" spans="15:18">
      <c r="O147" s="2128"/>
      <c r="P147" s="2128"/>
      <c r="Q147" s="2128"/>
      <c r="R147" s="2128"/>
    </row>
    <row r="148" spans="15:18">
      <c r="O148" s="2128"/>
      <c r="P148" s="2128"/>
      <c r="Q148" s="2128"/>
      <c r="R148" s="2128"/>
    </row>
    <row r="149" spans="15:18">
      <c r="O149" s="2128"/>
      <c r="P149" s="2128"/>
      <c r="Q149" s="2128"/>
      <c r="R149" s="2128"/>
    </row>
    <row r="150" spans="15:18">
      <c r="O150" s="2128"/>
      <c r="P150" s="2128"/>
      <c r="Q150" s="2128"/>
      <c r="R150" s="2128"/>
    </row>
    <row r="151" spans="15:18">
      <c r="O151" s="2128"/>
      <c r="P151" s="2128"/>
      <c r="Q151" s="2128"/>
      <c r="R151" s="2128"/>
    </row>
    <row r="152" spans="15:18">
      <c r="O152" s="2128"/>
      <c r="P152" s="2128"/>
      <c r="Q152" s="2128"/>
      <c r="R152" s="2128"/>
    </row>
    <row r="153" spans="15:18">
      <c r="O153" s="2128"/>
      <c r="P153" s="2128"/>
      <c r="Q153" s="2128"/>
      <c r="R153" s="2128"/>
    </row>
    <row r="154" spans="15:18">
      <c r="O154" s="2128"/>
      <c r="P154" s="2128"/>
      <c r="Q154" s="2128"/>
      <c r="R154" s="2128"/>
    </row>
    <row r="155" spans="15:18">
      <c r="O155" s="2128"/>
      <c r="P155" s="2128"/>
      <c r="Q155" s="2128"/>
      <c r="R155" s="2128"/>
    </row>
    <row r="156" spans="15:18">
      <c r="O156" s="2128"/>
      <c r="P156" s="2128"/>
      <c r="Q156" s="2128"/>
      <c r="R156" s="2128"/>
    </row>
    <row r="157" spans="15:18">
      <c r="O157" s="2128"/>
      <c r="P157" s="2128"/>
      <c r="Q157" s="2128"/>
      <c r="R157" s="2128"/>
    </row>
    <row r="158" spans="15:18">
      <c r="O158" s="2128"/>
      <c r="P158" s="2128"/>
      <c r="Q158" s="2128"/>
      <c r="R158" s="2128"/>
    </row>
    <row r="159" spans="15:18">
      <c r="O159" s="2128"/>
      <c r="P159" s="2128"/>
      <c r="Q159" s="2128"/>
      <c r="R159" s="2128"/>
    </row>
    <row r="160" spans="15:18">
      <c r="O160" s="2128"/>
      <c r="P160" s="2128"/>
      <c r="Q160" s="2128"/>
      <c r="R160" s="2128"/>
    </row>
    <row r="161" spans="15:18">
      <c r="O161" s="2128"/>
      <c r="P161" s="2128"/>
      <c r="Q161" s="2128"/>
      <c r="R161" s="2128"/>
    </row>
    <row r="162" spans="15:18">
      <c r="O162" s="2128"/>
      <c r="P162" s="2128"/>
      <c r="Q162" s="2128"/>
      <c r="R162" s="2128"/>
    </row>
    <row r="163" spans="15:18">
      <c r="O163" s="2128"/>
      <c r="P163" s="2128"/>
      <c r="Q163" s="2128"/>
      <c r="R163" s="2128"/>
    </row>
    <row r="164" spans="15:18">
      <c r="O164" s="2128"/>
      <c r="P164" s="2128"/>
      <c r="Q164" s="2128"/>
      <c r="R164" s="2128"/>
    </row>
    <row r="165" spans="15:18">
      <c r="O165" s="2128"/>
      <c r="P165" s="2128"/>
      <c r="Q165" s="2128"/>
      <c r="R165" s="2128"/>
    </row>
    <row r="166" spans="15:18">
      <c r="O166" s="2128"/>
      <c r="P166" s="2128"/>
      <c r="Q166" s="2128"/>
      <c r="R166" s="2128"/>
    </row>
    <row r="167" spans="15:18">
      <c r="O167" s="2128"/>
      <c r="P167" s="2128"/>
      <c r="Q167" s="2128"/>
      <c r="R167" s="2128"/>
    </row>
    <row r="168" spans="15:18">
      <c r="O168" s="2128"/>
      <c r="P168" s="2128"/>
      <c r="Q168" s="2128"/>
      <c r="R168" s="2128"/>
    </row>
    <row r="169" spans="15:18">
      <c r="O169" s="2128"/>
      <c r="P169" s="2128"/>
      <c r="Q169" s="2128"/>
      <c r="R169" s="2128"/>
    </row>
    <row r="170" spans="15:18">
      <c r="O170" s="2128"/>
      <c r="P170" s="2128"/>
      <c r="Q170" s="2128"/>
      <c r="R170" s="2128"/>
    </row>
    <row r="171" spans="15:18">
      <c r="O171" s="2128"/>
      <c r="P171" s="2128"/>
      <c r="Q171" s="2128"/>
      <c r="R171" s="2128"/>
    </row>
    <row r="172" spans="15:18">
      <c r="O172" s="2128"/>
      <c r="P172" s="2128"/>
      <c r="Q172" s="2128"/>
      <c r="R172" s="2128"/>
    </row>
    <row r="173" spans="15:18">
      <c r="O173" s="2128"/>
      <c r="P173" s="2128"/>
      <c r="Q173" s="2128"/>
      <c r="R173" s="2128"/>
    </row>
    <row r="174" spans="15:18">
      <c r="O174" s="2128"/>
      <c r="P174" s="2128"/>
      <c r="Q174" s="2128"/>
      <c r="R174" s="2128"/>
    </row>
    <row r="175" spans="15:18">
      <c r="O175" s="2128"/>
      <c r="P175" s="2128"/>
      <c r="Q175" s="2128"/>
      <c r="R175" s="2128"/>
    </row>
    <row r="176" spans="15:18">
      <c r="O176" s="2128"/>
      <c r="P176" s="2128"/>
      <c r="Q176" s="2128"/>
      <c r="R176" s="2128"/>
    </row>
    <row r="177" spans="15:18">
      <c r="O177" s="2128"/>
      <c r="P177" s="2128"/>
      <c r="Q177" s="2128"/>
      <c r="R177" s="2128"/>
    </row>
    <row r="178" spans="15:18">
      <c r="O178" s="2128"/>
      <c r="P178" s="2128"/>
      <c r="Q178" s="2128"/>
      <c r="R178" s="2128"/>
    </row>
    <row r="179" spans="15:18">
      <c r="O179" s="2128"/>
      <c r="P179" s="2128"/>
      <c r="Q179" s="2128"/>
      <c r="R179" s="2128"/>
    </row>
    <row r="180" spans="15:18">
      <c r="O180" s="2128"/>
      <c r="P180" s="2128"/>
      <c r="Q180" s="2128"/>
      <c r="R180" s="2128"/>
    </row>
    <row r="181" spans="15:18">
      <c r="O181" s="2128"/>
      <c r="P181" s="2128"/>
      <c r="Q181" s="2128"/>
      <c r="R181" s="2128"/>
    </row>
    <row r="182" spans="15:18">
      <c r="O182" s="2128"/>
      <c r="P182" s="2128"/>
      <c r="Q182" s="2128"/>
      <c r="R182" s="2128"/>
    </row>
    <row r="183" spans="15:18">
      <c r="O183" s="2128"/>
      <c r="P183" s="2128"/>
      <c r="Q183" s="2128"/>
      <c r="R183" s="2128"/>
    </row>
    <row r="184" spans="15:18">
      <c r="O184" s="2128"/>
      <c r="P184" s="2128"/>
      <c r="Q184" s="2128"/>
      <c r="R184" s="2128"/>
    </row>
    <row r="185" spans="15:18">
      <c r="O185" s="2128"/>
      <c r="P185" s="2128"/>
      <c r="Q185" s="2128"/>
      <c r="R185" s="2128"/>
    </row>
    <row r="186" spans="15:18">
      <c r="O186" s="2128"/>
      <c r="P186" s="2128"/>
      <c r="Q186" s="2128"/>
      <c r="R186" s="2128"/>
    </row>
    <row r="187" spans="15:18">
      <c r="O187" s="2128"/>
      <c r="P187" s="2128"/>
      <c r="Q187" s="2128"/>
      <c r="R187" s="2128"/>
    </row>
    <row r="188" spans="15:18">
      <c r="O188" s="2128"/>
      <c r="P188" s="2128"/>
      <c r="Q188" s="2128"/>
      <c r="R188" s="2128"/>
    </row>
    <row r="189" spans="15:18">
      <c r="O189" s="2128"/>
      <c r="P189" s="2128"/>
      <c r="Q189" s="2128"/>
      <c r="R189" s="2128"/>
    </row>
    <row r="190" spans="15:18">
      <c r="O190" s="2128"/>
      <c r="P190" s="2128"/>
      <c r="Q190" s="2128"/>
      <c r="R190" s="2128"/>
    </row>
    <row r="191" spans="15:18">
      <c r="O191" s="2128"/>
      <c r="P191" s="2128"/>
      <c r="Q191" s="2128"/>
      <c r="R191" s="2128"/>
    </row>
    <row r="192" spans="15:18">
      <c r="O192" s="2128"/>
      <c r="P192" s="2128"/>
      <c r="Q192" s="2128"/>
      <c r="R192" s="2128"/>
    </row>
    <row r="193" spans="15:18">
      <c r="O193" s="2128"/>
      <c r="P193" s="2128"/>
      <c r="Q193" s="2128"/>
      <c r="R193" s="2128"/>
    </row>
    <row r="194" spans="15:18">
      <c r="O194" s="2128"/>
      <c r="P194" s="2128"/>
      <c r="Q194" s="2128"/>
      <c r="R194" s="2128"/>
    </row>
    <row r="195" spans="15:18">
      <c r="O195" s="2128"/>
      <c r="P195" s="2128"/>
      <c r="Q195" s="2128"/>
      <c r="R195" s="2128"/>
    </row>
    <row r="196" spans="15:18">
      <c r="O196" s="2128"/>
      <c r="P196" s="2128"/>
      <c r="Q196" s="2128"/>
      <c r="R196" s="2128"/>
    </row>
    <row r="197" spans="15:18">
      <c r="O197" s="2128"/>
      <c r="P197" s="2128"/>
      <c r="Q197" s="2128"/>
      <c r="R197" s="2128"/>
    </row>
    <row r="198" spans="15:18">
      <c r="O198" s="2128"/>
      <c r="P198" s="2128"/>
      <c r="Q198" s="2128"/>
      <c r="R198" s="2128"/>
    </row>
    <row r="199" spans="15:18">
      <c r="O199" s="2128"/>
      <c r="P199" s="2128"/>
      <c r="Q199" s="2128"/>
      <c r="R199" s="2128"/>
    </row>
    <row r="200" spans="15:18">
      <c r="O200" s="2128"/>
      <c r="P200" s="2128"/>
      <c r="Q200" s="2128"/>
      <c r="R200" s="2128"/>
    </row>
    <row r="201" spans="15:18">
      <c r="O201" s="2128"/>
      <c r="P201" s="2128"/>
      <c r="Q201" s="2128"/>
      <c r="R201" s="2128"/>
    </row>
    <row r="202" spans="15:18">
      <c r="O202" s="2128"/>
      <c r="P202" s="2128"/>
      <c r="Q202" s="2128"/>
      <c r="R202" s="2128"/>
    </row>
    <row r="203" spans="15:18">
      <c r="O203" s="2128"/>
      <c r="P203" s="2128"/>
      <c r="Q203" s="2128"/>
      <c r="R203" s="2128"/>
    </row>
    <row r="204" spans="15:18">
      <c r="O204" s="2128"/>
      <c r="P204" s="2128"/>
      <c r="Q204" s="2128"/>
      <c r="R204" s="2128"/>
    </row>
    <row r="205" spans="15:18">
      <c r="O205" s="2128"/>
      <c r="P205" s="2128"/>
      <c r="Q205" s="2128"/>
      <c r="R205" s="2128"/>
    </row>
    <row r="206" spans="15:18">
      <c r="O206" s="2128"/>
      <c r="P206" s="2128"/>
      <c r="Q206" s="2128"/>
      <c r="R206" s="2128"/>
    </row>
    <row r="207" spans="15:18">
      <c r="O207" s="2128"/>
      <c r="P207" s="2128"/>
      <c r="Q207" s="2128"/>
      <c r="R207" s="2128"/>
    </row>
    <row r="208" spans="15:18">
      <c r="O208" s="2128"/>
      <c r="P208" s="2128"/>
      <c r="Q208" s="2128"/>
      <c r="R208" s="2128"/>
    </row>
    <row r="209" spans="15:18">
      <c r="O209" s="2128"/>
      <c r="P209" s="2128"/>
      <c r="Q209" s="2128"/>
      <c r="R209" s="2128"/>
    </row>
    <row r="210" spans="15:18">
      <c r="O210" s="2128"/>
      <c r="P210" s="2128"/>
      <c r="Q210" s="2128"/>
      <c r="R210" s="2128"/>
    </row>
    <row r="211" spans="15:18">
      <c r="O211" s="2128"/>
      <c r="P211" s="2128"/>
      <c r="Q211" s="2128"/>
      <c r="R211" s="2128"/>
    </row>
    <row r="212" spans="15:18">
      <c r="O212" s="2128"/>
      <c r="P212" s="2128"/>
      <c r="Q212" s="2128"/>
      <c r="R212" s="2128"/>
    </row>
    <row r="213" spans="15:18">
      <c r="O213" s="2128"/>
      <c r="P213" s="2128"/>
      <c r="Q213" s="2128"/>
      <c r="R213" s="2128"/>
    </row>
    <row r="214" spans="15:18">
      <c r="O214" s="2128"/>
      <c r="P214" s="2128"/>
      <c r="Q214" s="2128"/>
      <c r="R214" s="2128"/>
    </row>
    <row r="215" spans="15:18">
      <c r="O215" s="2128"/>
      <c r="P215" s="2128"/>
      <c r="Q215" s="2128"/>
      <c r="R215" s="2128"/>
    </row>
    <row r="216" spans="15:18">
      <c r="O216" s="2128"/>
      <c r="P216" s="2128"/>
      <c r="Q216" s="2128"/>
      <c r="R216" s="2128"/>
    </row>
    <row r="217" spans="15:18">
      <c r="O217" s="2128"/>
      <c r="P217" s="2128"/>
      <c r="Q217" s="2128"/>
      <c r="R217" s="2128"/>
    </row>
    <row r="218" spans="15:18">
      <c r="O218" s="2128"/>
      <c r="P218" s="2128"/>
      <c r="Q218" s="2128"/>
      <c r="R218" s="2128"/>
    </row>
    <row r="219" spans="15:18">
      <c r="O219" s="2128"/>
      <c r="P219" s="2128"/>
      <c r="Q219" s="2128"/>
      <c r="R219" s="2128"/>
    </row>
    <row r="220" spans="15:18">
      <c r="O220" s="2128"/>
      <c r="P220" s="2128"/>
      <c r="Q220" s="2128"/>
      <c r="R220" s="2128"/>
    </row>
    <row r="221" spans="15:18">
      <c r="O221" s="2128"/>
      <c r="P221" s="2128"/>
      <c r="Q221" s="2128"/>
      <c r="R221" s="2128"/>
    </row>
    <row r="222" spans="15:18">
      <c r="O222" s="2128"/>
      <c r="P222" s="2128"/>
      <c r="Q222" s="2128"/>
      <c r="R222" s="2128"/>
    </row>
    <row r="223" spans="15:18">
      <c r="O223" s="2128"/>
      <c r="P223" s="2128"/>
      <c r="Q223" s="2128"/>
      <c r="R223" s="2128"/>
    </row>
    <row r="224" spans="15:18">
      <c r="O224" s="2128"/>
      <c r="P224" s="2128"/>
      <c r="Q224" s="2128"/>
      <c r="R224" s="2128"/>
    </row>
    <row r="225" spans="15:18">
      <c r="O225" s="2128"/>
      <c r="P225" s="2128"/>
      <c r="Q225" s="2128"/>
      <c r="R225" s="2128"/>
    </row>
    <row r="226" spans="15:18">
      <c r="O226" s="2128"/>
      <c r="P226" s="2128"/>
      <c r="Q226" s="2128"/>
      <c r="R226" s="2128"/>
    </row>
    <row r="227" spans="15:18">
      <c r="O227" s="2128"/>
      <c r="P227" s="2128"/>
      <c r="Q227" s="2128"/>
      <c r="R227" s="2128"/>
    </row>
    <row r="228" spans="15:18">
      <c r="O228" s="2128"/>
      <c r="P228" s="2128"/>
      <c r="Q228" s="2128"/>
      <c r="R228" s="2128"/>
    </row>
    <row r="229" spans="15:18">
      <c r="O229" s="2128"/>
      <c r="P229" s="2128"/>
      <c r="Q229" s="2128"/>
      <c r="R229" s="2128"/>
    </row>
    <row r="230" spans="15:18">
      <c r="O230" s="2128"/>
      <c r="P230" s="2128"/>
      <c r="Q230" s="2128"/>
      <c r="R230" s="2128"/>
    </row>
    <row r="231" spans="15:18">
      <c r="O231" s="2128"/>
      <c r="P231" s="2128"/>
      <c r="Q231" s="2128"/>
      <c r="R231" s="2128"/>
    </row>
    <row r="232" spans="15:18">
      <c r="O232" s="2128"/>
      <c r="P232" s="2128"/>
      <c r="Q232" s="2128"/>
      <c r="R232" s="2128"/>
    </row>
    <row r="233" spans="15:18">
      <c r="O233" s="2128"/>
      <c r="P233" s="2128"/>
      <c r="Q233" s="2128"/>
      <c r="R233" s="2128"/>
    </row>
    <row r="234" spans="15:18">
      <c r="O234" s="2128"/>
      <c r="P234" s="2128"/>
      <c r="Q234" s="2128"/>
      <c r="R234" s="2128"/>
    </row>
    <row r="235" spans="15:18">
      <c r="O235" s="2128"/>
      <c r="P235" s="2128"/>
      <c r="Q235" s="2128"/>
      <c r="R235" s="2128"/>
    </row>
    <row r="236" spans="15:18">
      <c r="O236" s="2128"/>
      <c r="P236" s="2128"/>
      <c r="Q236" s="2128"/>
      <c r="R236" s="2128"/>
    </row>
    <row r="237" spans="15:18">
      <c r="O237" s="2128"/>
      <c r="P237" s="2128"/>
      <c r="Q237" s="2128"/>
      <c r="R237" s="2128"/>
    </row>
    <row r="238" spans="15:18">
      <c r="O238" s="2128"/>
      <c r="P238" s="2128"/>
      <c r="Q238" s="2128"/>
      <c r="R238" s="2128"/>
    </row>
    <row r="239" spans="15:18">
      <c r="O239" s="2128"/>
      <c r="P239" s="2128"/>
      <c r="Q239" s="2128"/>
      <c r="R239" s="2128"/>
    </row>
    <row r="240" spans="15:18">
      <c r="O240" s="2128"/>
      <c r="P240" s="2128"/>
      <c r="Q240" s="2128"/>
      <c r="R240" s="2128"/>
    </row>
    <row r="241" spans="15:18">
      <c r="O241" s="2128"/>
      <c r="P241" s="2128"/>
      <c r="Q241" s="2128"/>
      <c r="R241" s="2128"/>
    </row>
    <row r="242" spans="15:18">
      <c r="O242" s="2128"/>
      <c r="P242" s="2128"/>
      <c r="Q242" s="2128"/>
      <c r="R242" s="2128"/>
    </row>
    <row r="243" spans="15:18">
      <c r="O243" s="2128"/>
      <c r="P243" s="2128"/>
      <c r="Q243" s="2128"/>
      <c r="R243" s="2128"/>
    </row>
    <row r="244" spans="15:18">
      <c r="O244" s="2128"/>
      <c r="P244" s="2128"/>
      <c r="Q244" s="2128"/>
      <c r="R244" s="2128"/>
    </row>
    <row r="245" spans="15:18">
      <c r="O245" s="2128"/>
      <c r="P245" s="2128"/>
      <c r="Q245" s="2128"/>
      <c r="R245" s="2128"/>
    </row>
    <row r="246" spans="15:18">
      <c r="O246" s="2128"/>
      <c r="P246" s="2128"/>
      <c r="Q246" s="2128"/>
      <c r="R246" s="2128"/>
    </row>
    <row r="247" spans="15:18">
      <c r="O247" s="2128"/>
      <c r="P247" s="2128"/>
      <c r="Q247" s="2128"/>
      <c r="R247" s="2128"/>
    </row>
    <row r="248" spans="15:18">
      <c r="O248" s="2128"/>
      <c r="P248" s="2128"/>
      <c r="Q248" s="2128"/>
      <c r="R248" s="2128"/>
    </row>
    <row r="249" spans="15:18">
      <c r="O249" s="2128"/>
      <c r="P249" s="2128"/>
      <c r="Q249" s="2128"/>
      <c r="R249" s="2128"/>
    </row>
    <row r="250" spans="15:18">
      <c r="O250" s="2128"/>
      <c r="P250" s="2128"/>
      <c r="Q250" s="2128"/>
      <c r="R250" s="2128"/>
    </row>
    <row r="251" spans="15:18">
      <c r="O251" s="2128"/>
      <c r="P251" s="2128"/>
      <c r="Q251" s="2128"/>
      <c r="R251" s="2128"/>
    </row>
    <row r="252" spans="15:18">
      <c r="O252" s="2128"/>
      <c r="P252" s="2128"/>
      <c r="Q252" s="2128"/>
      <c r="R252" s="2128"/>
    </row>
    <row r="253" spans="15:18">
      <c r="O253" s="2128"/>
      <c r="P253" s="2128"/>
      <c r="Q253" s="2128"/>
      <c r="R253" s="2128"/>
    </row>
    <row r="254" spans="15:18">
      <c r="O254" s="2128"/>
      <c r="P254" s="2128"/>
      <c r="Q254" s="2128"/>
      <c r="R254" s="2128"/>
    </row>
    <row r="255" spans="15:18">
      <c r="O255" s="2128"/>
      <c r="P255" s="2128"/>
      <c r="Q255" s="2128"/>
      <c r="R255" s="2128"/>
    </row>
    <row r="256" spans="15:18">
      <c r="O256" s="2128"/>
      <c r="P256" s="2128"/>
      <c r="Q256" s="2128"/>
      <c r="R256" s="2128"/>
    </row>
    <row r="257" spans="15:18">
      <c r="O257" s="2128"/>
      <c r="P257" s="2128"/>
      <c r="Q257" s="2128"/>
      <c r="R257" s="2128"/>
    </row>
    <row r="258" spans="15:18">
      <c r="O258" s="2128"/>
      <c r="P258" s="2128"/>
      <c r="Q258" s="2128"/>
      <c r="R258" s="2128"/>
    </row>
    <row r="259" spans="15:18">
      <c r="O259" s="2128"/>
      <c r="P259" s="2128"/>
      <c r="Q259" s="2128"/>
      <c r="R259" s="2128"/>
    </row>
    <row r="260" spans="15:18">
      <c r="O260" s="2128"/>
      <c r="P260" s="2128"/>
      <c r="Q260" s="2128"/>
      <c r="R260" s="2128"/>
    </row>
    <row r="261" spans="15:18">
      <c r="O261" s="2128"/>
      <c r="P261" s="2128"/>
      <c r="Q261" s="2128"/>
      <c r="R261" s="2128"/>
    </row>
    <row r="262" spans="15:18">
      <c r="O262" s="2128"/>
      <c r="P262" s="2128"/>
      <c r="Q262" s="2128"/>
      <c r="R262" s="2128"/>
    </row>
    <row r="263" spans="15:18">
      <c r="O263" s="2128"/>
      <c r="P263" s="2128"/>
      <c r="Q263" s="2128"/>
      <c r="R263" s="2128"/>
    </row>
    <row r="264" spans="15:18">
      <c r="O264" s="2128"/>
      <c r="P264" s="2128"/>
      <c r="Q264" s="2128"/>
      <c r="R264" s="2128"/>
    </row>
    <row r="265" spans="15:18">
      <c r="O265" s="2128"/>
      <c r="P265" s="2128"/>
      <c r="Q265" s="2128"/>
      <c r="R265" s="2128"/>
    </row>
    <row r="266" spans="15:18">
      <c r="O266" s="2128"/>
      <c r="P266" s="2128"/>
      <c r="Q266" s="2128"/>
      <c r="R266" s="2128"/>
    </row>
    <row r="267" spans="15:18">
      <c r="O267" s="2128"/>
      <c r="P267" s="2128"/>
      <c r="Q267" s="2128"/>
      <c r="R267" s="2128"/>
    </row>
    <row r="268" spans="15:18">
      <c r="O268" s="2128"/>
      <c r="P268" s="2128"/>
      <c r="Q268" s="2128"/>
      <c r="R268" s="2128"/>
    </row>
    <row r="269" spans="15:18">
      <c r="O269" s="2128"/>
      <c r="P269" s="2128"/>
      <c r="Q269" s="2128"/>
      <c r="R269" s="2128"/>
    </row>
    <row r="270" spans="15:18">
      <c r="O270" s="2128"/>
      <c r="P270" s="2128"/>
      <c r="Q270" s="2128"/>
      <c r="R270" s="2128"/>
    </row>
    <row r="271" spans="15:18">
      <c r="O271" s="2128"/>
      <c r="P271" s="2128"/>
      <c r="Q271" s="2128"/>
      <c r="R271" s="2128"/>
    </row>
    <row r="272" spans="15:18">
      <c r="O272" s="2128"/>
      <c r="P272" s="2128"/>
      <c r="Q272" s="2128"/>
      <c r="R272" s="2128"/>
    </row>
    <row r="273" spans="15:18">
      <c r="O273" s="2128"/>
      <c r="P273" s="2128"/>
      <c r="Q273" s="2128"/>
      <c r="R273" s="2128"/>
    </row>
    <row r="274" spans="15:18">
      <c r="O274" s="2128"/>
      <c r="P274" s="2128"/>
      <c r="Q274" s="2128"/>
      <c r="R274" s="2128"/>
    </row>
    <row r="275" spans="15:18">
      <c r="O275" s="2128"/>
      <c r="P275" s="2128"/>
      <c r="Q275" s="2128"/>
      <c r="R275" s="2128"/>
    </row>
    <row r="276" spans="15:18">
      <c r="O276" s="2128"/>
      <c r="P276" s="2128"/>
      <c r="Q276" s="2128"/>
      <c r="R276" s="2128"/>
    </row>
    <row r="277" spans="15:18">
      <c r="O277" s="2128"/>
      <c r="P277" s="2128"/>
      <c r="Q277" s="2128"/>
      <c r="R277" s="2128"/>
    </row>
    <row r="278" spans="15:18">
      <c r="O278" s="2128"/>
      <c r="P278" s="2128"/>
      <c r="Q278" s="2128"/>
      <c r="R278" s="2128"/>
    </row>
    <row r="279" spans="15:18">
      <c r="O279" s="2128"/>
      <c r="P279" s="2128"/>
      <c r="Q279" s="2128"/>
      <c r="R279" s="2128"/>
    </row>
    <row r="280" spans="15:18">
      <c r="O280" s="2128"/>
      <c r="P280" s="2128"/>
      <c r="Q280" s="2128"/>
      <c r="R280" s="2128"/>
    </row>
    <row r="281" spans="15:18">
      <c r="O281" s="2128"/>
      <c r="P281" s="2128"/>
      <c r="Q281" s="2128"/>
      <c r="R281" s="2128"/>
    </row>
    <row r="282" spans="15:18">
      <c r="O282" s="2128"/>
      <c r="P282" s="2128"/>
      <c r="Q282" s="2128"/>
      <c r="R282" s="2128"/>
    </row>
    <row r="283" spans="15:18">
      <c r="O283" s="2128"/>
      <c r="P283" s="2128"/>
      <c r="Q283" s="2128"/>
      <c r="R283" s="2128"/>
    </row>
    <row r="284" spans="15:18">
      <c r="O284" s="2128"/>
      <c r="P284" s="2128"/>
      <c r="Q284" s="2128"/>
      <c r="R284" s="2128"/>
    </row>
    <row r="285" spans="15:18">
      <c r="O285" s="2128"/>
      <c r="P285" s="2128"/>
      <c r="Q285" s="2128"/>
      <c r="R285" s="2128"/>
    </row>
    <row r="286" spans="15:18">
      <c r="O286" s="2128"/>
      <c r="P286" s="2128"/>
      <c r="Q286" s="2128"/>
      <c r="R286" s="2128"/>
    </row>
    <row r="287" spans="15:18">
      <c r="O287" s="2128"/>
      <c r="P287" s="2128"/>
      <c r="Q287" s="2128"/>
      <c r="R287" s="2128"/>
    </row>
    <row r="288" spans="15:18">
      <c r="O288" s="2128"/>
      <c r="P288" s="2128"/>
      <c r="Q288" s="2128"/>
      <c r="R288" s="2128"/>
    </row>
    <row r="289" spans="15:18">
      <c r="O289" s="2128"/>
      <c r="P289" s="2128"/>
      <c r="Q289" s="2128"/>
      <c r="R289" s="2128"/>
    </row>
    <row r="290" spans="15:18">
      <c r="O290" s="2128"/>
      <c r="P290" s="2128"/>
      <c r="Q290" s="2128"/>
      <c r="R290" s="2128"/>
    </row>
    <row r="291" spans="15:18">
      <c r="O291" s="2128"/>
      <c r="P291" s="2128"/>
      <c r="Q291" s="2128"/>
      <c r="R291" s="2128"/>
    </row>
    <row r="292" spans="15:18">
      <c r="O292" s="2128"/>
      <c r="P292" s="2128"/>
      <c r="Q292" s="2128"/>
      <c r="R292" s="2128"/>
    </row>
    <row r="293" spans="15:18">
      <c r="O293" s="2128"/>
      <c r="P293" s="2128"/>
      <c r="Q293" s="2128"/>
      <c r="R293" s="2128"/>
    </row>
    <row r="294" spans="15:18">
      <c r="O294" s="2128"/>
      <c r="P294" s="2128"/>
      <c r="Q294" s="2128"/>
      <c r="R294" s="2128"/>
    </row>
    <row r="295" spans="15:18">
      <c r="O295" s="2128"/>
      <c r="P295" s="2128"/>
      <c r="Q295" s="2128"/>
      <c r="R295" s="2128"/>
    </row>
    <row r="296" spans="15:18">
      <c r="O296" s="2128"/>
      <c r="P296" s="2128"/>
      <c r="Q296" s="2128"/>
      <c r="R296" s="2128"/>
    </row>
    <row r="297" spans="15:18">
      <c r="O297" s="2128"/>
      <c r="P297" s="2128"/>
      <c r="Q297" s="2128"/>
      <c r="R297" s="2128"/>
    </row>
    <row r="298" spans="15:18">
      <c r="O298" s="2128"/>
      <c r="P298" s="2128"/>
      <c r="Q298" s="2128"/>
      <c r="R298" s="2128"/>
    </row>
    <row r="299" spans="15:18">
      <c r="O299" s="2128"/>
      <c r="P299" s="2128"/>
      <c r="Q299" s="2128"/>
      <c r="R299" s="2128"/>
    </row>
    <row r="300" spans="15:18">
      <c r="O300" s="2128"/>
      <c r="P300" s="2128"/>
      <c r="Q300" s="2128"/>
      <c r="R300" s="2128"/>
    </row>
    <row r="301" spans="15:18">
      <c r="O301" s="2128"/>
      <c r="P301" s="2128"/>
      <c r="Q301" s="2128"/>
      <c r="R301" s="2128"/>
    </row>
    <row r="302" spans="15:18">
      <c r="O302" s="2128"/>
      <c r="P302" s="2128"/>
      <c r="Q302" s="2128"/>
      <c r="R302" s="2128"/>
    </row>
    <row r="303" spans="15:18">
      <c r="O303" s="2128"/>
      <c r="P303" s="2128"/>
      <c r="Q303" s="2128"/>
      <c r="R303" s="2128"/>
    </row>
    <row r="304" spans="15:18">
      <c r="O304" s="2128"/>
      <c r="P304" s="2128"/>
      <c r="Q304" s="2128"/>
      <c r="R304" s="2128"/>
    </row>
    <row r="305" spans="15:18">
      <c r="O305" s="2128"/>
      <c r="P305" s="2128"/>
      <c r="Q305" s="2128"/>
      <c r="R305" s="2128"/>
    </row>
    <row r="306" spans="15:18">
      <c r="O306" s="2128"/>
      <c r="P306" s="2128"/>
      <c r="Q306" s="2128"/>
      <c r="R306" s="2128"/>
    </row>
    <row r="307" spans="15:18">
      <c r="O307" s="2128"/>
      <c r="P307" s="2128"/>
      <c r="Q307" s="2128"/>
      <c r="R307" s="2128"/>
    </row>
    <row r="308" spans="15:18">
      <c r="O308" s="2128"/>
      <c r="P308" s="2128"/>
      <c r="Q308" s="2128"/>
      <c r="R308" s="2128"/>
    </row>
    <row r="309" spans="15:18">
      <c r="O309" s="2128"/>
      <c r="P309" s="2128"/>
      <c r="Q309" s="2128"/>
      <c r="R309" s="2128"/>
    </row>
    <row r="310" spans="15:18">
      <c r="O310" s="2128"/>
      <c r="P310" s="2128"/>
      <c r="Q310" s="2128"/>
      <c r="R310" s="2128"/>
    </row>
    <row r="311" spans="15:18">
      <c r="O311" s="2128"/>
      <c r="P311" s="2128"/>
      <c r="Q311" s="2128"/>
      <c r="R311" s="2128"/>
    </row>
    <row r="312" spans="15:18">
      <c r="O312" s="2128"/>
      <c r="P312" s="2128"/>
      <c r="Q312" s="2128"/>
      <c r="R312" s="2128"/>
    </row>
    <row r="313" spans="15:18">
      <c r="O313" s="2128"/>
      <c r="P313" s="2128"/>
      <c r="Q313" s="2128"/>
      <c r="R313" s="2128"/>
    </row>
    <row r="314" spans="15:18">
      <c r="O314" s="2128"/>
      <c r="P314" s="2128"/>
      <c r="Q314" s="2128"/>
      <c r="R314" s="2128"/>
    </row>
    <row r="315" spans="15:18">
      <c r="O315" s="2128"/>
      <c r="P315" s="2128"/>
      <c r="Q315" s="2128"/>
      <c r="R315" s="2128"/>
    </row>
    <row r="316" spans="15:18">
      <c r="O316" s="2128"/>
      <c r="P316" s="2128"/>
      <c r="Q316" s="2128"/>
      <c r="R316" s="2128"/>
    </row>
    <row r="317" spans="15:18">
      <c r="O317" s="2128"/>
      <c r="P317" s="2128"/>
      <c r="Q317" s="2128"/>
      <c r="R317" s="2128"/>
    </row>
    <row r="318" spans="15:18">
      <c r="O318" s="2128"/>
      <c r="P318" s="2128"/>
      <c r="Q318" s="2128"/>
      <c r="R318" s="2128"/>
    </row>
    <row r="319" spans="15:18">
      <c r="O319" s="2128"/>
      <c r="P319" s="2128"/>
      <c r="Q319" s="2128"/>
      <c r="R319" s="2128"/>
    </row>
    <row r="320" spans="15:18">
      <c r="O320" s="2128"/>
      <c r="P320" s="2128"/>
      <c r="Q320" s="2128"/>
      <c r="R320" s="2128"/>
    </row>
    <row r="321" spans="15:18">
      <c r="O321" s="2128"/>
      <c r="P321" s="2128"/>
      <c r="Q321" s="2128"/>
      <c r="R321" s="2128"/>
    </row>
    <row r="322" spans="15:18">
      <c r="O322" s="2128"/>
      <c r="P322" s="2128"/>
      <c r="Q322" s="2128"/>
      <c r="R322" s="2128"/>
    </row>
    <row r="323" spans="15:18">
      <c r="O323" s="2128"/>
      <c r="P323" s="2128"/>
      <c r="Q323" s="2128"/>
      <c r="R323" s="2128"/>
    </row>
    <row r="324" spans="15:18">
      <c r="O324" s="2128"/>
      <c r="P324" s="2128"/>
      <c r="Q324" s="2128"/>
      <c r="R324" s="2128"/>
    </row>
    <row r="325" spans="15:18">
      <c r="O325" s="2128"/>
      <c r="P325" s="2128"/>
      <c r="Q325" s="2128"/>
      <c r="R325" s="2128"/>
    </row>
    <row r="326" spans="15:18">
      <c r="O326" s="2128"/>
      <c r="P326" s="2128"/>
      <c r="Q326" s="2128"/>
      <c r="R326" s="2128"/>
    </row>
    <row r="327" spans="15:18">
      <c r="O327" s="2128"/>
      <c r="P327" s="2128"/>
      <c r="Q327" s="2128"/>
      <c r="R327" s="2128"/>
    </row>
    <row r="328" spans="15:18">
      <c r="O328" s="2128"/>
      <c r="P328" s="2128"/>
      <c r="Q328" s="2128"/>
      <c r="R328" s="2128"/>
    </row>
    <row r="329" spans="15:18">
      <c r="O329" s="2128"/>
      <c r="P329" s="2128"/>
      <c r="Q329" s="2128"/>
      <c r="R329" s="2128"/>
    </row>
    <row r="330" spans="15:18">
      <c r="O330" s="2128"/>
      <c r="P330" s="2128"/>
      <c r="Q330" s="2128"/>
      <c r="R330" s="2128"/>
    </row>
    <row r="331" spans="15:18">
      <c r="O331" s="2128"/>
      <c r="P331" s="2128"/>
      <c r="Q331" s="2128"/>
      <c r="R331" s="2128"/>
    </row>
    <row r="332" spans="15:18">
      <c r="O332" s="2128"/>
      <c r="P332" s="2128"/>
      <c r="Q332" s="2128"/>
      <c r="R332" s="2128"/>
    </row>
    <row r="333" spans="15:18">
      <c r="O333" s="2128"/>
      <c r="P333" s="2128"/>
      <c r="Q333" s="2128"/>
      <c r="R333" s="2128"/>
    </row>
    <row r="334" spans="15:18">
      <c r="O334" s="2128"/>
      <c r="P334" s="2128"/>
      <c r="Q334" s="2128"/>
      <c r="R334" s="2128"/>
    </row>
    <row r="335" spans="15:18">
      <c r="O335" s="2128"/>
      <c r="P335" s="2128"/>
      <c r="Q335" s="2128"/>
      <c r="R335" s="2128"/>
    </row>
    <row r="336" spans="15:18">
      <c r="O336" s="2128"/>
      <c r="P336" s="2128"/>
      <c r="Q336" s="2128"/>
      <c r="R336" s="2128"/>
    </row>
    <row r="337" spans="15:18">
      <c r="O337" s="2128"/>
      <c r="P337" s="2128"/>
      <c r="Q337" s="2128"/>
      <c r="R337" s="2128"/>
    </row>
    <row r="338" spans="15:18">
      <c r="O338" s="2128"/>
      <c r="P338" s="2128"/>
      <c r="Q338" s="2128"/>
      <c r="R338" s="2128"/>
    </row>
    <row r="339" spans="15:18">
      <c r="O339" s="2128"/>
      <c r="P339" s="2128"/>
      <c r="Q339" s="2128"/>
      <c r="R339" s="2128"/>
    </row>
    <row r="340" spans="15:18">
      <c r="O340" s="2128"/>
      <c r="P340" s="2128"/>
      <c r="Q340" s="2128"/>
      <c r="R340" s="2128"/>
    </row>
    <row r="341" spans="15:18">
      <c r="O341" s="2128"/>
      <c r="P341" s="2128"/>
      <c r="Q341" s="2128"/>
      <c r="R341" s="2128"/>
    </row>
    <row r="342" spans="15:18">
      <c r="O342" s="2128"/>
      <c r="P342" s="2128"/>
      <c r="Q342" s="2128"/>
      <c r="R342" s="2128"/>
    </row>
    <row r="343" spans="15:18">
      <c r="O343" s="2128"/>
      <c r="P343" s="2128"/>
      <c r="Q343" s="2128"/>
      <c r="R343" s="2128"/>
    </row>
    <row r="344" spans="15:18">
      <c r="O344" s="2128"/>
      <c r="P344" s="2128"/>
      <c r="Q344" s="2128"/>
      <c r="R344" s="2128"/>
    </row>
    <row r="345" spans="15:18">
      <c r="O345" s="2128"/>
      <c r="P345" s="2128"/>
      <c r="Q345" s="2128"/>
      <c r="R345" s="2128"/>
    </row>
    <row r="346" spans="15:18">
      <c r="O346" s="2128"/>
      <c r="P346" s="2128"/>
      <c r="Q346" s="2128"/>
      <c r="R346" s="2128"/>
    </row>
    <row r="347" spans="15:18">
      <c r="O347" s="2128"/>
      <c r="P347" s="2128"/>
      <c r="Q347" s="2128"/>
      <c r="R347" s="2128"/>
    </row>
    <row r="348" spans="15:18">
      <c r="O348" s="2128"/>
      <c r="P348" s="2128"/>
      <c r="Q348" s="2128"/>
      <c r="R348" s="2128"/>
    </row>
    <row r="349" spans="15:18">
      <c r="O349" s="2128"/>
      <c r="P349" s="2128"/>
      <c r="Q349" s="2128"/>
      <c r="R349" s="2128"/>
    </row>
    <row r="350" spans="15:18">
      <c r="O350" s="2128"/>
      <c r="P350" s="2128"/>
      <c r="Q350" s="2128"/>
      <c r="R350" s="2128"/>
    </row>
    <row r="351" spans="15:18">
      <c r="O351" s="2128"/>
      <c r="P351" s="2128"/>
      <c r="Q351" s="2128"/>
      <c r="R351" s="2128"/>
    </row>
    <row r="352" spans="15:18">
      <c r="O352" s="2128"/>
      <c r="P352" s="2128"/>
      <c r="Q352" s="2128"/>
      <c r="R352" s="2128"/>
    </row>
    <row r="353" spans="15:18">
      <c r="O353" s="2128"/>
      <c r="P353" s="2128"/>
      <c r="Q353" s="2128"/>
      <c r="R353" s="2128"/>
    </row>
    <row r="354" spans="15:18">
      <c r="O354" s="2128"/>
      <c r="P354" s="2128"/>
      <c r="Q354" s="2128"/>
      <c r="R354" s="2128"/>
    </row>
    <row r="355" spans="15:18">
      <c r="O355" s="2128"/>
      <c r="P355" s="2128"/>
      <c r="Q355" s="2128"/>
      <c r="R355" s="2128"/>
    </row>
    <row r="356" spans="15:18">
      <c r="O356" s="2128"/>
      <c r="P356" s="2128"/>
      <c r="Q356" s="2128"/>
      <c r="R356" s="2128"/>
    </row>
    <row r="357" spans="15:18">
      <c r="O357" s="2128"/>
      <c r="P357" s="2128"/>
      <c r="Q357" s="2128"/>
      <c r="R357" s="2128"/>
    </row>
    <row r="358" spans="15:18">
      <c r="O358" s="2128"/>
      <c r="P358" s="2128"/>
      <c r="Q358" s="2128"/>
      <c r="R358" s="2128"/>
    </row>
    <row r="359" spans="15:18">
      <c r="O359" s="2128"/>
      <c r="P359" s="2128"/>
      <c r="Q359" s="2128"/>
      <c r="R359" s="2128"/>
    </row>
    <row r="360" spans="15:18">
      <c r="O360" s="2128"/>
      <c r="P360" s="2128"/>
      <c r="Q360" s="2128"/>
      <c r="R360" s="2128"/>
    </row>
    <row r="361" spans="15:18">
      <c r="O361" s="2128"/>
      <c r="P361" s="2128"/>
      <c r="Q361" s="2128"/>
      <c r="R361" s="2128"/>
    </row>
    <row r="362" spans="15:18">
      <c r="O362" s="2128"/>
      <c r="P362" s="2128"/>
      <c r="Q362" s="2128"/>
      <c r="R362" s="2128"/>
    </row>
    <row r="363" spans="15:18">
      <c r="O363" s="2128"/>
      <c r="P363" s="2128"/>
      <c r="Q363" s="2128"/>
      <c r="R363" s="2128"/>
    </row>
    <row r="364" spans="15:18">
      <c r="O364" s="2128"/>
      <c r="P364" s="2128"/>
      <c r="Q364" s="2128"/>
      <c r="R364" s="2128"/>
    </row>
    <row r="365" spans="15:18">
      <c r="O365" s="2128"/>
      <c r="P365" s="2128"/>
      <c r="Q365" s="2128"/>
      <c r="R365" s="2128"/>
    </row>
    <row r="366" spans="15:18">
      <c r="O366" s="2128"/>
      <c r="P366" s="2128"/>
      <c r="Q366" s="2128"/>
      <c r="R366" s="2128"/>
    </row>
    <row r="367" spans="15:18">
      <c r="O367" s="2128"/>
      <c r="P367" s="2128"/>
      <c r="Q367" s="2128"/>
      <c r="R367" s="2128"/>
    </row>
    <row r="368" spans="15:18">
      <c r="O368" s="2128"/>
      <c r="P368" s="2128"/>
      <c r="Q368" s="2128"/>
      <c r="R368" s="2128"/>
    </row>
    <row r="369" spans="15:18">
      <c r="O369" s="2128"/>
      <c r="P369" s="2128"/>
      <c r="Q369" s="2128"/>
      <c r="R369" s="2128"/>
    </row>
    <row r="370" spans="15:18">
      <c r="O370" s="2128"/>
      <c r="P370" s="2128"/>
      <c r="Q370" s="2128"/>
      <c r="R370" s="2128"/>
    </row>
    <row r="371" spans="15:18">
      <c r="O371" s="2128"/>
      <c r="P371" s="2128"/>
      <c r="Q371" s="2128"/>
      <c r="R371" s="2128"/>
    </row>
    <row r="372" spans="15:18">
      <c r="O372" s="2128"/>
      <c r="P372" s="2128"/>
      <c r="Q372" s="2128"/>
      <c r="R372" s="2128"/>
    </row>
    <row r="373" spans="15:18">
      <c r="O373" s="2128"/>
      <c r="P373" s="2128"/>
      <c r="Q373" s="2128"/>
      <c r="R373" s="2128"/>
    </row>
    <row r="374" spans="15:18">
      <c r="O374" s="2128"/>
      <c r="P374" s="2128"/>
      <c r="Q374" s="2128"/>
      <c r="R374" s="2128"/>
    </row>
    <row r="375" spans="15:18">
      <c r="O375" s="2128"/>
      <c r="P375" s="2128"/>
      <c r="Q375" s="2128"/>
      <c r="R375" s="2128"/>
    </row>
    <row r="376" spans="15:18">
      <c r="O376" s="2128"/>
      <c r="P376" s="2128"/>
      <c r="Q376" s="2128"/>
      <c r="R376" s="2128"/>
    </row>
    <row r="377" spans="15:18">
      <c r="O377" s="2128"/>
      <c r="P377" s="2128"/>
      <c r="Q377" s="2128"/>
      <c r="R377" s="2128"/>
    </row>
    <row r="378" spans="15:18">
      <c r="O378" s="2128"/>
      <c r="P378" s="2128"/>
      <c r="Q378" s="2128"/>
      <c r="R378" s="2128"/>
    </row>
    <row r="379" spans="15:18">
      <c r="O379" s="2128"/>
      <c r="P379" s="2128"/>
      <c r="Q379" s="2128"/>
      <c r="R379" s="2128"/>
    </row>
    <row r="380" spans="15:18">
      <c r="O380" s="2128"/>
      <c r="P380" s="2128"/>
      <c r="Q380" s="2128"/>
      <c r="R380" s="2128"/>
    </row>
    <row r="381" spans="15:18">
      <c r="O381" s="2128"/>
      <c r="P381" s="2128"/>
      <c r="Q381" s="2128"/>
      <c r="R381" s="2128"/>
    </row>
    <row r="382" spans="15:18">
      <c r="O382" s="2128"/>
      <c r="P382" s="2128"/>
      <c r="Q382" s="2128"/>
      <c r="R382" s="2128"/>
    </row>
    <row r="383" spans="15:18">
      <c r="O383" s="2128"/>
      <c r="P383" s="2128"/>
      <c r="Q383" s="2128"/>
      <c r="R383" s="2128"/>
    </row>
    <row r="384" spans="15:18">
      <c r="O384" s="2128"/>
      <c r="P384" s="2128"/>
      <c r="Q384" s="2128"/>
      <c r="R384" s="2128"/>
    </row>
    <row r="385" spans="15:18">
      <c r="O385" s="2128"/>
      <c r="P385" s="2128"/>
      <c r="Q385" s="2128"/>
      <c r="R385" s="2128"/>
    </row>
    <row r="386" spans="15:18">
      <c r="O386" s="2128"/>
      <c r="P386" s="2128"/>
      <c r="Q386" s="2128"/>
      <c r="R386" s="2128"/>
    </row>
    <row r="387" spans="15:18">
      <c r="O387" s="2128"/>
      <c r="P387" s="2128"/>
      <c r="Q387" s="2128"/>
      <c r="R387" s="2128"/>
    </row>
    <row r="388" spans="15:18">
      <c r="O388" s="2128"/>
      <c r="P388" s="2128"/>
      <c r="Q388" s="2128"/>
      <c r="R388" s="2128"/>
    </row>
    <row r="389" spans="15:18">
      <c r="O389" s="2128"/>
      <c r="P389" s="2128"/>
      <c r="Q389" s="2128"/>
      <c r="R389" s="2128"/>
    </row>
    <row r="390" spans="15:18">
      <c r="O390" s="2128"/>
      <c r="P390" s="2128"/>
      <c r="Q390" s="2128"/>
      <c r="R390" s="2128"/>
    </row>
    <row r="391" spans="15:18">
      <c r="O391" s="2128"/>
      <c r="P391" s="2128"/>
      <c r="Q391" s="2128"/>
      <c r="R391" s="2128"/>
    </row>
    <row r="392" spans="15:18">
      <c r="O392" s="2128"/>
      <c r="P392" s="2128"/>
      <c r="Q392" s="2128"/>
      <c r="R392" s="2128"/>
    </row>
    <row r="393" spans="15:18">
      <c r="O393" s="2128"/>
      <c r="P393" s="2128"/>
      <c r="Q393" s="2128"/>
      <c r="R393" s="2128"/>
    </row>
    <row r="394" spans="15:18">
      <c r="O394" s="2128"/>
      <c r="P394" s="2128"/>
      <c r="Q394" s="2128"/>
      <c r="R394" s="2128"/>
    </row>
    <row r="395" spans="15:18">
      <c r="O395" s="2128"/>
      <c r="P395" s="2128"/>
      <c r="Q395" s="2128"/>
      <c r="R395" s="2128"/>
    </row>
    <row r="396" spans="15:18">
      <c r="O396" s="2128"/>
      <c r="P396" s="2128"/>
      <c r="Q396" s="2128"/>
      <c r="R396" s="2128"/>
    </row>
    <row r="397" spans="15:18">
      <c r="O397" s="2128"/>
      <c r="P397" s="2128"/>
      <c r="Q397" s="2128"/>
      <c r="R397" s="2128"/>
    </row>
    <row r="398" spans="15:18">
      <c r="O398" s="2128"/>
      <c r="P398" s="2128"/>
      <c r="Q398" s="2128"/>
      <c r="R398" s="2128"/>
    </row>
    <row r="399" spans="15:18">
      <c r="O399" s="2128"/>
      <c r="P399" s="2128"/>
      <c r="Q399" s="2128"/>
      <c r="R399" s="2128"/>
    </row>
    <row r="400" spans="15:18">
      <c r="O400" s="2128"/>
      <c r="P400" s="2128"/>
      <c r="Q400" s="2128"/>
      <c r="R400" s="2128"/>
    </row>
    <row r="401" spans="15:18">
      <c r="O401" s="2128"/>
      <c r="P401" s="2128"/>
      <c r="Q401" s="2128"/>
      <c r="R401" s="2128"/>
    </row>
    <row r="402" spans="15:18">
      <c r="O402" s="2128"/>
      <c r="P402" s="2128"/>
      <c r="Q402" s="2128"/>
      <c r="R402" s="2128"/>
    </row>
    <row r="403" spans="15:18">
      <c r="O403" s="2128"/>
      <c r="P403" s="2128"/>
      <c r="Q403" s="2128"/>
      <c r="R403" s="2128"/>
    </row>
    <row r="404" spans="15:18">
      <c r="O404" s="2128"/>
      <c r="P404" s="2128"/>
      <c r="Q404" s="2128"/>
      <c r="R404" s="2128"/>
    </row>
    <row r="405" spans="15:18">
      <c r="O405" s="2128"/>
      <c r="P405" s="2128"/>
      <c r="Q405" s="2128"/>
      <c r="R405" s="2128"/>
    </row>
    <row r="406" spans="15:18">
      <c r="O406" s="2128"/>
      <c r="P406" s="2128"/>
      <c r="Q406" s="2128"/>
      <c r="R406" s="2128"/>
    </row>
    <row r="407" spans="15:18">
      <c r="O407" s="2128"/>
      <c r="P407" s="2128"/>
      <c r="Q407" s="2128"/>
      <c r="R407" s="2128"/>
    </row>
    <row r="408" spans="15:18">
      <c r="O408" s="2128"/>
      <c r="P408" s="2128"/>
      <c r="Q408" s="2128"/>
      <c r="R408" s="2128"/>
    </row>
    <row r="409" spans="15:18">
      <c r="O409" s="2128"/>
      <c r="P409" s="2128"/>
      <c r="Q409" s="2128"/>
      <c r="R409" s="2128"/>
    </row>
    <row r="410" spans="15:18">
      <c r="O410" s="2128"/>
      <c r="P410" s="2128"/>
      <c r="Q410" s="2128"/>
      <c r="R410" s="2128"/>
    </row>
    <row r="411" spans="15:18">
      <c r="O411" s="2128"/>
      <c r="P411" s="2128"/>
      <c r="Q411" s="2128"/>
      <c r="R411" s="2128"/>
    </row>
    <row r="412" spans="15:18">
      <c r="O412" s="2128"/>
      <c r="P412" s="2128"/>
      <c r="Q412" s="2128"/>
      <c r="R412" s="2128"/>
    </row>
    <row r="413" spans="15:18">
      <c r="O413" s="2128"/>
      <c r="P413" s="2128"/>
      <c r="Q413" s="2128"/>
      <c r="R413" s="2128"/>
    </row>
    <row r="414" spans="15:18">
      <c r="O414" s="2128"/>
      <c r="P414" s="2128"/>
      <c r="Q414" s="2128"/>
      <c r="R414" s="2128"/>
    </row>
    <row r="415" spans="15:18">
      <c r="O415" s="2128"/>
      <c r="P415" s="2128"/>
      <c r="Q415" s="2128"/>
      <c r="R415" s="2128"/>
    </row>
    <row r="416" spans="15:18">
      <c r="O416" s="2128"/>
      <c r="P416" s="2128"/>
      <c r="Q416" s="2128"/>
      <c r="R416" s="2128"/>
    </row>
    <row r="417" spans="15:18">
      <c r="O417" s="2128"/>
      <c r="P417" s="2128"/>
      <c r="Q417" s="2128"/>
      <c r="R417" s="2128"/>
    </row>
    <row r="418" spans="15:18">
      <c r="O418" s="2128"/>
      <c r="P418" s="2128"/>
      <c r="Q418" s="2128"/>
      <c r="R418" s="2128"/>
    </row>
    <row r="419" spans="15:18">
      <c r="O419" s="2128"/>
      <c r="P419" s="2128"/>
      <c r="Q419" s="2128"/>
      <c r="R419" s="2128"/>
    </row>
    <row r="420" spans="15:18">
      <c r="O420" s="2128"/>
      <c r="P420" s="2128"/>
      <c r="Q420" s="2128"/>
      <c r="R420" s="2128"/>
    </row>
    <row r="421" spans="15:18">
      <c r="O421" s="2128"/>
      <c r="P421" s="2128"/>
      <c r="Q421" s="2128"/>
      <c r="R421" s="2128"/>
    </row>
    <row r="422" spans="15:18">
      <c r="O422" s="2128"/>
      <c r="P422" s="2128"/>
      <c r="Q422" s="2128"/>
      <c r="R422" s="2128"/>
    </row>
    <row r="423" spans="15:18">
      <c r="O423" s="2128"/>
      <c r="P423" s="2128"/>
      <c r="Q423" s="2128"/>
      <c r="R423" s="2128"/>
    </row>
    <row r="424" spans="15:18">
      <c r="O424" s="2128"/>
      <c r="P424" s="2128"/>
      <c r="Q424" s="2128"/>
      <c r="R424" s="2128"/>
    </row>
    <row r="425" spans="15:18">
      <c r="O425" s="2128"/>
      <c r="P425" s="2128"/>
      <c r="Q425" s="2128"/>
      <c r="R425" s="2128"/>
    </row>
    <row r="426" spans="15:18">
      <c r="O426" s="2128"/>
      <c r="P426" s="2128"/>
      <c r="Q426" s="2128"/>
      <c r="R426" s="2128"/>
    </row>
    <row r="427" spans="15:18">
      <c r="O427" s="2128"/>
      <c r="P427" s="2128"/>
      <c r="Q427" s="2128"/>
      <c r="R427" s="2128"/>
    </row>
    <row r="428" spans="15:18">
      <c r="O428" s="2128"/>
      <c r="P428" s="2128"/>
      <c r="Q428" s="2128"/>
      <c r="R428" s="2128"/>
    </row>
    <row r="429" spans="15:18">
      <c r="O429" s="2128"/>
      <c r="P429" s="2128"/>
      <c r="Q429" s="2128"/>
      <c r="R429" s="2128"/>
    </row>
    <row r="430" spans="15:18">
      <c r="O430" s="2128"/>
      <c r="P430" s="2128"/>
      <c r="Q430" s="2128"/>
      <c r="R430" s="2128"/>
    </row>
    <row r="431" spans="15:18">
      <c r="O431" s="2128"/>
      <c r="P431" s="2128"/>
      <c r="Q431" s="2128"/>
      <c r="R431" s="2128"/>
    </row>
    <row r="432" spans="15:18">
      <c r="O432" s="2128"/>
      <c r="P432" s="2128"/>
      <c r="Q432" s="2128"/>
      <c r="R432" s="2128"/>
    </row>
    <row r="433" spans="15:18">
      <c r="O433" s="2128"/>
      <c r="P433" s="2128"/>
      <c r="Q433" s="2128"/>
      <c r="R433" s="2128"/>
    </row>
    <row r="434" spans="15:18">
      <c r="O434" s="2128"/>
      <c r="P434" s="2128"/>
      <c r="Q434" s="2128"/>
      <c r="R434" s="2128"/>
    </row>
    <row r="435" spans="15:18">
      <c r="O435" s="2128"/>
      <c r="P435" s="2128"/>
      <c r="Q435" s="2128"/>
      <c r="R435" s="2128"/>
    </row>
    <row r="436" spans="15:18">
      <c r="O436" s="2128"/>
      <c r="P436" s="2128"/>
      <c r="Q436" s="2128"/>
      <c r="R436" s="2128"/>
    </row>
    <row r="437" spans="15:18">
      <c r="O437" s="2128"/>
      <c r="P437" s="2128"/>
      <c r="Q437" s="2128"/>
      <c r="R437" s="2128"/>
    </row>
    <row r="438" spans="15:18">
      <c r="O438" s="2128"/>
      <c r="P438" s="2128"/>
      <c r="Q438" s="2128"/>
      <c r="R438" s="2128"/>
    </row>
    <row r="439" spans="15:18">
      <c r="O439" s="2128"/>
      <c r="P439" s="2128"/>
      <c r="Q439" s="2128"/>
      <c r="R439" s="2128"/>
    </row>
    <row r="440" spans="15:18">
      <c r="O440" s="2128"/>
      <c r="P440" s="2128"/>
      <c r="Q440" s="2128"/>
      <c r="R440" s="2128"/>
    </row>
    <row r="441" spans="15:18">
      <c r="O441" s="2128"/>
      <c r="P441" s="2128"/>
      <c r="Q441" s="2128"/>
      <c r="R441" s="2128"/>
    </row>
    <row r="442" spans="15:18">
      <c r="O442" s="2128"/>
      <c r="P442" s="2128"/>
      <c r="Q442" s="2128"/>
      <c r="R442" s="2128"/>
    </row>
    <row r="443" spans="15:18">
      <c r="O443" s="2128"/>
      <c r="P443" s="2128"/>
      <c r="Q443" s="2128"/>
      <c r="R443" s="2128"/>
    </row>
    <row r="444" spans="15:18">
      <c r="O444" s="2128"/>
      <c r="P444" s="2128"/>
      <c r="Q444" s="2128"/>
      <c r="R444" s="2128"/>
    </row>
    <row r="445" spans="15:18">
      <c r="O445" s="2128"/>
      <c r="P445" s="2128"/>
      <c r="Q445" s="2128"/>
      <c r="R445" s="2128"/>
    </row>
    <row r="446" spans="15:18">
      <c r="O446" s="2128"/>
      <c r="P446" s="2128"/>
      <c r="Q446" s="2128"/>
      <c r="R446" s="2128"/>
    </row>
    <row r="447" spans="15:18">
      <c r="O447" s="2128"/>
      <c r="P447" s="2128"/>
      <c r="Q447" s="2128"/>
      <c r="R447" s="2128"/>
    </row>
    <row r="448" spans="15:18">
      <c r="O448" s="2128"/>
      <c r="P448" s="2128"/>
      <c r="Q448" s="2128"/>
      <c r="R448" s="2128"/>
    </row>
    <row r="449" spans="15:18">
      <c r="O449" s="2128"/>
      <c r="P449" s="2128"/>
      <c r="Q449" s="2128"/>
      <c r="R449" s="2128"/>
    </row>
    <row r="450" spans="15:18">
      <c r="O450" s="2128"/>
      <c r="P450" s="2128"/>
      <c r="Q450" s="2128"/>
      <c r="R450" s="2128"/>
    </row>
    <row r="451" spans="15:18">
      <c r="O451" s="2128"/>
      <c r="P451" s="2128"/>
      <c r="Q451" s="2128"/>
      <c r="R451" s="2128"/>
    </row>
    <row r="452" spans="15:18">
      <c r="O452" s="2128"/>
      <c r="P452" s="2128"/>
      <c r="Q452" s="2128"/>
      <c r="R452" s="2128"/>
    </row>
    <row r="453" spans="15:18">
      <c r="O453" s="2128"/>
      <c r="P453" s="2128"/>
      <c r="Q453" s="2128"/>
      <c r="R453" s="2128"/>
    </row>
    <row r="454" spans="15:18">
      <c r="O454" s="2128"/>
      <c r="P454" s="2128"/>
      <c r="Q454" s="2128"/>
      <c r="R454" s="2128"/>
    </row>
    <row r="455" spans="15:18">
      <c r="O455" s="2128"/>
      <c r="P455" s="2128"/>
      <c r="Q455" s="2128"/>
      <c r="R455" s="2128"/>
    </row>
    <row r="456" spans="15:18">
      <c r="O456" s="2128"/>
      <c r="P456" s="2128"/>
      <c r="Q456" s="2128"/>
      <c r="R456" s="2128"/>
    </row>
    <row r="457" spans="15:18">
      <c r="O457" s="2128"/>
      <c r="P457" s="2128"/>
      <c r="Q457" s="2128"/>
      <c r="R457" s="2128"/>
    </row>
    <row r="458" spans="15:18">
      <c r="O458" s="2128"/>
      <c r="P458" s="2128"/>
      <c r="Q458" s="2128"/>
      <c r="R458" s="2128"/>
    </row>
    <row r="459" spans="15:18">
      <c r="O459" s="2128"/>
      <c r="P459" s="2128"/>
      <c r="Q459" s="2128"/>
      <c r="R459" s="2128"/>
    </row>
    <row r="460" spans="15:18">
      <c r="O460" s="2128"/>
      <c r="P460" s="2128"/>
      <c r="Q460" s="2128"/>
      <c r="R460" s="2128"/>
    </row>
    <row r="461" spans="15:18">
      <c r="O461" s="2128"/>
      <c r="P461" s="2128"/>
      <c r="Q461" s="2128"/>
      <c r="R461" s="2128"/>
    </row>
    <row r="462" spans="15:18">
      <c r="O462" s="2128"/>
      <c r="P462" s="2128"/>
      <c r="Q462" s="2128"/>
      <c r="R462" s="2128"/>
    </row>
    <row r="463" spans="15:18">
      <c r="O463" s="2128"/>
      <c r="P463" s="2128"/>
      <c r="Q463" s="2128"/>
      <c r="R463" s="2128"/>
    </row>
    <row r="464" spans="15:18">
      <c r="O464" s="2128"/>
      <c r="P464" s="2128"/>
      <c r="Q464" s="2128"/>
      <c r="R464" s="2128"/>
    </row>
    <row r="465" spans="15:18">
      <c r="O465" s="2128"/>
      <c r="P465" s="2128"/>
      <c r="Q465" s="2128"/>
      <c r="R465" s="2128"/>
    </row>
    <row r="466" spans="15:18">
      <c r="O466" s="2128"/>
      <c r="P466" s="2128"/>
      <c r="Q466" s="2128"/>
      <c r="R466" s="2128"/>
    </row>
    <row r="467" spans="15:18">
      <c r="O467" s="2128"/>
      <c r="P467" s="2128"/>
      <c r="Q467" s="2128"/>
      <c r="R467" s="2128"/>
    </row>
    <row r="468" spans="15:18">
      <c r="O468" s="2128"/>
      <c r="P468" s="2128"/>
      <c r="Q468" s="2128"/>
      <c r="R468" s="2128"/>
    </row>
    <row r="469" spans="15:18">
      <c r="O469" s="2128"/>
      <c r="P469" s="2128"/>
      <c r="Q469" s="2128"/>
      <c r="R469" s="2128"/>
    </row>
    <row r="470" spans="15:18">
      <c r="O470" s="2128"/>
      <c r="P470" s="2128"/>
      <c r="Q470" s="2128"/>
      <c r="R470" s="2128"/>
    </row>
    <row r="471" spans="15:18">
      <c r="O471" s="2128"/>
      <c r="P471" s="2128"/>
      <c r="Q471" s="2128"/>
      <c r="R471" s="2128"/>
    </row>
    <row r="472" spans="15:18">
      <c r="O472" s="2128"/>
      <c r="P472" s="2128"/>
      <c r="Q472" s="2128"/>
      <c r="R472" s="2128"/>
    </row>
    <row r="473" spans="15:18">
      <c r="O473" s="2128"/>
      <c r="P473" s="2128"/>
      <c r="Q473" s="2128"/>
      <c r="R473" s="2128"/>
    </row>
    <row r="474" spans="15:18">
      <c r="O474" s="2128"/>
      <c r="P474" s="2128"/>
      <c r="Q474" s="2128"/>
      <c r="R474" s="2128"/>
    </row>
    <row r="475" spans="15:18">
      <c r="O475" s="2128"/>
      <c r="P475" s="2128"/>
      <c r="Q475" s="2128"/>
      <c r="R475" s="2128"/>
    </row>
    <row r="476" spans="15:18">
      <c r="O476" s="2128"/>
      <c r="P476" s="2128"/>
      <c r="Q476" s="2128"/>
      <c r="R476" s="2128"/>
    </row>
    <row r="477" spans="15:18">
      <c r="O477" s="2128"/>
      <c r="P477" s="2128"/>
      <c r="Q477" s="2128"/>
      <c r="R477" s="2128"/>
    </row>
    <row r="478" spans="15:18">
      <c r="O478" s="2128"/>
      <c r="P478" s="2128"/>
      <c r="Q478" s="2128"/>
      <c r="R478" s="2128"/>
    </row>
    <row r="479" spans="15:18">
      <c r="O479" s="2128"/>
      <c r="P479" s="2128"/>
      <c r="Q479" s="2128"/>
      <c r="R479" s="2128"/>
    </row>
    <row r="480" spans="15:18">
      <c r="O480" s="2128"/>
      <c r="P480" s="2128"/>
      <c r="Q480" s="2128"/>
      <c r="R480" s="2128"/>
    </row>
    <row r="481" spans="15:18">
      <c r="O481" s="2128"/>
      <c r="P481" s="2128"/>
      <c r="Q481" s="2128"/>
      <c r="R481" s="2128"/>
    </row>
    <row r="482" spans="15:18">
      <c r="O482" s="2128"/>
      <c r="P482" s="2128"/>
      <c r="Q482" s="2128"/>
      <c r="R482" s="2128"/>
    </row>
    <row r="483" spans="15:18">
      <c r="O483" s="2128"/>
      <c r="P483" s="2128"/>
      <c r="Q483" s="2128"/>
      <c r="R483" s="2128"/>
    </row>
    <row r="484" spans="15:18">
      <c r="O484" s="2128"/>
      <c r="P484" s="2128"/>
      <c r="Q484" s="2128"/>
      <c r="R484" s="2128"/>
    </row>
    <row r="485" spans="15:18">
      <c r="O485" s="2128"/>
      <c r="P485" s="2128"/>
      <c r="Q485" s="2128"/>
      <c r="R485" s="2128"/>
    </row>
    <row r="486" spans="15:18">
      <c r="O486" s="2128"/>
      <c r="P486" s="2128"/>
      <c r="Q486" s="2128"/>
      <c r="R486" s="2128"/>
    </row>
    <row r="487" spans="15:18">
      <c r="O487" s="2128"/>
      <c r="P487" s="2128"/>
      <c r="Q487" s="2128"/>
      <c r="R487" s="2128"/>
    </row>
    <row r="488" spans="15:18">
      <c r="O488" s="2128"/>
      <c r="P488" s="2128"/>
      <c r="Q488" s="2128"/>
      <c r="R488" s="2128"/>
    </row>
    <row r="489" spans="15:18">
      <c r="O489" s="2128"/>
      <c r="P489" s="2128"/>
      <c r="Q489" s="2128"/>
      <c r="R489" s="2128"/>
    </row>
    <row r="490" spans="15:18">
      <c r="O490" s="2128"/>
      <c r="P490" s="2128"/>
      <c r="Q490" s="2128"/>
      <c r="R490" s="2128"/>
    </row>
    <row r="491" spans="15:18">
      <c r="O491" s="2128"/>
      <c r="P491" s="2128"/>
      <c r="Q491" s="2128"/>
      <c r="R491" s="2128"/>
    </row>
    <row r="492" spans="15:18">
      <c r="O492" s="2128"/>
      <c r="P492" s="2128"/>
      <c r="Q492" s="2128"/>
      <c r="R492" s="2128"/>
    </row>
    <row r="493" spans="15:18">
      <c r="O493" s="2128"/>
      <c r="P493" s="2128"/>
      <c r="Q493" s="2128"/>
      <c r="R493" s="2128"/>
    </row>
    <row r="494" spans="15:18">
      <c r="O494" s="2128"/>
      <c r="P494" s="2128"/>
      <c r="Q494" s="2128"/>
      <c r="R494" s="2128"/>
    </row>
    <row r="495" spans="15:18">
      <c r="O495" s="2128"/>
      <c r="P495" s="2128"/>
      <c r="Q495" s="2128"/>
      <c r="R495" s="2128"/>
    </row>
    <row r="496" spans="15:18">
      <c r="O496" s="2128"/>
      <c r="P496" s="2128"/>
      <c r="Q496" s="2128"/>
      <c r="R496" s="2128"/>
    </row>
    <row r="497" spans="15:18">
      <c r="O497" s="2128"/>
      <c r="P497" s="2128"/>
      <c r="Q497" s="2128"/>
      <c r="R497" s="2128"/>
    </row>
    <row r="498" spans="15:18">
      <c r="O498" s="2128"/>
      <c r="P498" s="2128"/>
      <c r="Q498" s="2128"/>
      <c r="R498" s="2128"/>
    </row>
    <row r="499" spans="15:18">
      <c r="O499" s="2128"/>
      <c r="P499" s="2128"/>
      <c r="Q499" s="2128"/>
      <c r="R499" s="2128"/>
    </row>
    <row r="500" spans="15:18">
      <c r="O500" s="2128"/>
      <c r="P500" s="2128"/>
      <c r="Q500" s="2128"/>
      <c r="R500" s="2128"/>
    </row>
    <row r="501" spans="15:18">
      <c r="O501" s="2128"/>
      <c r="P501" s="2128"/>
      <c r="Q501" s="2128"/>
      <c r="R501" s="2128"/>
    </row>
    <row r="502" spans="15:18">
      <c r="O502" s="2128"/>
      <c r="P502" s="2128"/>
      <c r="Q502" s="2128"/>
      <c r="R502" s="2128"/>
    </row>
    <row r="503" spans="15:18">
      <c r="O503" s="2128"/>
      <c r="P503" s="2128"/>
      <c r="Q503" s="2128"/>
      <c r="R503" s="2128"/>
    </row>
    <row r="504" spans="15:18">
      <c r="O504" s="2128"/>
      <c r="P504" s="2128"/>
      <c r="Q504" s="2128"/>
      <c r="R504" s="2128"/>
    </row>
    <row r="505" spans="15:18">
      <c r="O505" s="2128"/>
      <c r="P505" s="2128"/>
      <c r="Q505" s="2128"/>
      <c r="R505" s="2128"/>
    </row>
    <row r="506" spans="15:18">
      <c r="O506" s="2128"/>
      <c r="P506" s="2128"/>
      <c r="Q506" s="2128"/>
      <c r="R506" s="2128"/>
    </row>
    <row r="507" spans="15:18">
      <c r="O507" s="2128"/>
      <c r="P507" s="2128"/>
      <c r="Q507" s="2128"/>
      <c r="R507" s="2128"/>
    </row>
    <row r="508" spans="15:18">
      <c r="O508" s="2128"/>
      <c r="P508" s="2128"/>
      <c r="Q508" s="2128"/>
      <c r="R508" s="2128"/>
    </row>
    <row r="509" spans="15:18">
      <c r="O509" s="2128"/>
      <c r="P509" s="2128"/>
      <c r="Q509" s="2128"/>
      <c r="R509" s="2128"/>
    </row>
    <row r="510" spans="15:18">
      <c r="O510" s="2128"/>
      <c r="P510" s="2128"/>
      <c r="Q510" s="2128"/>
      <c r="R510" s="2128"/>
    </row>
    <row r="511" spans="15:18">
      <c r="O511" s="2128"/>
      <c r="P511" s="2128"/>
      <c r="Q511" s="2128"/>
      <c r="R511" s="2128"/>
    </row>
    <row r="512" spans="15:18">
      <c r="O512" s="2128"/>
      <c r="P512" s="2128"/>
      <c r="Q512" s="2128"/>
      <c r="R512" s="2128"/>
    </row>
    <row r="513" spans="15:18">
      <c r="O513" s="2128"/>
      <c r="P513" s="2128"/>
      <c r="Q513" s="2128"/>
      <c r="R513" s="2128"/>
    </row>
    <row r="514" spans="15:18">
      <c r="O514" s="2128"/>
      <c r="P514" s="2128"/>
      <c r="Q514" s="2128"/>
      <c r="R514" s="2128"/>
    </row>
    <row r="515" spans="15:18">
      <c r="O515" s="2128"/>
      <c r="P515" s="2128"/>
      <c r="Q515" s="2128"/>
      <c r="R515" s="2128"/>
    </row>
    <row r="516" spans="15:18">
      <c r="O516" s="2128"/>
      <c r="P516" s="2128"/>
      <c r="Q516" s="2128"/>
      <c r="R516" s="2128"/>
    </row>
    <row r="517" spans="15:18">
      <c r="O517" s="2128"/>
      <c r="P517" s="2128"/>
      <c r="Q517" s="2128"/>
      <c r="R517" s="2128"/>
    </row>
    <row r="518" spans="15:18">
      <c r="O518" s="2128"/>
      <c r="P518" s="2128"/>
      <c r="Q518" s="2128"/>
      <c r="R518" s="2128"/>
    </row>
    <row r="519" spans="15:18">
      <c r="O519" s="2128"/>
      <c r="P519" s="2128"/>
      <c r="Q519" s="2128"/>
      <c r="R519" s="2128"/>
    </row>
    <row r="520" spans="15:18">
      <c r="O520" s="2128"/>
      <c r="P520" s="2128"/>
      <c r="Q520" s="2128"/>
      <c r="R520" s="2128"/>
    </row>
    <row r="521" spans="15:18">
      <c r="O521" s="2128"/>
      <c r="P521" s="2128"/>
      <c r="Q521" s="2128"/>
      <c r="R521" s="2128"/>
    </row>
    <row r="522" spans="15:18">
      <c r="O522" s="2128"/>
      <c r="P522" s="2128"/>
      <c r="Q522" s="2128"/>
      <c r="R522" s="2128"/>
    </row>
    <row r="523" spans="15:18">
      <c r="O523" s="2128"/>
      <c r="P523" s="2128"/>
      <c r="Q523" s="2128"/>
      <c r="R523" s="2128"/>
    </row>
    <row r="524" spans="15:18">
      <c r="O524" s="2128"/>
      <c r="P524" s="2128"/>
      <c r="Q524" s="2128"/>
      <c r="R524" s="2128"/>
    </row>
    <row r="525" spans="15:18">
      <c r="O525" s="2128"/>
      <c r="P525" s="2128"/>
      <c r="Q525" s="2128"/>
      <c r="R525" s="2128"/>
    </row>
    <row r="526" spans="15:18">
      <c r="O526" s="2128"/>
      <c r="P526" s="2128"/>
      <c r="Q526" s="2128"/>
      <c r="R526" s="2128"/>
    </row>
    <row r="527" spans="15:18">
      <c r="O527" s="2128"/>
      <c r="P527" s="2128"/>
      <c r="Q527" s="2128"/>
      <c r="R527" s="2128"/>
    </row>
    <row r="528" spans="15:18">
      <c r="O528" s="2128"/>
      <c r="P528" s="2128"/>
      <c r="Q528" s="2128"/>
      <c r="R528" s="2128"/>
    </row>
    <row r="529" spans="15:18">
      <c r="O529" s="2128"/>
      <c r="P529" s="2128"/>
      <c r="Q529" s="2128"/>
      <c r="R529" s="2128"/>
    </row>
    <row r="530" spans="15:18">
      <c r="O530" s="2128"/>
      <c r="P530" s="2128"/>
      <c r="Q530" s="2128"/>
      <c r="R530" s="2128"/>
    </row>
    <row r="531" spans="15:18">
      <c r="O531" s="2128"/>
      <c r="P531" s="2128"/>
      <c r="Q531" s="2128"/>
      <c r="R531" s="2128"/>
    </row>
    <row r="532" spans="15:18">
      <c r="O532" s="2128"/>
      <c r="P532" s="2128"/>
      <c r="Q532" s="2128"/>
      <c r="R532" s="2128"/>
    </row>
    <row r="533" spans="15:18">
      <c r="O533" s="2128"/>
      <c r="P533" s="2128"/>
      <c r="Q533" s="2128"/>
      <c r="R533" s="2128"/>
    </row>
    <row r="534" spans="15:18">
      <c r="O534" s="2128"/>
      <c r="P534" s="2128"/>
      <c r="Q534" s="2128"/>
      <c r="R534" s="2128"/>
    </row>
    <row r="535" spans="15:18">
      <c r="O535" s="2128"/>
      <c r="P535" s="2128"/>
      <c r="Q535" s="2128"/>
      <c r="R535" s="2128"/>
    </row>
    <row r="536" spans="15:18">
      <c r="O536" s="2128"/>
      <c r="P536" s="2128"/>
      <c r="Q536" s="2128"/>
      <c r="R536" s="2128"/>
    </row>
    <row r="537" spans="15:18">
      <c r="O537" s="2128"/>
      <c r="P537" s="2128"/>
      <c r="Q537" s="2128"/>
      <c r="R537" s="2128"/>
    </row>
    <row r="538" spans="15:18">
      <c r="O538" s="2128"/>
      <c r="P538" s="2128"/>
      <c r="Q538" s="2128"/>
      <c r="R538" s="2128"/>
    </row>
    <row r="539" spans="15:18">
      <c r="O539" s="2128"/>
      <c r="P539" s="2128"/>
      <c r="Q539" s="2128"/>
      <c r="R539" s="2128"/>
    </row>
    <row r="540" spans="15:18">
      <c r="O540" s="2128"/>
      <c r="P540" s="2128"/>
      <c r="Q540" s="2128"/>
      <c r="R540" s="2128"/>
    </row>
    <row r="541" spans="15:18">
      <c r="O541" s="2128"/>
      <c r="P541" s="2128"/>
      <c r="Q541" s="2128"/>
      <c r="R541" s="2128"/>
    </row>
    <row r="542" spans="15:18">
      <c r="O542" s="2128"/>
      <c r="P542" s="2128"/>
      <c r="Q542" s="2128"/>
      <c r="R542" s="2128"/>
    </row>
    <row r="543" spans="15:18">
      <c r="O543" s="2128"/>
      <c r="P543" s="2128"/>
      <c r="Q543" s="2128"/>
      <c r="R543" s="2128"/>
    </row>
    <row r="544" spans="15:18">
      <c r="O544" s="2128"/>
      <c r="P544" s="2128"/>
      <c r="Q544" s="2128"/>
      <c r="R544" s="2128"/>
    </row>
    <row r="545" spans="15:18">
      <c r="O545" s="2128"/>
      <c r="P545" s="2128"/>
      <c r="Q545" s="2128"/>
      <c r="R545" s="2128"/>
    </row>
    <row r="546" spans="15:18">
      <c r="O546" s="2128"/>
      <c r="P546" s="2128"/>
      <c r="Q546" s="2128"/>
      <c r="R546" s="2128"/>
    </row>
    <row r="547" spans="15:18">
      <c r="O547" s="2128"/>
      <c r="P547" s="2128"/>
      <c r="Q547" s="2128"/>
      <c r="R547" s="2128"/>
    </row>
    <row r="548" spans="15:18">
      <c r="O548" s="2128"/>
      <c r="P548" s="2128"/>
      <c r="Q548" s="2128"/>
      <c r="R548" s="2128"/>
    </row>
    <row r="549" spans="15:18">
      <c r="O549" s="2128"/>
      <c r="P549" s="2128"/>
      <c r="Q549" s="2128"/>
      <c r="R549" s="2128"/>
    </row>
    <row r="550" spans="15:18">
      <c r="O550" s="2128"/>
      <c r="P550" s="2128"/>
      <c r="Q550" s="2128"/>
      <c r="R550" s="2128"/>
    </row>
    <row r="551" spans="15:18">
      <c r="O551" s="2128"/>
      <c r="P551" s="2128"/>
      <c r="Q551" s="2128"/>
      <c r="R551" s="2128"/>
    </row>
    <row r="552" spans="15:18">
      <c r="O552" s="2128"/>
      <c r="P552" s="2128"/>
      <c r="Q552" s="2128"/>
      <c r="R552" s="2128"/>
    </row>
    <row r="553" spans="15:18">
      <c r="O553" s="2128"/>
      <c r="P553" s="2128"/>
      <c r="Q553" s="2128"/>
      <c r="R553" s="2128"/>
    </row>
    <row r="554" spans="15:18">
      <c r="O554" s="2128"/>
      <c r="P554" s="2128"/>
      <c r="Q554" s="2128"/>
      <c r="R554" s="2128"/>
    </row>
    <row r="555" spans="15:18">
      <c r="O555" s="2128"/>
      <c r="P555" s="2128"/>
      <c r="Q555" s="2128"/>
      <c r="R555" s="2128"/>
    </row>
    <row r="556" spans="15:18">
      <c r="O556" s="2128"/>
      <c r="P556" s="2128"/>
      <c r="Q556" s="2128"/>
      <c r="R556" s="2128"/>
    </row>
    <row r="557" spans="15:18">
      <c r="O557" s="2128"/>
      <c r="P557" s="2128"/>
      <c r="Q557" s="2128"/>
      <c r="R557" s="2128"/>
    </row>
    <row r="558" spans="15:18">
      <c r="O558" s="2128"/>
      <c r="P558" s="2128"/>
      <c r="Q558" s="2128"/>
      <c r="R558" s="2128"/>
    </row>
    <row r="559" spans="15:18">
      <c r="O559" s="2128"/>
      <c r="P559" s="2128"/>
      <c r="Q559" s="2128"/>
      <c r="R559" s="2128"/>
    </row>
    <row r="560" spans="15:18">
      <c r="O560" s="2128"/>
      <c r="P560" s="2128"/>
      <c r="Q560" s="2128"/>
      <c r="R560" s="2128"/>
    </row>
    <row r="561" spans="15:18">
      <c r="O561" s="2128"/>
      <c r="P561" s="2128"/>
      <c r="Q561" s="2128"/>
      <c r="R561" s="2128"/>
    </row>
    <row r="562" spans="15:18">
      <c r="O562" s="2128"/>
      <c r="P562" s="2128"/>
      <c r="Q562" s="2128"/>
      <c r="R562" s="2128"/>
    </row>
    <row r="563" spans="15:18">
      <c r="O563" s="2128"/>
      <c r="P563" s="2128"/>
      <c r="Q563" s="2128"/>
      <c r="R563" s="2128"/>
    </row>
    <row r="564" spans="15:18">
      <c r="O564" s="2128"/>
      <c r="P564" s="2128"/>
      <c r="Q564" s="2128"/>
      <c r="R564" s="2128"/>
    </row>
    <row r="565" spans="15:18">
      <c r="O565" s="2128"/>
      <c r="P565" s="2128"/>
      <c r="Q565" s="2128"/>
      <c r="R565" s="2128"/>
    </row>
    <row r="566" spans="15:18">
      <c r="O566" s="2128"/>
      <c r="P566" s="2128"/>
      <c r="Q566" s="2128"/>
      <c r="R566" s="2128"/>
    </row>
    <row r="567" spans="15:18">
      <c r="O567" s="2128"/>
      <c r="P567" s="2128"/>
      <c r="Q567" s="2128"/>
      <c r="R567" s="2128"/>
    </row>
    <row r="568" spans="15:18">
      <c r="O568" s="2128"/>
      <c r="P568" s="2128"/>
      <c r="Q568" s="2128"/>
      <c r="R568" s="2128"/>
    </row>
    <row r="569" spans="15:18">
      <c r="O569" s="2128"/>
      <c r="P569" s="2128"/>
      <c r="Q569" s="2128"/>
      <c r="R569" s="2128"/>
    </row>
    <row r="570" spans="15:18">
      <c r="O570" s="2128"/>
      <c r="P570" s="2128"/>
      <c r="Q570" s="2128"/>
      <c r="R570" s="2128"/>
    </row>
    <row r="571" spans="15:18">
      <c r="O571" s="2128"/>
      <c r="P571" s="2128"/>
      <c r="Q571" s="2128"/>
      <c r="R571" s="2128"/>
    </row>
    <row r="572" spans="15:18">
      <c r="O572" s="2128"/>
      <c r="P572" s="2128"/>
      <c r="Q572" s="2128"/>
      <c r="R572" s="2128"/>
    </row>
    <row r="573" spans="15:18">
      <c r="O573" s="2128"/>
      <c r="P573" s="2128"/>
      <c r="Q573" s="2128"/>
      <c r="R573" s="2128"/>
    </row>
    <row r="574" spans="15:18">
      <c r="O574" s="2128"/>
      <c r="P574" s="2128"/>
      <c r="Q574" s="2128"/>
      <c r="R574" s="2128"/>
    </row>
    <row r="575" spans="15:18">
      <c r="O575" s="2128"/>
      <c r="P575" s="2128"/>
      <c r="Q575" s="2128"/>
      <c r="R575" s="2128"/>
    </row>
    <row r="576" spans="15:18">
      <c r="O576" s="2128"/>
      <c r="P576" s="2128"/>
      <c r="Q576" s="2128"/>
      <c r="R576" s="2128"/>
    </row>
    <row r="577" spans="15:18">
      <c r="O577" s="2128"/>
      <c r="P577" s="2128"/>
      <c r="Q577" s="2128"/>
      <c r="R577" s="2128"/>
    </row>
    <row r="578" spans="15:18">
      <c r="O578" s="2128"/>
      <c r="P578" s="2128"/>
      <c r="Q578" s="2128"/>
      <c r="R578" s="2128"/>
    </row>
    <row r="579" spans="15:18">
      <c r="O579" s="2128"/>
      <c r="P579" s="2128"/>
      <c r="Q579" s="2128"/>
      <c r="R579" s="2128"/>
    </row>
    <row r="580" spans="15:18">
      <c r="O580" s="2128"/>
      <c r="P580" s="2128"/>
      <c r="Q580" s="2128"/>
      <c r="R580" s="2128"/>
    </row>
    <row r="581" spans="15:18">
      <c r="O581" s="2128"/>
      <c r="P581" s="2128"/>
      <c r="Q581" s="2128"/>
      <c r="R581" s="2128"/>
    </row>
    <row r="582" spans="15:18">
      <c r="O582" s="2128"/>
      <c r="P582" s="2128"/>
      <c r="Q582" s="2128"/>
      <c r="R582" s="2128"/>
    </row>
    <row r="583" spans="15:18">
      <c r="O583" s="2128"/>
      <c r="P583" s="2128"/>
      <c r="Q583" s="2128"/>
      <c r="R583" s="2128"/>
    </row>
    <row r="584" spans="15:18">
      <c r="O584" s="2128"/>
      <c r="P584" s="2128"/>
      <c r="Q584" s="2128"/>
      <c r="R584" s="2128"/>
    </row>
    <row r="585" spans="15:18">
      <c r="O585" s="2128"/>
      <c r="P585" s="2128"/>
      <c r="Q585" s="2128"/>
      <c r="R585" s="2128"/>
    </row>
    <row r="586" spans="15:18">
      <c r="O586" s="2128"/>
      <c r="P586" s="2128"/>
      <c r="Q586" s="2128"/>
      <c r="R586" s="2128"/>
    </row>
    <row r="587" spans="15:18">
      <c r="O587" s="2128"/>
      <c r="P587" s="2128"/>
      <c r="Q587" s="2128"/>
      <c r="R587" s="2128"/>
    </row>
    <row r="588" spans="15:18">
      <c r="O588" s="2128"/>
      <c r="P588" s="2128"/>
      <c r="Q588" s="2128"/>
      <c r="R588" s="2128"/>
    </row>
    <row r="589" spans="15:18">
      <c r="O589" s="2128"/>
      <c r="P589" s="2128"/>
      <c r="Q589" s="2128"/>
      <c r="R589" s="2128"/>
    </row>
    <row r="590" spans="15:18">
      <c r="O590" s="2128"/>
      <c r="P590" s="2128"/>
      <c r="Q590" s="2128"/>
      <c r="R590" s="2128"/>
    </row>
    <row r="591" spans="15:18">
      <c r="O591" s="2128"/>
      <c r="P591" s="2128"/>
      <c r="Q591" s="2128"/>
      <c r="R591" s="2128"/>
    </row>
    <row r="592" spans="15:18">
      <c r="O592" s="2128"/>
      <c r="P592" s="2128"/>
      <c r="Q592" s="2128"/>
      <c r="R592" s="2128"/>
    </row>
    <row r="593" spans="15:18">
      <c r="O593" s="2128"/>
      <c r="P593" s="2128"/>
      <c r="Q593" s="2128"/>
      <c r="R593" s="2128"/>
    </row>
    <row r="594" spans="15:18">
      <c r="O594" s="2128"/>
      <c r="P594" s="2128"/>
      <c r="Q594" s="2128"/>
      <c r="R594" s="2128"/>
    </row>
    <row r="595" spans="15:18">
      <c r="O595" s="2128"/>
      <c r="P595" s="2128"/>
      <c r="Q595" s="2128"/>
      <c r="R595" s="2128"/>
    </row>
    <row r="596" spans="15:18">
      <c r="O596" s="2128"/>
      <c r="P596" s="2128"/>
      <c r="Q596" s="2128"/>
      <c r="R596" s="2128"/>
    </row>
    <row r="597" spans="15:18">
      <c r="O597" s="2128"/>
      <c r="P597" s="2128"/>
      <c r="Q597" s="2128"/>
      <c r="R597" s="2128"/>
    </row>
    <row r="598" spans="15:18">
      <c r="O598" s="2128"/>
      <c r="P598" s="2128"/>
      <c r="Q598" s="2128"/>
      <c r="R598" s="2128"/>
    </row>
    <row r="599" spans="15:18">
      <c r="O599" s="2128"/>
      <c r="P599" s="2128"/>
      <c r="Q599" s="2128"/>
      <c r="R599" s="2128"/>
    </row>
    <row r="600" spans="15:18">
      <c r="O600" s="2128"/>
      <c r="P600" s="2128"/>
      <c r="Q600" s="2128"/>
      <c r="R600" s="2128"/>
    </row>
    <row r="601" spans="15:18">
      <c r="O601" s="2128"/>
      <c r="P601" s="2128"/>
      <c r="Q601" s="2128"/>
      <c r="R601" s="2128"/>
    </row>
    <row r="602" spans="15:18">
      <c r="O602" s="2128"/>
      <c r="P602" s="2128"/>
      <c r="Q602" s="2128"/>
      <c r="R602" s="2128"/>
    </row>
    <row r="603" spans="15:18">
      <c r="O603" s="2128"/>
      <c r="P603" s="2128"/>
      <c r="Q603" s="2128"/>
      <c r="R603" s="2128"/>
    </row>
    <row r="604" spans="15:18">
      <c r="O604" s="2128"/>
      <c r="P604" s="2128"/>
      <c r="Q604" s="2128"/>
      <c r="R604" s="2128"/>
    </row>
    <row r="605" spans="15:18">
      <c r="O605" s="2128"/>
      <c r="P605" s="2128"/>
      <c r="Q605" s="2128"/>
      <c r="R605" s="2128"/>
    </row>
    <row r="606" spans="15:18">
      <c r="O606" s="2128"/>
      <c r="P606" s="2128"/>
      <c r="Q606" s="2128"/>
      <c r="R606" s="2128"/>
    </row>
    <row r="607" spans="15:18">
      <c r="O607" s="2128"/>
      <c r="P607" s="2128"/>
      <c r="Q607" s="2128"/>
      <c r="R607" s="2128"/>
    </row>
    <row r="608" spans="15:18">
      <c r="O608" s="2128"/>
      <c r="P608" s="2128"/>
      <c r="Q608" s="2128"/>
      <c r="R608" s="2128"/>
    </row>
    <row r="609" spans="15:18">
      <c r="O609" s="2128"/>
      <c r="P609" s="2128"/>
      <c r="Q609" s="2128"/>
      <c r="R609" s="2128"/>
    </row>
    <row r="610" spans="15:18">
      <c r="O610" s="2128"/>
      <c r="P610" s="2128"/>
      <c r="Q610" s="2128"/>
      <c r="R610" s="2128"/>
    </row>
    <row r="611" spans="15:18">
      <c r="O611" s="2128"/>
      <c r="P611" s="2128"/>
      <c r="Q611" s="2128"/>
      <c r="R611" s="2128"/>
    </row>
    <row r="612" spans="15:18">
      <c r="O612" s="2128"/>
      <c r="P612" s="2128"/>
      <c r="Q612" s="2128"/>
      <c r="R612" s="2128"/>
    </row>
    <row r="613" spans="15:18">
      <c r="O613" s="2128"/>
      <c r="P613" s="2128"/>
      <c r="Q613" s="2128"/>
      <c r="R613" s="2128"/>
    </row>
    <row r="614" spans="15:18">
      <c r="O614" s="2128"/>
      <c r="P614" s="2128"/>
      <c r="Q614" s="2128"/>
      <c r="R614" s="2128"/>
    </row>
    <row r="615" spans="15:18">
      <c r="O615" s="2128"/>
      <c r="P615" s="2128"/>
      <c r="Q615" s="2128"/>
      <c r="R615" s="2128"/>
    </row>
    <row r="616" spans="15:18">
      <c r="O616" s="2128"/>
      <c r="P616" s="2128"/>
      <c r="Q616" s="2128"/>
      <c r="R616" s="2128"/>
    </row>
    <row r="617" spans="15:18">
      <c r="O617" s="2128"/>
      <c r="P617" s="2128"/>
      <c r="Q617" s="2128"/>
      <c r="R617" s="2128"/>
    </row>
    <row r="618" spans="15:18">
      <c r="O618" s="2128"/>
      <c r="P618" s="2128"/>
      <c r="Q618" s="2128"/>
      <c r="R618" s="2128"/>
    </row>
    <row r="619" spans="15:18">
      <c r="O619" s="2128"/>
      <c r="P619" s="2128"/>
      <c r="Q619" s="2128"/>
      <c r="R619" s="2128"/>
    </row>
    <row r="620" spans="15:18">
      <c r="O620" s="2128"/>
      <c r="P620" s="2128"/>
      <c r="Q620" s="2128"/>
      <c r="R620" s="2128"/>
    </row>
    <row r="621" spans="15:18">
      <c r="O621" s="2128"/>
      <c r="P621" s="2128"/>
      <c r="Q621" s="2128"/>
      <c r="R621" s="2128"/>
    </row>
    <row r="622" spans="15:18">
      <c r="O622" s="2128"/>
      <c r="P622" s="2128"/>
      <c r="Q622" s="2128"/>
      <c r="R622" s="2128"/>
    </row>
    <row r="623" spans="15:18">
      <c r="O623" s="2128"/>
      <c r="P623" s="2128"/>
      <c r="Q623" s="2128"/>
      <c r="R623" s="2128"/>
    </row>
    <row r="624" spans="15:18">
      <c r="O624" s="2128"/>
      <c r="P624" s="2128"/>
      <c r="Q624" s="2128"/>
      <c r="R624" s="2128"/>
    </row>
    <row r="625" spans="15:18">
      <c r="O625" s="2128"/>
      <c r="P625" s="2128"/>
      <c r="Q625" s="2128"/>
      <c r="R625" s="2128"/>
    </row>
    <row r="626" spans="15:18">
      <c r="O626" s="2128"/>
      <c r="P626" s="2128"/>
      <c r="Q626" s="2128"/>
      <c r="R626" s="2128"/>
    </row>
    <row r="627" spans="15:18">
      <c r="O627" s="2128"/>
      <c r="P627" s="2128"/>
      <c r="Q627" s="2128"/>
      <c r="R627" s="2128"/>
    </row>
    <row r="628" spans="15:18">
      <c r="O628" s="2128"/>
      <c r="P628" s="2128"/>
      <c r="Q628" s="2128"/>
      <c r="R628" s="2128"/>
    </row>
    <row r="629" spans="15:18">
      <c r="O629" s="2128"/>
      <c r="P629" s="2128"/>
      <c r="Q629" s="2128"/>
      <c r="R629" s="2128"/>
    </row>
    <row r="630" spans="15:18">
      <c r="O630" s="2128"/>
      <c r="P630" s="2128"/>
      <c r="Q630" s="2128"/>
      <c r="R630" s="2128"/>
    </row>
    <row r="631" spans="15:18">
      <c r="O631" s="2128"/>
      <c r="P631" s="2128"/>
      <c r="Q631" s="2128"/>
      <c r="R631" s="2128"/>
    </row>
    <row r="632" spans="15:18">
      <c r="O632" s="2128"/>
      <c r="P632" s="2128"/>
      <c r="Q632" s="2128"/>
      <c r="R632" s="2128"/>
    </row>
    <row r="633" spans="15:18">
      <c r="O633" s="2128"/>
      <c r="P633" s="2128"/>
      <c r="Q633" s="2128"/>
      <c r="R633" s="2128"/>
    </row>
    <row r="634" spans="15:18">
      <c r="O634" s="2128"/>
      <c r="P634" s="2128"/>
      <c r="Q634" s="2128"/>
      <c r="R634" s="2128"/>
    </row>
    <row r="635" spans="15:18">
      <c r="O635" s="2128"/>
      <c r="P635" s="2128"/>
      <c r="Q635" s="2128"/>
      <c r="R635" s="2128"/>
    </row>
    <row r="636" spans="15:18">
      <c r="O636" s="2128"/>
      <c r="P636" s="2128"/>
      <c r="Q636" s="2128"/>
      <c r="R636" s="2128"/>
    </row>
    <row r="637" spans="15:18">
      <c r="O637" s="2128"/>
      <c r="P637" s="2128"/>
      <c r="Q637" s="2128"/>
      <c r="R637" s="2128"/>
    </row>
    <row r="638" spans="15:18">
      <c r="O638" s="2128"/>
      <c r="P638" s="2128"/>
      <c r="Q638" s="2128"/>
      <c r="R638" s="2128"/>
    </row>
    <row r="639" spans="15:18">
      <c r="O639" s="2128"/>
      <c r="P639" s="2128"/>
      <c r="Q639" s="2128"/>
      <c r="R639" s="2128"/>
    </row>
    <row r="640" spans="15:18">
      <c r="O640" s="2128"/>
      <c r="P640" s="2128"/>
      <c r="Q640" s="2128"/>
      <c r="R640" s="2128"/>
    </row>
    <row r="641" spans="15:18">
      <c r="O641" s="2128"/>
      <c r="P641" s="2128"/>
      <c r="Q641" s="2128"/>
      <c r="R641" s="2128"/>
    </row>
    <row r="642" spans="15:18">
      <c r="O642" s="2128"/>
      <c r="P642" s="2128"/>
      <c r="Q642" s="2128"/>
      <c r="R642" s="2128"/>
    </row>
    <row r="643" spans="15:18">
      <c r="O643" s="2128"/>
      <c r="P643" s="2128"/>
      <c r="Q643" s="2128"/>
      <c r="R643" s="2128"/>
    </row>
    <row r="644" spans="15:18">
      <c r="O644" s="2128"/>
      <c r="P644" s="2128"/>
      <c r="Q644" s="2128"/>
      <c r="R644" s="2128"/>
    </row>
    <row r="645" spans="15:18">
      <c r="O645" s="2128"/>
      <c r="P645" s="2128"/>
      <c r="Q645" s="2128"/>
      <c r="R645" s="2128"/>
    </row>
    <row r="646" spans="15:18">
      <c r="O646" s="2128"/>
      <c r="P646" s="2128"/>
      <c r="Q646" s="2128"/>
      <c r="R646" s="2128"/>
    </row>
    <row r="647" spans="15:18">
      <c r="O647" s="2128"/>
      <c r="P647" s="2128"/>
      <c r="Q647" s="2128"/>
      <c r="R647" s="2128"/>
    </row>
    <row r="648" spans="15:18">
      <c r="O648" s="2128"/>
      <c r="P648" s="2128"/>
      <c r="Q648" s="2128"/>
      <c r="R648" s="2128"/>
    </row>
    <row r="649" spans="15:18">
      <c r="O649" s="2128"/>
      <c r="P649" s="2128"/>
      <c r="Q649" s="2128"/>
      <c r="R649" s="2128"/>
    </row>
    <row r="650" spans="15:18">
      <c r="O650" s="2128"/>
      <c r="P650" s="2128"/>
      <c r="Q650" s="2128"/>
      <c r="R650" s="2128"/>
    </row>
    <row r="651" spans="15:18">
      <c r="O651" s="2128"/>
      <c r="P651" s="2128"/>
      <c r="Q651" s="2128"/>
      <c r="R651" s="2128"/>
    </row>
    <row r="652" spans="15:18">
      <c r="O652" s="2128"/>
      <c r="P652" s="2128"/>
      <c r="Q652" s="2128"/>
      <c r="R652" s="2128"/>
    </row>
    <row r="653" spans="15:18">
      <c r="O653" s="2128"/>
      <c r="P653" s="2128"/>
      <c r="Q653" s="2128"/>
      <c r="R653" s="2128"/>
    </row>
    <row r="654" spans="15:18">
      <c r="O654" s="2128"/>
      <c r="P654" s="2128"/>
      <c r="Q654" s="2128"/>
      <c r="R654" s="2128"/>
    </row>
    <row r="655" spans="15:18">
      <c r="O655" s="2128"/>
      <c r="P655" s="2128"/>
      <c r="Q655" s="2128"/>
      <c r="R655" s="2128"/>
    </row>
    <row r="656" spans="15:18">
      <c r="O656" s="2128"/>
      <c r="P656" s="2128"/>
      <c r="Q656" s="2128"/>
      <c r="R656" s="2128"/>
    </row>
    <row r="657" spans="15:18">
      <c r="O657" s="2128"/>
      <c r="P657" s="2128"/>
      <c r="Q657" s="2128"/>
      <c r="R657" s="2128"/>
    </row>
    <row r="658" spans="15:18">
      <c r="O658" s="2128"/>
      <c r="P658" s="2128"/>
      <c r="Q658" s="2128"/>
      <c r="R658" s="2128"/>
    </row>
    <row r="659" spans="15:18">
      <c r="O659" s="2128"/>
      <c r="P659" s="2128"/>
      <c r="Q659" s="2128"/>
      <c r="R659" s="2128"/>
    </row>
    <row r="660" spans="15:18">
      <c r="O660" s="2128"/>
      <c r="P660" s="2128"/>
      <c r="Q660" s="2128"/>
      <c r="R660" s="2128"/>
    </row>
    <row r="661" spans="15:18">
      <c r="O661" s="2128"/>
      <c r="P661" s="2128"/>
      <c r="Q661" s="2128"/>
      <c r="R661" s="2128"/>
    </row>
    <row r="662" spans="15:18">
      <c r="O662" s="2128"/>
      <c r="P662" s="2128"/>
      <c r="Q662" s="2128"/>
      <c r="R662" s="2128"/>
    </row>
    <row r="663" spans="15:18">
      <c r="O663" s="2128"/>
      <c r="P663" s="2128"/>
      <c r="Q663" s="2128"/>
      <c r="R663" s="2128"/>
    </row>
    <row r="664" spans="15:18">
      <c r="O664" s="2128"/>
      <c r="P664" s="2128"/>
      <c r="Q664" s="2128"/>
      <c r="R664" s="2128"/>
    </row>
    <row r="665" spans="15:18">
      <c r="O665" s="2128"/>
      <c r="P665" s="2128"/>
      <c r="Q665" s="2128"/>
      <c r="R665" s="2128"/>
    </row>
    <row r="666" spans="15:18">
      <c r="O666" s="2128"/>
      <c r="P666" s="2128"/>
      <c r="Q666" s="2128"/>
      <c r="R666" s="2128"/>
    </row>
    <row r="667" spans="15:18">
      <c r="O667" s="2128"/>
      <c r="P667" s="2128"/>
      <c r="Q667" s="2128"/>
      <c r="R667" s="2128"/>
    </row>
    <row r="668" spans="15:18">
      <c r="O668" s="2128"/>
      <c r="P668" s="2128"/>
      <c r="Q668" s="2128"/>
      <c r="R668" s="2128"/>
    </row>
    <row r="669" spans="15:18">
      <c r="O669" s="2128"/>
      <c r="P669" s="2128"/>
      <c r="Q669" s="2128"/>
      <c r="R669" s="2128"/>
    </row>
    <row r="670" spans="15:18">
      <c r="O670" s="2128"/>
      <c r="P670" s="2128"/>
      <c r="Q670" s="2128"/>
      <c r="R670" s="2128"/>
    </row>
    <row r="671" spans="15:18">
      <c r="O671" s="2128"/>
      <c r="P671" s="2128"/>
      <c r="Q671" s="2128"/>
      <c r="R671" s="2128"/>
    </row>
    <row r="672" spans="15:18">
      <c r="O672" s="2128"/>
      <c r="P672" s="2128"/>
      <c r="Q672" s="2128"/>
      <c r="R672" s="2128"/>
    </row>
    <row r="673" spans="15:18">
      <c r="O673" s="2128"/>
      <c r="P673" s="2128"/>
      <c r="Q673" s="2128"/>
      <c r="R673" s="2128"/>
    </row>
    <row r="674" spans="15:18">
      <c r="O674" s="2128"/>
      <c r="P674" s="2128"/>
      <c r="Q674" s="2128"/>
      <c r="R674" s="2128"/>
    </row>
    <row r="675" spans="15:18">
      <c r="O675" s="2128"/>
      <c r="P675" s="2128"/>
      <c r="Q675" s="2128"/>
      <c r="R675" s="2128"/>
    </row>
    <row r="676" spans="15:18">
      <c r="O676" s="2128"/>
      <c r="P676" s="2128"/>
      <c r="Q676" s="2128"/>
      <c r="R676" s="2128"/>
    </row>
    <row r="677" spans="15:18">
      <c r="O677" s="2128"/>
      <c r="P677" s="2128"/>
      <c r="Q677" s="2128"/>
      <c r="R677" s="2128"/>
    </row>
    <row r="678" spans="15:18">
      <c r="O678" s="2128"/>
      <c r="P678" s="2128"/>
      <c r="Q678" s="2128"/>
      <c r="R678" s="2128"/>
    </row>
    <row r="679" spans="15:18">
      <c r="O679" s="2128"/>
      <c r="P679" s="2128"/>
      <c r="Q679" s="2128"/>
      <c r="R679" s="2128"/>
    </row>
    <row r="680" spans="15:18">
      <c r="O680" s="2128"/>
      <c r="P680" s="2128"/>
      <c r="Q680" s="2128"/>
      <c r="R680" s="2128"/>
    </row>
    <row r="681" spans="15:18">
      <c r="O681" s="2128"/>
      <c r="P681" s="2128"/>
      <c r="Q681" s="2128"/>
      <c r="R681" s="2128"/>
    </row>
    <row r="682" spans="15:18">
      <c r="O682" s="2128"/>
      <c r="P682" s="2128"/>
      <c r="Q682" s="2128"/>
      <c r="R682" s="2128"/>
    </row>
    <row r="683" spans="15:18">
      <c r="O683" s="2128"/>
      <c r="P683" s="2128"/>
      <c r="Q683" s="2128"/>
      <c r="R683" s="2128"/>
    </row>
    <row r="684" spans="15:18">
      <c r="O684" s="2128"/>
      <c r="P684" s="2128"/>
      <c r="Q684" s="2128"/>
      <c r="R684" s="2128"/>
    </row>
    <row r="685" spans="15:18">
      <c r="O685" s="2128"/>
      <c r="P685" s="2128"/>
      <c r="Q685" s="2128"/>
      <c r="R685" s="2128"/>
    </row>
    <row r="686" spans="15:18">
      <c r="O686" s="2128"/>
      <c r="P686" s="2128"/>
      <c r="Q686" s="2128"/>
      <c r="R686" s="2128"/>
    </row>
    <row r="687" spans="15:18">
      <c r="O687" s="2128"/>
      <c r="P687" s="2128"/>
      <c r="Q687" s="2128"/>
      <c r="R687" s="2128"/>
    </row>
    <row r="688" spans="15:18">
      <c r="O688" s="2128"/>
      <c r="P688" s="2128"/>
      <c r="Q688" s="2128"/>
      <c r="R688" s="2128"/>
    </row>
    <row r="689" spans="15:18">
      <c r="O689" s="2128"/>
      <c r="P689" s="2128"/>
      <c r="Q689" s="2128"/>
      <c r="R689" s="2128"/>
    </row>
    <row r="690" spans="15:18">
      <c r="O690" s="2128"/>
      <c r="P690" s="2128"/>
      <c r="Q690" s="2128"/>
      <c r="R690" s="2128"/>
    </row>
    <row r="691" spans="15:18">
      <c r="O691" s="2128"/>
      <c r="P691" s="2128"/>
      <c r="Q691" s="2128"/>
      <c r="R691" s="2128"/>
    </row>
    <row r="692" spans="15:18">
      <c r="O692" s="2128"/>
      <c r="P692" s="2128"/>
      <c r="Q692" s="2128"/>
      <c r="R692" s="2128"/>
    </row>
    <row r="693" spans="15:18">
      <c r="O693" s="2128"/>
      <c r="P693" s="2128"/>
      <c r="Q693" s="2128"/>
      <c r="R693" s="2128"/>
    </row>
    <row r="694" spans="15:18">
      <c r="O694" s="2128"/>
      <c r="P694" s="2128"/>
      <c r="Q694" s="2128"/>
      <c r="R694" s="2128"/>
    </row>
    <row r="695" spans="15:18">
      <c r="O695" s="2128"/>
      <c r="P695" s="2128"/>
      <c r="Q695" s="2128"/>
      <c r="R695" s="2128"/>
    </row>
    <row r="696" spans="15:18">
      <c r="O696" s="2128"/>
      <c r="P696" s="2128"/>
      <c r="Q696" s="2128"/>
      <c r="R696" s="2128"/>
    </row>
    <row r="697" spans="15:18">
      <c r="O697" s="2128"/>
      <c r="P697" s="2128"/>
      <c r="Q697" s="2128"/>
      <c r="R697" s="2128"/>
    </row>
    <row r="698" spans="15:18">
      <c r="O698" s="2128"/>
      <c r="P698" s="2128"/>
      <c r="Q698" s="2128"/>
      <c r="R698" s="2128"/>
    </row>
    <row r="699" spans="15:18">
      <c r="O699" s="2128"/>
      <c r="P699" s="2128"/>
      <c r="Q699" s="2128"/>
      <c r="R699" s="2128"/>
    </row>
    <row r="700" spans="15:18">
      <c r="O700" s="2128"/>
      <c r="P700" s="2128"/>
      <c r="Q700" s="2128"/>
      <c r="R700" s="2128"/>
    </row>
    <row r="701" spans="15:18">
      <c r="O701" s="2128"/>
      <c r="P701" s="2128"/>
      <c r="Q701" s="2128"/>
      <c r="R701" s="2128"/>
    </row>
    <row r="702" spans="15:18">
      <c r="O702" s="2128"/>
      <c r="P702" s="2128"/>
      <c r="Q702" s="2128"/>
      <c r="R702" s="2128"/>
    </row>
    <row r="703" spans="15:18">
      <c r="O703" s="2128"/>
      <c r="P703" s="2128"/>
      <c r="Q703" s="2128"/>
      <c r="R703" s="2128"/>
    </row>
    <row r="704" spans="15:18">
      <c r="O704" s="2128"/>
      <c r="P704" s="2128"/>
      <c r="Q704" s="2128"/>
      <c r="R704" s="2128"/>
    </row>
    <row r="705" spans="15:18">
      <c r="O705" s="2128"/>
      <c r="P705" s="2128"/>
      <c r="Q705" s="2128"/>
      <c r="R705" s="2128"/>
    </row>
    <row r="706" spans="15:18">
      <c r="O706" s="2128"/>
      <c r="P706" s="2128"/>
      <c r="Q706" s="2128"/>
      <c r="R706" s="2128"/>
    </row>
    <row r="707" spans="15:18">
      <c r="O707" s="2128"/>
      <c r="P707" s="2128"/>
      <c r="Q707" s="2128"/>
      <c r="R707" s="2128"/>
    </row>
    <row r="708" spans="15:18">
      <c r="O708" s="2128"/>
      <c r="P708" s="2128"/>
      <c r="Q708" s="2128"/>
      <c r="R708" s="2128"/>
    </row>
    <row r="709" spans="15:18">
      <c r="O709" s="2128"/>
      <c r="P709" s="2128"/>
      <c r="Q709" s="2128"/>
      <c r="R709" s="2128"/>
    </row>
    <row r="710" spans="15:18">
      <c r="O710" s="2128"/>
      <c r="P710" s="2128"/>
      <c r="Q710" s="2128"/>
      <c r="R710" s="2128"/>
    </row>
    <row r="711" spans="15:18">
      <c r="O711" s="2128"/>
      <c r="P711" s="2128"/>
      <c r="Q711" s="2128"/>
      <c r="R711" s="2128"/>
    </row>
    <row r="712" spans="15:18">
      <c r="O712" s="2128"/>
      <c r="P712" s="2128"/>
      <c r="Q712" s="2128"/>
      <c r="R712" s="2128"/>
    </row>
    <row r="713" spans="15:18">
      <c r="O713" s="2128"/>
      <c r="P713" s="2128"/>
      <c r="Q713" s="2128"/>
      <c r="R713" s="2128"/>
    </row>
    <row r="714" spans="15:18">
      <c r="O714" s="2128"/>
      <c r="P714" s="2128"/>
      <c r="Q714" s="2128"/>
      <c r="R714" s="2128"/>
    </row>
    <row r="715" spans="15:18">
      <c r="O715" s="2128"/>
      <c r="P715" s="2128"/>
      <c r="Q715" s="2128"/>
      <c r="R715" s="2128"/>
    </row>
    <row r="716" spans="15:18">
      <c r="O716" s="2128"/>
      <c r="P716" s="2128"/>
      <c r="Q716" s="2128"/>
      <c r="R716" s="2128"/>
    </row>
    <row r="717" spans="15:18">
      <c r="O717" s="2128"/>
      <c r="P717" s="2128"/>
      <c r="Q717" s="2128"/>
      <c r="R717" s="2128"/>
    </row>
    <row r="718" spans="15:18">
      <c r="O718" s="2128"/>
      <c r="P718" s="2128"/>
      <c r="Q718" s="2128"/>
      <c r="R718" s="2128"/>
    </row>
    <row r="719" spans="15:18">
      <c r="O719" s="2128"/>
      <c r="P719" s="2128"/>
      <c r="Q719" s="2128"/>
      <c r="R719" s="2128"/>
    </row>
    <row r="720" spans="15:18">
      <c r="O720" s="2128"/>
      <c r="P720" s="2128"/>
      <c r="Q720" s="2128"/>
      <c r="R720" s="2128"/>
    </row>
    <row r="721" spans="15:18">
      <c r="O721" s="2128"/>
      <c r="P721" s="2128"/>
      <c r="Q721" s="2128"/>
      <c r="R721" s="2128"/>
    </row>
    <row r="722" spans="15:18">
      <c r="O722" s="2128"/>
      <c r="P722" s="2128"/>
      <c r="Q722" s="2128"/>
      <c r="R722" s="2128"/>
    </row>
    <row r="723" spans="15:18">
      <c r="O723" s="2128"/>
      <c r="P723" s="2128"/>
      <c r="Q723" s="2128"/>
      <c r="R723" s="2128"/>
    </row>
    <row r="724" spans="15:18">
      <c r="O724" s="2128"/>
      <c r="P724" s="2128"/>
      <c r="Q724" s="2128"/>
      <c r="R724" s="2128"/>
    </row>
    <row r="725" spans="15:18">
      <c r="O725" s="2128"/>
      <c r="P725" s="2128"/>
      <c r="Q725" s="2128"/>
      <c r="R725" s="2128"/>
    </row>
    <row r="726" spans="15:18">
      <c r="O726" s="2128"/>
      <c r="P726" s="2128"/>
      <c r="Q726" s="2128"/>
      <c r="R726" s="2128"/>
    </row>
    <row r="727" spans="15:18">
      <c r="O727" s="2128"/>
      <c r="P727" s="2128"/>
      <c r="Q727" s="2128"/>
      <c r="R727" s="2128"/>
    </row>
    <row r="728" spans="15:18">
      <c r="O728" s="2128"/>
      <c r="P728" s="2128"/>
      <c r="Q728" s="2128"/>
      <c r="R728" s="2128"/>
    </row>
    <row r="729" spans="15:18">
      <c r="O729" s="2128"/>
      <c r="P729" s="2128"/>
      <c r="Q729" s="2128"/>
      <c r="R729" s="2128"/>
    </row>
    <row r="730" spans="15:18">
      <c r="O730" s="2128"/>
      <c r="P730" s="2128"/>
      <c r="Q730" s="2128"/>
      <c r="R730" s="2128"/>
    </row>
    <row r="731" spans="15:18">
      <c r="O731" s="2128"/>
      <c r="P731" s="2128"/>
      <c r="Q731" s="2128"/>
      <c r="R731" s="2128"/>
    </row>
    <row r="732" spans="15:18">
      <c r="O732" s="2128"/>
      <c r="P732" s="2128"/>
      <c r="Q732" s="2128"/>
      <c r="R732" s="2128"/>
    </row>
    <row r="733" spans="15:18">
      <c r="O733" s="2128"/>
      <c r="P733" s="2128"/>
      <c r="Q733" s="2128"/>
      <c r="R733" s="2128"/>
    </row>
    <row r="734" spans="15:18">
      <c r="O734" s="2128"/>
      <c r="P734" s="2128"/>
      <c r="Q734" s="2128"/>
      <c r="R734" s="2128"/>
    </row>
    <row r="735" spans="15:18">
      <c r="O735" s="2128"/>
      <c r="P735" s="2128"/>
      <c r="Q735" s="2128"/>
      <c r="R735" s="2128"/>
    </row>
    <row r="736" spans="15:18">
      <c r="O736" s="2128"/>
      <c r="P736" s="2128"/>
      <c r="Q736" s="2128"/>
      <c r="R736" s="2128"/>
    </row>
    <row r="737" spans="15:18">
      <c r="O737" s="2128"/>
      <c r="P737" s="2128"/>
      <c r="Q737" s="2128"/>
      <c r="R737" s="2128"/>
    </row>
    <row r="738" spans="15:18">
      <c r="O738" s="2128"/>
      <c r="P738" s="2128"/>
      <c r="Q738" s="2128"/>
      <c r="R738" s="2128"/>
    </row>
    <row r="739" spans="15:18">
      <c r="O739" s="2128"/>
      <c r="P739" s="2128"/>
      <c r="Q739" s="2128"/>
      <c r="R739" s="2128"/>
    </row>
    <row r="740" spans="15:18">
      <c r="O740" s="2128"/>
      <c r="P740" s="2128"/>
      <c r="Q740" s="2128"/>
      <c r="R740" s="2128"/>
    </row>
    <row r="741" spans="15:18">
      <c r="O741" s="2128"/>
      <c r="P741" s="2128"/>
      <c r="Q741" s="2128"/>
      <c r="R741" s="2128"/>
    </row>
    <row r="742" spans="15:18">
      <c r="O742" s="2128"/>
      <c r="P742" s="2128"/>
      <c r="Q742" s="2128"/>
      <c r="R742" s="2128"/>
    </row>
    <row r="743" spans="15:18">
      <c r="O743" s="2128"/>
      <c r="P743" s="2128"/>
      <c r="Q743" s="2128"/>
      <c r="R743" s="2128"/>
    </row>
    <row r="744" spans="15:18">
      <c r="O744" s="2128"/>
      <c r="P744" s="2128"/>
      <c r="Q744" s="2128"/>
      <c r="R744" s="2128"/>
    </row>
    <row r="745" spans="15:18">
      <c r="O745" s="2128"/>
      <c r="P745" s="2128"/>
      <c r="Q745" s="2128"/>
      <c r="R745" s="2128"/>
    </row>
    <row r="746" spans="15:18">
      <c r="O746" s="2128"/>
      <c r="P746" s="2128"/>
      <c r="Q746" s="2128"/>
      <c r="R746" s="2128"/>
    </row>
    <row r="747" spans="15:18">
      <c r="O747" s="2128"/>
      <c r="P747" s="2128"/>
      <c r="Q747" s="2128"/>
      <c r="R747" s="2128"/>
    </row>
    <row r="748" spans="15:18">
      <c r="O748" s="2128"/>
      <c r="P748" s="2128"/>
      <c r="Q748" s="2128"/>
      <c r="R748" s="2128"/>
    </row>
    <row r="749" spans="15:18">
      <c r="O749" s="2128"/>
      <c r="P749" s="2128"/>
      <c r="Q749" s="2128"/>
      <c r="R749" s="2128"/>
    </row>
    <row r="750" spans="15:18">
      <c r="O750" s="2128"/>
      <c r="P750" s="2128"/>
      <c r="Q750" s="2128"/>
      <c r="R750" s="2128"/>
    </row>
    <row r="751" spans="15:18">
      <c r="O751" s="2128"/>
      <c r="P751" s="2128"/>
      <c r="Q751" s="2128"/>
      <c r="R751" s="2128"/>
    </row>
    <row r="752" spans="15:18">
      <c r="O752" s="2128"/>
      <c r="P752" s="2128"/>
      <c r="Q752" s="2128"/>
      <c r="R752" s="2128"/>
    </row>
    <row r="753" spans="15:18">
      <c r="O753" s="2128"/>
      <c r="P753" s="2128"/>
      <c r="Q753" s="2128"/>
      <c r="R753" s="2128"/>
    </row>
    <row r="754" spans="15:18">
      <c r="O754" s="2128"/>
      <c r="P754" s="2128"/>
      <c r="Q754" s="2128"/>
      <c r="R754" s="2128"/>
    </row>
    <row r="755" spans="15:18">
      <c r="O755" s="2128"/>
      <c r="P755" s="2128"/>
      <c r="Q755" s="2128"/>
      <c r="R755" s="2128"/>
    </row>
    <row r="756" spans="15:18">
      <c r="O756" s="2128"/>
      <c r="P756" s="2128"/>
      <c r="Q756" s="2128"/>
      <c r="R756" s="2128"/>
    </row>
    <row r="757" spans="15:18">
      <c r="O757" s="2128"/>
      <c r="P757" s="2128"/>
      <c r="Q757" s="2128"/>
      <c r="R757" s="2128"/>
    </row>
    <row r="758" spans="15:18">
      <c r="O758" s="2128"/>
      <c r="P758" s="2128"/>
      <c r="Q758" s="2128"/>
      <c r="R758" s="2128"/>
    </row>
    <row r="759" spans="15:18">
      <c r="O759" s="2128"/>
      <c r="P759" s="2128"/>
      <c r="Q759" s="2128"/>
      <c r="R759" s="2128"/>
    </row>
    <row r="760" spans="15:18">
      <c r="O760" s="2128"/>
      <c r="P760" s="2128"/>
      <c r="Q760" s="2128"/>
      <c r="R760" s="2128"/>
    </row>
    <row r="761" spans="15:18">
      <c r="O761" s="2128"/>
      <c r="P761" s="2128"/>
      <c r="Q761" s="2128"/>
      <c r="R761" s="2128"/>
    </row>
    <row r="762" spans="15:18">
      <c r="O762" s="2128"/>
      <c r="P762" s="2128"/>
      <c r="Q762" s="2128"/>
      <c r="R762" s="2128"/>
    </row>
    <row r="763" spans="15:18">
      <c r="O763" s="2128"/>
      <c r="P763" s="2128"/>
      <c r="Q763" s="2128"/>
      <c r="R763" s="2128"/>
    </row>
    <row r="764" spans="15:18">
      <c r="O764" s="2128"/>
      <c r="P764" s="2128"/>
      <c r="Q764" s="2128"/>
      <c r="R764" s="2128"/>
    </row>
    <row r="765" spans="15:18">
      <c r="O765" s="2128"/>
      <c r="P765" s="2128"/>
      <c r="Q765" s="2128"/>
      <c r="R765" s="2128"/>
    </row>
    <row r="766" spans="15:18">
      <c r="O766" s="2128"/>
      <c r="P766" s="2128"/>
      <c r="Q766" s="2128"/>
      <c r="R766" s="2128"/>
    </row>
    <row r="767" spans="15:18">
      <c r="O767" s="2128"/>
      <c r="P767" s="2128"/>
      <c r="Q767" s="2128"/>
      <c r="R767" s="2128"/>
    </row>
    <row r="768" spans="15:18">
      <c r="O768" s="2128"/>
      <c r="P768" s="2128"/>
      <c r="Q768" s="2128"/>
      <c r="R768" s="2128"/>
    </row>
    <row r="769" spans="15:18">
      <c r="O769" s="2128"/>
      <c r="P769" s="2128"/>
      <c r="Q769" s="2128"/>
      <c r="R769" s="2128"/>
    </row>
    <row r="770" spans="15:18">
      <c r="O770" s="2128"/>
      <c r="P770" s="2128"/>
      <c r="Q770" s="2128"/>
      <c r="R770" s="2128"/>
    </row>
    <row r="771" spans="15:18">
      <c r="O771" s="2128"/>
      <c r="P771" s="2128"/>
      <c r="Q771" s="2128"/>
      <c r="R771" s="2128"/>
    </row>
    <row r="772" spans="15:18">
      <c r="O772" s="2128"/>
      <c r="P772" s="2128"/>
      <c r="Q772" s="2128"/>
      <c r="R772" s="2128"/>
    </row>
    <row r="773" spans="15:18">
      <c r="O773" s="2128"/>
      <c r="P773" s="2128"/>
      <c r="Q773" s="2128"/>
      <c r="R773" s="2128"/>
    </row>
    <row r="774" spans="15:18">
      <c r="O774" s="2128"/>
      <c r="P774" s="2128"/>
      <c r="Q774" s="2128"/>
      <c r="R774" s="2128"/>
    </row>
    <row r="775" spans="15:18">
      <c r="O775" s="2128"/>
      <c r="P775" s="2128"/>
      <c r="Q775" s="2128"/>
      <c r="R775" s="2128"/>
    </row>
    <row r="776" spans="15:18">
      <c r="O776" s="2128"/>
      <c r="P776" s="2128"/>
      <c r="Q776" s="2128"/>
      <c r="R776" s="2128"/>
    </row>
    <row r="777" spans="15:18">
      <c r="O777" s="2128"/>
      <c r="P777" s="2128"/>
      <c r="Q777" s="2128"/>
      <c r="R777" s="2128"/>
    </row>
    <row r="778" spans="15:18">
      <c r="O778" s="2128"/>
      <c r="P778" s="2128"/>
      <c r="Q778" s="2128"/>
      <c r="R778" s="2128"/>
    </row>
    <row r="779" spans="15:18">
      <c r="O779" s="2128"/>
      <c r="P779" s="2128"/>
      <c r="Q779" s="2128"/>
      <c r="R779" s="2128"/>
    </row>
    <row r="780" spans="15:18">
      <c r="O780" s="2128"/>
      <c r="P780" s="2128"/>
      <c r="Q780" s="2128"/>
      <c r="R780" s="2128"/>
    </row>
    <row r="781" spans="15:18">
      <c r="O781" s="2128"/>
      <c r="P781" s="2128"/>
      <c r="Q781" s="2128"/>
      <c r="R781" s="2128"/>
    </row>
    <row r="782" spans="15:18">
      <c r="O782" s="2128"/>
      <c r="P782" s="2128"/>
      <c r="Q782" s="2128"/>
      <c r="R782" s="2128"/>
    </row>
    <row r="783" spans="15:18">
      <c r="O783" s="2128"/>
      <c r="P783" s="2128"/>
      <c r="Q783" s="2128"/>
      <c r="R783" s="2128"/>
    </row>
    <row r="784" spans="15:18">
      <c r="O784" s="2128"/>
      <c r="P784" s="2128"/>
      <c r="Q784" s="2128"/>
      <c r="R784" s="2128"/>
    </row>
    <row r="785" spans="15:18">
      <c r="O785" s="2128"/>
      <c r="P785" s="2128"/>
      <c r="Q785" s="2128"/>
      <c r="R785" s="2128"/>
    </row>
    <row r="786" spans="15:18">
      <c r="O786" s="2128"/>
      <c r="P786" s="2128"/>
      <c r="Q786" s="2128"/>
      <c r="R786" s="2128"/>
    </row>
    <row r="787" spans="15:18">
      <c r="O787" s="2128"/>
      <c r="P787" s="2128"/>
      <c r="Q787" s="2128"/>
      <c r="R787" s="2128"/>
    </row>
    <row r="788" spans="15:18">
      <c r="O788" s="2128"/>
      <c r="P788" s="2128"/>
      <c r="Q788" s="2128"/>
      <c r="R788" s="2128"/>
    </row>
    <row r="789" spans="15:18">
      <c r="O789" s="2128"/>
      <c r="P789" s="2128"/>
      <c r="Q789" s="2128"/>
      <c r="R789" s="2128"/>
    </row>
    <row r="790" spans="15:18">
      <c r="O790" s="2128"/>
      <c r="P790" s="2128"/>
      <c r="Q790" s="2128"/>
      <c r="R790" s="2128"/>
    </row>
    <row r="791" spans="15:18">
      <c r="O791" s="2128"/>
      <c r="P791" s="2128"/>
      <c r="Q791" s="2128"/>
      <c r="R791" s="2128"/>
    </row>
    <row r="792" spans="15:18">
      <c r="O792" s="2128"/>
      <c r="P792" s="2128"/>
      <c r="Q792" s="2128"/>
      <c r="R792" s="2128"/>
    </row>
    <row r="793" spans="15:18">
      <c r="O793" s="2128"/>
      <c r="P793" s="2128"/>
      <c r="Q793" s="2128"/>
      <c r="R793" s="2128"/>
    </row>
    <row r="794" spans="15:18">
      <c r="O794" s="2128"/>
      <c r="P794" s="2128"/>
      <c r="Q794" s="2128"/>
      <c r="R794" s="2128"/>
    </row>
    <row r="795" spans="15:18">
      <c r="O795" s="2128"/>
      <c r="P795" s="2128"/>
      <c r="Q795" s="2128"/>
      <c r="R795" s="2128"/>
    </row>
    <row r="796" spans="15:18">
      <c r="O796" s="2128"/>
      <c r="P796" s="2128"/>
      <c r="Q796" s="2128"/>
      <c r="R796" s="2128"/>
    </row>
    <row r="797" spans="15:18">
      <c r="O797" s="2128"/>
      <c r="P797" s="2128"/>
      <c r="Q797" s="2128"/>
      <c r="R797" s="2128"/>
    </row>
    <row r="798" spans="15:18">
      <c r="O798" s="2128"/>
      <c r="P798" s="2128"/>
      <c r="Q798" s="2128"/>
      <c r="R798" s="2128"/>
    </row>
    <row r="799" spans="15:18">
      <c r="O799" s="2128"/>
      <c r="P799" s="2128"/>
      <c r="Q799" s="2128"/>
      <c r="R799" s="2128"/>
    </row>
    <row r="800" spans="15:18">
      <c r="O800" s="2128"/>
      <c r="P800" s="2128"/>
      <c r="Q800" s="2128"/>
      <c r="R800" s="2128"/>
    </row>
    <row r="801" spans="15:18">
      <c r="O801" s="2128"/>
      <c r="P801" s="2128"/>
      <c r="Q801" s="2128"/>
      <c r="R801" s="2128"/>
    </row>
    <row r="802" spans="15:18">
      <c r="O802" s="2128"/>
      <c r="P802" s="2128"/>
      <c r="Q802" s="2128"/>
      <c r="R802" s="2128"/>
    </row>
    <row r="803" spans="15:18">
      <c r="O803" s="2128"/>
      <c r="P803" s="2128"/>
      <c r="Q803" s="2128"/>
      <c r="R803" s="2128"/>
    </row>
    <row r="804" spans="15:18">
      <c r="O804" s="2128"/>
      <c r="P804" s="2128"/>
      <c r="Q804" s="2128"/>
      <c r="R804" s="2128"/>
    </row>
    <row r="805" spans="15:18">
      <c r="O805" s="2128"/>
      <c r="P805" s="2128"/>
      <c r="Q805" s="2128"/>
      <c r="R805" s="2128"/>
    </row>
    <row r="806" spans="15:18">
      <c r="O806" s="2128"/>
      <c r="P806" s="2128"/>
      <c r="Q806" s="2128"/>
      <c r="R806" s="2128"/>
    </row>
    <row r="807" spans="15:18">
      <c r="O807" s="2128"/>
      <c r="P807" s="2128"/>
      <c r="Q807" s="2128"/>
      <c r="R807" s="2128"/>
    </row>
    <row r="808" spans="15:18">
      <c r="O808" s="2128"/>
      <c r="P808" s="2128"/>
      <c r="Q808" s="2128"/>
      <c r="R808" s="2128"/>
    </row>
    <row r="809" spans="15:18">
      <c r="O809" s="2128"/>
      <c r="P809" s="2128"/>
      <c r="Q809" s="2128"/>
      <c r="R809" s="2128"/>
    </row>
    <row r="810" spans="15:18">
      <c r="O810" s="2128"/>
      <c r="P810" s="2128"/>
      <c r="Q810" s="2128"/>
      <c r="R810" s="2128"/>
    </row>
    <row r="811" spans="15:18">
      <c r="O811" s="2128"/>
      <c r="P811" s="2128"/>
      <c r="Q811" s="2128"/>
      <c r="R811" s="2128"/>
    </row>
    <row r="812" spans="15:18">
      <c r="O812" s="2128"/>
      <c r="P812" s="2128"/>
      <c r="Q812" s="2128"/>
      <c r="R812" s="2128"/>
    </row>
    <row r="813" spans="15:18">
      <c r="O813" s="2128"/>
      <c r="P813" s="2128"/>
      <c r="Q813" s="2128"/>
      <c r="R813" s="2128"/>
    </row>
    <row r="814" spans="15:18">
      <c r="O814" s="2128"/>
      <c r="P814" s="2128"/>
      <c r="Q814" s="2128"/>
      <c r="R814" s="2128"/>
    </row>
    <row r="815" spans="15:18">
      <c r="O815" s="2128"/>
      <c r="P815" s="2128"/>
      <c r="Q815" s="2128"/>
      <c r="R815" s="2128"/>
    </row>
    <row r="816" spans="15:18">
      <c r="O816" s="2128"/>
      <c r="P816" s="2128"/>
      <c r="Q816" s="2128"/>
      <c r="R816" s="2128"/>
    </row>
    <row r="817" spans="15:18">
      <c r="O817" s="2128"/>
      <c r="P817" s="2128"/>
      <c r="Q817" s="2128"/>
      <c r="R817" s="2128"/>
    </row>
    <row r="818" spans="15:18">
      <c r="O818" s="2128"/>
      <c r="P818" s="2128"/>
      <c r="Q818" s="2128"/>
      <c r="R818" s="2128"/>
    </row>
    <row r="819" spans="15:18">
      <c r="O819" s="2128"/>
      <c r="P819" s="2128"/>
      <c r="Q819" s="2128"/>
      <c r="R819" s="2128"/>
    </row>
    <row r="820" spans="15:18">
      <c r="O820" s="2128"/>
      <c r="P820" s="2128"/>
      <c r="Q820" s="2128"/>
      <c r="R820" s="2128"/>
    </row>
    <row r="821" spans="15:18">
      <c r="O821" s="2128"/>
      <c r="P821" s="2128"/>
      <c r="Q821" s="2128"/>
      <c r="R821" s="2128"/>
    </row>
    <row r="822" spans="15:18">
      <c r="O822" s="2128"/>
      <c r="P822" s="2128"/>
      <c r="Q822" s="2128"/>
      <c r="R822" s="2128"/>
    </row>
    <row r="823" spans="15:18">
      <c r="O823" s="2128"/>
      <c r="P823" s="2128"/>
      <c r="Q823" s="2128"/>
      <c r="R823" s="2128"/>
    </row>
    <row r="824" spans="15:18">
      <c r="O824" s="2128"/>
      <c r="P824" s="2128"/>
      <c r="Q824" s="2128"/>
      <c r="R824" s="2128"/>
    </row>
    <row r="825" spans="15:18">
      <c r="O825" s="2128"/>
      <c r="P825" s="2128"/>
      <c r="Q825" s="2128"/>
      <c r="R825" s="2128"/>
    </row>
    <row r="826" spans="15:18">
      <c r="O826" s="2128"/>
      <c r="P826" s="2128"/>
      <c r="Q826" s="2128"/>
      <c r="R826" s="2128"/>
    </row>
    <row r="827" spans="15:18">
      <c r="O827" s="2128"/>
      <c r="P827" s="2128"/>
      <c r="Q827" s="2128"/>
      <c r="R827" s="2128"/>
    </row>
    <row r="828" spans="15:18">
      <c r="O828" s="2128"/>
      <c r="P828" s="2128"/>
      <c r="Q828" s="2128"/>
      <c r="R828" s="2128"/>
    </row>
    <row r="829" spans="15:18">
      <c r="O829" s="2128"/>
      <c r="P829" s="2128"/>
      <c r="Q829" s="2128"/>
      <c r="R829" s="2128"/>
    </row>
    <row r="830" spans="15:18">
      <c r="O830" s="2128"/>
      <c r="P830" s="2128"/>
      <c r="Q830" s="2128"/>
      <c r="R830" s="2128"/>
    </row>
    <row r="831" spans="15:18">
      <c r="O831" s="2128"/>
      <c r="P831" s="2128"/>
      <c r="Q831" s="2128"/>
      <c r="R831" s="2128"/>
    </row>
    <row r="832" spans="15:18">
      <c r="O832" s="2128"/>
      <c r="P832" s="2128"/>
      <c r="Q832" s="2128"/>
      <c r="R832" s="2128"/>
    </row>
    <row r="833" spans="15:18">
      <c r="O833" s="2128"/>
      <c r="P833" s="2128"/>
      <c r="Q833" s="2128"/>
      <c r="R833" s="2128"/>
    </row>
    <row r="834" spans="15:18">
      <c r="O834" s="2128"/>
      <c r="P834" s="2128"/>
      <c r="Q834" s="2128"/>
      <c r="R834" s="2128"/>
    </row>
    <row r="835" spans="15:18">
      <c r="O835" s="2128"/>
      <c r="P835" s="2128"/>
      <c r="Q835" s="2128"/>
      <c r="R835" s="2128"/>
    </row>
    <row r="836" spans="15:18">
      <c r="O836" s="2128"/>
      <c r="P836" s="2128"/>
      <c r="Q836" s="2128"/>
      <c r="R836" s="2128"/>
    </row>
    <row r="837" spans="15:18">
      <c r="O837" s="2128"/>
      <c r="P837" s="2128"/>
      <c r="Q837" s="2128"/>
      <c r="R837" s="2128"/>
    </row>
    <row r="838" spans="15:18">
      <c r="O838" s="2128"/>
      <c r="P838" s="2128"/>
      <c r="Q838" s="2128"/>
      <c r="R838" s="2128"/>
    </row>
    <row r="839" spans="15:18">
      <c r="O839" s="2128"/>
      <c r="P839" s="2128"/>
      <c r="Q839" s="2128"/>
      <c r="R839" s="2128"/>
    </row>
    <row r="840" spans="15:18">
      <c r="O840" s="2128"/>
      <c r="P840" s="2128"/>
      <c r="Q840" s="2128"/>
      <c r="R840" s="2128"/>
    </row>
    <row r="841" spans="15:18">
      <c r="O841" s="2128"/>
      <c r="P841" s="2128"/>
      <c r="Q841" s="2128"/>
      <c r="R841" s="2128"/>
    </row>
    <row r="842" spans="15:18">
      <c r="O842" s="2128"/>
      <c r="P842" s="2128"/>
      <c r="Q842" s="2128"/>
      <c r="R842" s="2128"/>
    </row>
    <row r="843" spans="15:18">
      <c r="O843" s="2128"/>
      <c r="P843" s="2128"/>
      <c r="Q843" s="2128"/>
      <c r="R843" s="2128"/>
    </row>
    <row r="844" spans="15:18">
      <c r="O844" s="2128"/>
      <c r="P844" s="2128"/>
      <c r="Q844" s="2128"/>
      <c r="R844" s="2128"/>
    </row>
    <row r="845" spans="15:18">
      <c r="O845" s="2128"/>
      <c r="P845" s="2128"/>
      <c r="Q845" s="2128"/>
      <c r="R845" s="2128"/>
    </row>
    <row r="846" spans="15:18">
      <c r="O846" s="2128"/>
      <c r="P846" s="2128"/>
      <c r="Q846" s="2128"/>
      <c r="R846" s="2128"/>
    </row>
    <row r="847" spans="15:18">
      <c r="O847" s="2128"/>
      <c r="P847" s="2128"/>
      <c r="Q847" s="2128"/>
      <c r="R847" s="2128"/>
    </row>
    <row r="848" spans="15:18">
      <c r="O848" s="2128"/>
      <c r="P848" s="2128"/>
      <c r="Q848" s="2128"/>
      <c r="R848" s="2128"/>
    </row>
    <row r="849" spans="15:18">
      <c r="O849" s="2128"/>
      <c r="P849" s="2128"/>
      <c r="Q849" s="2128"/>
      <c r="R849" s="2128"/>
    </row>
    <row r="850" spans="15:18">
      <c r="O850" s="2128"/>
      <c r="P850" s="2128"/>
      <c r="Q850" s="2128"/>
      <c r="R850" s="2128"/>
    </row>
    <row r="851" spans="15:18">
      <c r="O851" s="2128"/>
      <c r="P851" s="2128"/>
      <c r="Q851" s="2128"/>
      <c r="R851" s="2128"/>
    </row>
    <row r="852" spans="15:18">
      <c r="O852" s="2128"/>
      <c r="P852" s="2128"/>
      <c r="Q852" s="2128"/>
      <c r="R852" s="2128"/>
    </row>
    <row r="853" spans="15:18">
      <c r="O853" s="2128"/>
      <c r="P853" s="2128"/>
      <c r="Q853" s="2128"/>
      <c r="R853" s="2128"/>
    </row>
    <row r="854" spans="15:18">
      <c r="O854" s="2128"/>
      <c r="P854" s="2128"/>
      <c r="Q854" s="2128"/>
      <c r="R854" s="2128"/>
    </row>
    <row r="855" spans="15:18">
      <c r="O855" s="2128"/>
      <c r="P855" s="2128"/>
      <c r="Q855" s="2128"/>
      <c r="R855" s="2128"/>
    </row>
    <row r="856" spans="15:18">
      <c r="O856" s="2128"/>
      <c r="P856" s="2128"/>
      <c r="Q856" s="2128"/>
      <c r="R856" s="2128"/>
    </row>
    <row r="857" spans="15:18">
      <c r="O857" s="2128"/>
      <c r="P857" s="2128"/>
      <c r="Q857" s="2128"/>
      <c r="R857" s="2128"/>
    </row>
    <row r="858" spans="15:18">
      <c r="O858" s="2128"/>
      <c r="P858" s="2128"/>
      <c r="Q858" s="2128"/>
      <c r="R858" s="2128"/>
    </row>
    <row r="859" spans="15:18">
      <c r="O859" s="2128"/>
      <c r="P859" s="2128"/>
      <c r="Q859" s="2128"/>
      <c r="R859" s="2128"/>
    </row>
    <row r="860" spans="15:18">
      <c r="O860" s="2128"/>
      <c r="P860" s="2128"/>
      <c r="Q860" s="2128"/>
      <c r="R860" s="2128"/>
    </row>
    <row r="861" spans="15:18">
      <c r="O861" s="2128"/>
      <c r="P861" s="2128"/>
      <c r="Q861" s="2128"/>
      <c r="R861" s="2128"/>
    </row>
    <row r="862" spans="15:18">
      <c r="O862" s="2128"/>
      <c r="P862" s="2128"/>
      <c r="Q862" s="2128"/>
      <c r="R862" s="2128"/>
    </row>
    <row r="863" spans="15:18">
      <c r="O863" s="2128"/>
      <c r="P863" s="2128"/>
      <c r="Q863" s="2128"/>
      <c r="R863" s="2128"/>
    </row>
    <row r="864" spans="15:18">
      <c r="O864" s="2128"/>
      <c r="P864" s="2128"/>
      <c r="Q864" s="2128"/>
      <c r="R864" s="2128"/>
    </row>
    <row r="865" spans="15:18">
      <c r="O865" s="2128"/>
      <c r="P865" s="2128"/>
      <c r="Q865" s="2128"/>
      <c r="R865" s="2128"/>
    </row>
    <row r="866" spans="15:18">
      <c r="O866" s="2128"/>
      <c r="P866" s="2128"/>
      <c r="Q866" s="2128"/>
      <c r="R866" s="2128"/>
    </row>
    <row r="867" spans="15:18">
      <c r="O867" s="2128"/>
      <c r="P867" s="2128"/>
      <c r="Q867" s="2128"/>
      <c r="R867" s="2128"/>
    </row>
    <row r="868" spans="15:18">
      <c r="O868" s="2128"/>
      <c r="P868" s="2128"/>
      <c r="Q868" s="2128"/>
      <c r="R868" s="2128"/>
    </row>
    <row r="869" spans="15:18">
      <c r="O869" s="2128"/>
      <c r="P869" s="2128"/>
      <c r="Q869" s="2128"/>
      <c r="R869" s="2128"/>
    </row>
    <row r="870" spans="15:18">
      <c r="O870" s="2128"/>
      <c r="P870" s="2128"/>
      <c r="Q870" s="2128"/>
      <c r="R870" s="2128"/>
    </row>
    <row r="871" spans="15:18">
      <c r="O871" s="2128"/>
      <c r="P871" s="2128"/>
      <c r="Q871" s="2128"/>
      <c r="R871" s="2128"/>
    </row>
    <row r="872" spans="15:18">
      <c r="O872" s="2128"/>
      <c r="P872" s="2128"/>
      <c r="Q872" s="2128"/>
      <c r="R872" s="2128"/>
    </row>
    <row r="873" spans="15:18">
      <c r="O873" s="2128"/>
      <c r="P873" s="2128"/>
      <c r="Q873" s="2128"/>
      <c r="R873" s="2128"/>
    </row>
    <row r="874" spans="15:18">
      <c r="O874" s="2128"/>
      <c r="P874" s="2128"/>
      <c r="Q874" s="2128"/>
      <c r="R874" s="2128"/>
    </row>
    <row r="875" spans="15:18">
      <c r="O875" s="2128"/>
      <c r="P875" s="2128"/>
      <c r="Q875" s="2128"/>
      <c r="R875" s="2128"/>
    </row>
    <row r="876" spans="15:18">
      <c r="O876" s="2128"/>
      <c r="P876" s="2128"/>
      <c r="Q876" s="2128"/>
      <c r="R876" s="2128"/>
    </row>
    <row r="877" spans="15:18">
      <c r="O877" s="2128"/>
      <c r="P877" s="2128"/>
      <c r="Q877" s="2128"/>
      <c r="R877" s="2128"/>
    </row>
    <row r="878" spans="15:18">
      <c r="O878" s="2128"/>
      <c r="P878" s="2128"/>
      <c r="Q878" s="2128"/>
      <c r="R878" s="2128"/>
    </row>
    <row r="879" spans="15:18">
      <c r="O879" s="2128"/>
      <c r="P879" s="2128"/>
      <c r="Q879" s="2128"/>
      <c r="R879" s="2128"/>
    </row>
    <row r="880" spans="15:18">
      <c r="O880" s="2128"/>
      <c r="P880" s="2128"/>
      <c r="Q880" s="2128"/>
      <c r="R880" s="2128"/>
    </row>
    <row r="881" spans="15:18">
      <c r="O881" s="2128"/>
      <c r="P881" s="2128"/>
      <c r="Q881" s="2128"/>
      <c r="R881" s="2128"/>
    </row>
    <row r="882" spans="15:18">
      <c r="O882" s="2128"/>
      <c r="P882" s="2128"/>
      <c r="Q882" s="2128"/>
      <c r="R882" s="2128"/>
    </row>
    <row r="883" spans="15:18">
      <c r="O883" s="2128"/>
      <c r="P883" s="2128"/>
      <c r="Q883" s="2128"/>
      <c r="R883" s="2128"/>
    </row>
    <row r="884" spans="15:18">
      <c r="O884" s="2128"/>
      <c r="P884" s="2128"/>
      <c r="Q884" s="2128"/>
      <c r="R884" s="2128"/>
    </row>
    <row r="885" spans="15:18">
      <c r="O885" s="2128"/>
      <c r="P885" s="2128"/>
      <c r="Q885" s="2128"/>
      <c r="R885" s="2128"/>
    </row>
    <row r="886" spans="15:18">
      <c r="O886" s="2128"/>
      <c r="P886" s="2128"/>
      <c r="Q886" s="2128"/>
      <c r="R886" s="2128"/>
    </row>
    <row r="887" spans="15:18">
      <c r="O887" s="2128"/>
      <c r="P887" s="2128"/>
      <c r="Q887" s="2128"/>
      <c r="R887" s="2128"/>
    </row>
    <row r="888" spans="15:18">
      <c r="O888" s="2128"/>
      <c r="P888" s="2128"/>
      <c r="Q888" s="2128"/>
      <c r="R888" s="2128"/>
    </row>
    <row r="889" spans="15:18">
      <c r="O889" s="2128"/>
      <c r="P889" s="2128"/>
      <c r="Q889" s="2128"/>
      <c r="R889" s="2128"/>
    </row>
    <row r="890" spans="15:18">
      <c r="O890" s="2128"/>
      <c r="P890" s="2128"/>
      <c r="Q890" s="2128"/>
      <c r="R890" s="2128"/>
    </row>
    <row r="891" spans="15:18">
      <c r="O891" s="2128"/>
      <c r="P891" s="2128"/>
      <c r="Q891" s="2128"/>
      <c r="R891" s="2128"/>
    </row>
    <row r="892" spans="15:18">
      <c r="O892" s="2128"/>
      <c r="P892" s="2128"/>
      <c r="Q892" s="2128"/>
      <c r="R892" s="2128"/>
    </row>
    <row r="893" spans="15:18">
      <c r="O893" s="2128"/>
      <c r="P893" s="2128"/>
      <c r="Q893" s="2128"/>
      <c r="R893" s="2128"/>
    </row>
    <row r="894" spans="15:18">
      <c r="O894" s="2128"/>
      <c r="P894" s="2128"/>
      <c r="Q894" s="2128"/>
      <c r="R894" s="2128"/>
    </row>
    <row r="895" spans="15:18">
      <c r="O895" s="2128"/>
      <c r="P895" s="2128"/>
      <c r="Q895" s="2128"/>
      <c r="R895" s="2128"/>
    </row>
    <row r="896" spans="15:18">
      <c r="O896" s="2128"/>
      <c r="P896" s="2128"/>
      <c r="Q896" s="2128"/>
      <c r="R896" s="2128"/>
    </row>
    <row r="897" spans="15:18">
      <c r="O897" s="2128"/>
      <c r="P897" s="2128"/>
      <c r="Q897" s="2128"/>
      <c r="R897" s="2128"/>
    </row>
    <row r="898" spans="15:18">
      <c r="O898" s="2128"/>
      <c r="P898" s="2128"/>
      <c r="Q898" s="2128"/>
      <c r="R898" s="2128"/>
    </row>
    <row r="899" spans="15:18">
      <c r="O899" s="2128"/>
      <c r="P899" s="2128"/>
      <c r="Q899" s="2128"/>
      <c r="R899" s="2128"/>
    </row>
    <row r="900" spans="15:18">
      <c r="O900" s="2128"/>
      <c r="P900" s="2128"/>
      <c r="Q900" s="2128"/>
      <c r="R900" s="2128"/>
    </row>
    <row r="901" spans="15:18">
      <c r="O901" s="2128"/>
      <c r="P901" s="2128"/>
      <c r="Q901" s="2128"/>
      <c r="R901" s="2128"/>
    </row>
    <row r="902" spans="15:18">
      <c r="O902" s="2128"/>
      <c r="P902" s="2128"/>
      <c r="Q902" s="2128"/>
      <c r="R902" s="2128"/>
    </row>
    <row r="903" spans="15:18">
      <c r="O903" s="2128"/>
      <c r="P903" s="2128"/>
      <c r="Q903" s="2128"/>
      <c r="R903" s="2128"/>
    </row>
    <row r="904" spans="15:18">
      <c r="O904" s="2128"/>
      <c r="P904" s="2128"/>
      <c r="Q904" s="2128"/>
      <c r="R904" s="2128"/>
    </row>
    <row r="905" spans="15:18">
      <c r="O905" s="2128"/>
      <c r="P905" s="2128"/>
      <c r="Q905" s="2128"/>
      <c r="R905" s="2128"/>
    </row>
    <row r="906" spans="15:18">
      <c r="O906" s="2128"/>
      <c r="P906" s="2128"/>
      <c r="Q906" s="2128"/>
      <c r="R906" s="2128"/>
    </row>
    <row r="907" spans="15:18">
      <c r="O907" s="2128"/>
      <c r="P907" s="2128"/>
      <c r="Q907" s="2128"/>
      <c r="R907" s="2128"/>
    </row>
    <row r="908" spans="15:18">
      <c r="O908" s="2128"/>
      <c r="P908" s="2128"/>
      <c r="Q908" s="2128"/>
      <c r="R908" s="2128"/>
    </row>
    <row r="909" spans="15:18">
      <c r="O909" s="2128"/>
      <c r="P909" s="2128"/>
      <c r="Q909" s="2128"/>
      <c r="R909" s="2128"/>
    </row>
    <row r="910" spans="15:18">
      <c r="O910" s="2128"/>
      <c r="P910" s="2128"/>
      <c r="Q910" s="2128"/>
      <c r="R910" s="2128"/>
    </row>
    <row r="911" spans="15:18">
      <c r="O911" s="2128"/>
      <c r="P911" s="2128"/>
      <c r="Q911" s="2128"/>
      <c r="R911" s="2128"/>
    </row>
    <row r="912" spans="15:18">
      <c r="O912" s="2128"/>
      <c r="P912" s="2128"/>
      <c r="Q912" s="2128"/>
      <c r="R912" s="2128"/>
    </row>
    <row r="913" spans="15:18">
      <c r="O913" s="2128"/>
      <c r="P913" s="2128"/>
      <c r="Q913" s="2128"/>
      <c r="R913" s="2128"/>
    </row>
    <row r="914" spans="15:18">
      <c r="O914" s="2128"/>
      <c r="P914" s="2128"/>
      <c r="Q914" s="2128"/>
      <c r="R914" s="2128"/>
    </row>
    <row r="915" spans="15:18">
      <c r="O915" s="2128"/>
      <c r="P915" s="2128"/>
      <c r="Q915" s="2128"/>
      <c r="R915" s="2128"/>
    </row>
    <row r="916" spans="15:18">
      <c r="O916" s="2128"/>
      <c r="P916" s="2128"/>
      <c r="Q916" s="2128"/>
      <c r="R916" s="2128"/>
    </row>
    <row r="917" spans="15:18">
      <c r="O917" s="2128"/>
      <c r="P917" s="2128"/>
      <c r="Q917" s="2128"/>
      <c r="R917" s="2128"/>
    </row>
    <row r="918" spans="15:18">
      <c r="O918" s="2128"/>
      <c r="P918" s="2128"/>
      <c r="Q918" s="2128"/>
      <c r="R918" s="2128"/>
    </row>
    <row r="919" spans="15:18">
      <c r="O919" s="2128"/>
      <c r="P919" s="2128"/>
      <c r="Q919" s="2128"/>
      <c r="R919" s="2128"/>
    </row>
    <row r="920" spans="15:18">
      <c r="O920" s="2128"/>
      <c r="P920" s="2128"/>
      <c r="Q920" s="2128"/>
      <c r="R920" s="2128"/>
    </row>
    <row r="921" spans="15:18">
      <c r="O921" s="2128"/>
      <c r="P921" s="2128"/>
      <c r="Q921" s="2128"/>
      <c r="R921" s="2128"/>
    </row>
    <row r="922" spans="15:18">
      <c r="O922" s="2128"/>
      <c r="P922" s="2128"/>
      <c r="Q922" s="2128"/>
      <c r="R922" s="2128"/>
    </row>
    <row r="923" spans="15:18">
      <c r="O923" s="2128"/>
      <c r="P923" s="2128"/>
      <c r="Q923" s="2128"/>
      <c r="R923" s="2128"/>
    </row>
    <row r="924" spans="15:18">
      <c r="O924" s="2128"/>
      <c r="P924" s="2128"/>
      <c r="Q924" s="2128"/>
      <c r="R924" s="2128"/>
    </row>
    <row r="925" spans="15:18">
      <c r="O925" s="2128"/>
      <c r="P925" s="2128"/>
      <c r="Q925" s="2128"/>
      <c r="R925" s="2128"/>
    </row>
    <row r="926" spans="15:18">
      <c r="O926" s="2128"/>
      <c r="P926" s="2128"/>
      <c r="Q926" s="2128"/>
      <c r="R926" s="2128"/>
    </row>
    <row r="927" spans="15:18">
      <c r="O927" s="2128"/>
      <c r="P927" s="2128"/>
      <c r="Q927" s="2128"/>
      <c r="R927" s="2128"/>
    </row>
    <row r="928" spans="15:18">
      <c r="O928" s="2128"/>
      <c r="P928" s="2128"/>
      <c r="Q928" s="2128"/>
      <c r="R928" s="2128"/>
    </row>
    <row r="929" spans="15:18">
      <c r="O929" s="2128"/>
      <c r="P929" s="2128"/>
      <c r="Q929" s="2128"/>
      <c r="R929" s="2128"/>
    </row>
    <row r="930" spans="15:18">
      <c r="O930" s="2128"/>
      <c r="P930" s="2128"/>
      <c r="Q930" s="2128"/>
      <c r="R930" s="2128"/>
    </row>
    <row r="931" spans="15:18">
      <c r="O931" s="2128"/>
      <c r="P931" s="2128"/>
      <c r="Q931" s="2128"/>
      <c r="R931" s="2128"/>
    </row>
    <row r="932" spans="15:18">
      <c r="O932" s="2128"/>
      <c r="P932" s="2128"/>
      <c r="Q932" s="2128"/>
      <c r="R932" s="2128"/>
    </row>
    <row r="933" spans="15:18">
      <c r="O933" s="2128"/>
      <c r="P933" s="2128"/>
      <c r="Q933" s="2128"/>
      <c r="R933" s="2128"/>
    </row>
    <row r="934" spans="15:18">
      <c r="O934" s="2128"/>
      <c r="P934" s="2128"/>
      <c r="Q934" s="2128"/>
      <c r="R934" s="2128"/>
    </row>
    <row r="935" spans="15:18">
      <c r="O935" s="2128"/>
      <c r="P935" s="2128"/>
      <c r="Q935" s="2128"/>
      <c r="R935" s="2128"/>
    </row>
    <row r="936" spans="15:18">
      <c r="O936" s="2128"/>
      <c r="P936" s="2128"/>
      <c r="Q936" s="2128"/>
      <c r="R936" s="2128"/>
    </row>
    <row r="937" spans="15:18">
      <c r="O937" s="2128"/>
      <c r="P937" s="2128"/>
      <c r="Q937" s="2128"/>
      <c r="R937" s="2128"/>
    </row>
    <row r="938" spans="15:18">
      <c r="O938" s="2128"/>
      <c r="P938" s="2128"/>
      <c r="Q938" s="2128"/>
      <c r="R938" s="2128"/>
    </row>
    <row r="939" spans="15:18">
      <c r="O939" s="2128"/>
      <c r="P939" s="2128"/>
      <c r="Q939" s="2128"/>
      <c r="R939" s="2128"/>
    </row>
    <row r="940" spans="15:18">
      <c r="O940" s="2128"/>
      <c r="P940" s="2128"/>
      <c r="Q940" s="2128"/>
      <c r="R940" s="2128"/>
    </row>
    <row r="941" spans="15:18">
      <c r="O941" s="2128"/>
      <c r="P941" s="2128"/>
      <c r="Q941" s="2128"/>
      <c r="R941" s="2128"/>
    </row>
    <row r="942" spans="15:18">
      <c r="O942" s="2128"/>
      <c r="P942" s="2128"/>
      <c r="Q942" s="2128"/>
      <c r="R942" s="2128"/>
    </row>
    <row r="943" spans="15:18">
      <c r="O943" s="2128"/>
      <c r="P943" s="2128"/>
      <c r="Q943" s="2128"/>
      <c r="R943" s="2128"/>
    </row>
    <row r="944" spans="15:18">
      <c r="O944" s="2128"/>
      <c r="P944" s="2128"/>
      <c r="Q944" s="2128"/>
      <c r="R944" s="2128"/>
    </row>
    <row r="945" spans="15:18">
      <c r="O945" s="2128"/>
      <c r="P945" s="2128"/>
      <c r="Q945" s="2128"/>
      <c r="R945" s="2128"/>
    </row>
    <row r="946" spans="15:18">
      <c r="O946" s="2128"/>
      <c r="P946" s="2128"/>
      <c r="Q946" s="2128"/>
      <c r="R946" s="2128"/>
    </row>
    <row r="947" spans="15:18">
      <c r="O947" s="2128"/>
      <c r="P947" s="2128"/>
      <c r="Q947" s="2128"/>
      <c r="R947" s="2128"/>
    </row>
    <row r="948" spans="15:18">
      <c r="O948" s="2128"/>
      <c r="P948" s="2128"/>
      <c r="Q948" s="2128"/>
      <c r="R948" s="2128"/>
    </row>
    <row r="949" spans="15:18">
      <c r="O949" s="2128"/>
      <c r="P949" s="2128"/>
      <c r="Q949" s="2128"/>
      <c r="R949" s="2128"/>
    </row>
    <row r="950" spans="15:18">
      <c r="O950" s="2128"/>
      <c r="P950" s="2128"/>
      <c r="Q950" s="2128"/>
      <c r="R950" s="2128"/>
    </row>
    <row r="951" spans="15:18">
      <c r="O951" s="2128"/>
      <c r="P951" s="2128"/>
      <c r="Q951" s="2128"/>
      <c r="R951" s="2128"/>
    </row>
    <row r="952" spans="15:18">
      <c r="O952" s="2128"/>
      <c r="P952" s="2128"/>
      <c r="Q952" s="2128"/>
      <c r="R952" s="2128"/>
    </row>
    <row r="953" spans="15:18">
      <c r="O953" s="2128"/>
      <c r="P953" s="2128"/>
      <c r="Q953" s="2128"/>
      <c r="R953" s="2128"/>
    </row>
    <row r="954" spans="15:18">
      <c r="O954" s="2128"/>
      <c r="P954" s="2128"/>
      <c r="Q954" s="2128"/>
      <c r="R954" s="2128"/>
    </row>
    <row r="955" spans="15:18">
      <c r="O955" s="2128"/>
      <c r="P955" s="2128"/>
      <c r="Q955" s="2128"/>
      <c r="R955" s="2128"/>
    </row>
    <row r="956" spans="15:18">
      <c r="O956" s="2128"/>
      <c r="P956" s="2128"/>
      <c r="Q956" s="2128"/>
      <c r="R956" s="2128"/>
    </row>
    <row r="957" spans="15:18">
      <c r="O957" s="2128"/>
      <c r="P957" s="2128"/>
      <c r="Q957" s="2128"/>
      <c r="R957" s="2128"/>
    </row>
    <row r="958" spans="15:18">
      <c r="O958" s="2128"/>
      <c r="P958" s="2128"/>
      <c r="Q958" s="2128"/>
      <c r="R958" s="2128"/>
    </row>
    <row r="959" spans="15:18">
      <c r="O959" s="2128"/>
      <c r="P959" s="2128"/>
      <c r="Q959" s="2128"/>
      <c r="R959" s="2128"/>
    </row>
    <row r="960" spans="15:18">
      <c r="O960" s="2128"/>
      <c r="P960" s="2128"/>
      <c r="Q960" s="2128"/>
      <c r="R960" s="2128"/>
    </row>
    <row r="961" spans="15:18">
      <c r="O961" s="2128"/>
      <c r="P961" s="2128"/>
      <c r="Q961" s="2128"/>
      <c r="R961" s="2128"/>
    </row>
    <row r="962" spans="15:18">
      <c r="O962" s="2128"/>
      <c r="P962" s="2128"/>
      <c r="Q962" s="2128"/>
      <c r="R962" s="2128"/>
    </row>
    <row r="963" spans="15:18">
      <c r="O963" s="2128"/>
      <c r="P963" s="2128"/>
      <c r="Q963" s="2128"/>
      <c r="R963" s="2128"/>
    </row>
    <row r="964" spans="15:18">
      <c r="O964" s="2128"/>
      <c r="P964" s="2128"/>
      <c r="Q964" s="2128"/>
      <c r="R964" s="2128"/>
    </row>
    <row r="965" spans="15:18">
      <c r="O965" s="2128"/>
      <c r="P965" s="2128"/>
      <c r="Q965" s="2128"/>
      <c r="R965" s="2128"/>
    </row>
    <row r="966" spans="15:18">
      <c r="O966" s="2128"/>
      <c r="P966" s="2128"/>
      <c r="Q966" s="2128"/>
      <c r="R966" s="2128"/>
    </row>
    <row r="967" spans="15:18">
      <c r="O967" s="2128"/>
      <c r="P967" s="2128"/>
      <c r="Q967" s="2128"/>
      <c r="R967" s="2128"/>
    </row>
    <row r="968" spans="15:18">
      <c r="O968" s="2128"/>
      <c r="P968" s="2128"/>
      <c r="Q968" s="2128"/>
      <c r="R968" s="2128"/>
    </row>
    <row r="969" spans="15:18">
      <c r="O969" s="2128"/>
      <c r="P969" s="2128"/>
      <c r="Q969" s="2128"/>
      <c r="R969" s="2128"/>
    </row>
    <row r="970" spans="15:18">
      <c r="O970" s="2128"/>
      <c r="P970" s="2128"/>
      <c r="Q970" s="2128"/>
      <c r="R970" s="2128"/>
    </row>
    <row r="971" spans="15:18">
      <c r="O971" s="2128"/>
      <c r="P971" s="2128"/>
      <c r="Q971" s="2128"/>
      <c r="R971" s="2128"/>
    </row>
    <row r="972" spans="15:18">
      <c r="O972" s="2128"/>
      <c r="P972" s="2128"/>
      <c r="Q972" s="2128"/>
      <c r="R972" s="2128"/>
    </row>
    <row r="973" spans="15:18">
      <c r="O973" s="2128"/>
      <c r="P973" s="2128"/>
      <c r="Q973" s="2128"/>
      <c r="R973" s="2128"/>
    </row>
    <row r="974" spans="15:18">
      <c r="O974" s="2128"/>
      <c r="P974" s="2128"/>
      <c r="Q974" s="2128"/>
      <c r="R974" s="2128"/>
    </row>
    <row r="975" spans="15:18">
      <c r="O975" s="2128"/>
      <c r="P975" s="2128"/>
      <c r="Q975" s="2128"/>
      <c r="R975" s="2128"/>
    </row>
    <row r="976" spans="15:18">
      <c r="O976" s="2128"/>
      <c r="P976" s="2128"/>
      <c r="Q976" s="2128"/>
      <c r="R976" s="2128"/>
    </row>
    <row r="977" spans="15:18">
      <c r="O977" s="2128"/>
      <c r="P977" s="2128"/>
      <c r="Q977" s="2128"/>
      <c r="R977" s="2128"/>
    </row>
    <row r="978" spans="15:18">
      <c r="O978" s="2128"/>
      <c r="P978" s="2128"/>
      <c r="Q978" s="2128"/>
      <c r="R978" s="2128"/>
    </row>
    <row r="979" spans="15:18">
      <c r="O979" s="2128"/>
      <c r="P979" s="2128"/>
      <c r="Q979" s="2128"/>
      <c r="R979" s="2128"/>
    </row>
    <row r="980" spans="15:18">
      <c r="O980" s="2128"/>
      <c r="P980" s="2128"/>
      <c r="Q980" s="2128"/>
      <c r="R980" s="2128"/>
    </row>
    <row r="981" spans="15:18">
      <c r="O981" s="2128"/>
      <c r="P981" s="2128"/>
      <c r="Q981" s="2128"/>
      <c r="R981" s="2128"/>
    </row>
    <row r="982" spans="15:18">
      <c r="O982" s="2128"/>
      <c r="P982" s="2128"/>
      <c r="Q982" s="2128"/>
      <c r="R982" s="2128"/>
    </row>
    <row r="983" spans="15:18">
      <c r="O983" s="2128"/>
      <c r="P983" s="2128"/>
      <c r="Q983" s="2128"/>
      <c r="R983" s="2128"/>
    </row>
    <row r="984" spans="15:18">
      <c r="O984" s="2128"/>
      <c r="P984" s="2128"/>
      <c r="Q984" s="2128"/>
      <c r="R984" s="2128"/>
    </row>
    <row r="985" spans="15:18">
      <c r="O985" s="2128"/>
      <c r="P985" s="2128"/>
      <c r="Q985" s="2128"/>
      <c r="R985" s="2128"/>
    </row>
    <row r="986" spans="15:18">
      <c r="O986" s="2128"/>
      <c r="P986" s="2128"/>
      <c r="Q986" s="2128"/>
      <c r="R986" s="2128"/>
    </row>
    <row r="987" spans="15:18">
      <c r="O987" s="2128"/>
      <c r="P987" s="2128"/>
      <c r="Q987" s="2128"/>
      <c r="R987" s="2128"/>
    </row>
    <row r="988" spans="15:18">
      <c r="O988" s="2128"/>
      <c r="P988" s="2128"/>
      <c r="Q988" s="2128"/>
      <c r="R988" s="2128"/>
    </row>
    <row r="989" spans="15:18">
      <c r="O989" s="2128"/>
      <c r="P989" s="2128"/>
      <c r="Q989" s="2128"/>
      <c r="R989" s="2128"/>
    </row>
    <row r="990" spans="15:18">
      <c r="O990" s="2128"/>
      <c r="P990" s="2128"/>
      <c r="Q990" s="2128"/>
      <c r="R990" s="2128"/>
    </row>
    <row r="991" spans="15:18">
      <c r="O991" s="2128"/>
      <c r="P991" s="2128"/>
      <c r="Q991" s="2128"/>
      <c r="R991" s="2128"/>
    </row>
    <row r="992" spans="15:18">
      <c r="O992" s="2128"/>
      <c r="P992" s="2128"/>
      <c r="Q992" s="2128"/>
      <c r="R992" s="2128"/>
    </row>
    <row r="993" spans="15:18">
      <c r="O993" s="2128"/>
      <c r="P993" s="2128"/>
      <c r="Q993" s="2128"/>
      <c r="R993" s="2128"/>
    </row>
    <row r="994" spans="15:18">
      <c r="O994" s="2128"/>
      <c r="P994" s="2128"/>
      <c r="Q994" s="2128"/>
      <c r="R994" s="2128"/>
    </row>
    <row r="995" spans="15:18">
      <c r="O995" s="2128"/>
      <c r="P995" s="2128"/>
      <c r="Q995" s="2128"/>
      <c r="R995" s="2128"/>
    </row>
    <row r="996" spans="15:18">
      <c r="O996" s="2128"/>
      <c r="P996" s="2128"/>
      <c r="Q996" s="2128"/>
      <c r="R996" s="2128"/>
    </row>
    <row r="997" spans="15:18">
      <c r="O997" s="2128"/>
      <c r="P997" s="2128"/>
      <c r="Q997" s="2128"/>
      <c r="R997" s="2128"/>
    </row>
    <row r="998" spans="15:18">
      <c r="O998" s="2128"/>
      <c r="P998" s="2128"/>
      <c r="Q998" s="2128"/>
      <c r="R998" s="2128"/>
    </row>
    <row r="999" spans="15:18">
      <c r="O999" s="2128"/>
      <c r="P999" s="2128"/>
      <c r="Q999" s="2128"/>
      <c r="R999" s="2128"/>
    </row>
    <row r="1000" spans="15:18">
      <c r="O1000" s="2128"/>
      <c r="P1000" s="2128"/>
      <c r="Q1000" s="2128"/>
      <c r="R1000" s="2128"/>
    </row>
    <row r="1001" spans="15:18">
      <c r="O1001" s="2128"/>
      <c r="P1001" s="2128"/>
      <c r="Q1001" s="2128"/>
      <c r="R1001" s="2128"/>
    </row>
    <row r="1002" spans="15:18">
      <c r="O1002" s="2128"/>
      <c r="P1002" s="2128"/>
      <c r="Q1002" s="2128"/>
      <c r="R1002" s="2128"/>
    </row>
    <row r="1003" spans="15:18">
      <c r="O1003" s="2128"/>
      <c r="P1003" s="2128"/>
      <c r="Q1003" s="2128"/>
      <c r="R1003" s="2128"/>
    </row>
    <row r="1004" spans="15:18">
      <c r="O1004" s="2128"/>
      <c r="P1004" s="2128"/>
      <c r="Q1004" s="2128"/>
      <c r="R1004" s="2128"/>
    </row>
    <row r="1005" spans="15:18">
      <c r="O1005" s="2128"/>
      <c r="P1005" s="2128"/>
      <c r="Q1005" s="2128"/>
      <c r="R1005" s="2128"/>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sheetPr>
    <tabColor rgb="FFFFC000"/>
  </sheetPr>
  <dimension ref="A1:CB155"/>
  <sheetViews>
    <sheetView zoomScale="85" zoomScaleNormal="85" workbookViewId="0"/>
  </sheetViews>
  <sheetFormatPr defaultColWidth="8.81640625" defaultRowHeight="14.5"/>
  <cols>
    <col min="1" max="1" width="14.81640625" style="3400" customWidth="1"/>
    <col min="2" max="2" width="17.81640625" style="3400" customWidth="1"/>
    <col min="3" max="3" width="18.1796875" style="3400" bestFit="1" customWidth="1"/>
    <col min="4" max="4" width="12.81640625" style="3400" customWidth="1"/>
    <col min="5" max="5" width="13.1796875" style="3400" customWidth="1"/>
    <col min="6" max="6" width="13.26953125" style="3400" customWidth="1"/>
    <col min="7" max="7" width="14.81640625" style="3400" customWidth="1"/>
    <col min="8" max="8" width="13.26953125" style="3400" customWidth="1"/>
    <col min="9" max="9" width="14.7265625" style="3400" customWidth="1"/>
    <col min="10" max="10" width="13.453125" style="3401" customWidth="1"/>
    <col min="11" max="11" width="13.7265625" style="3401" customWidth="1"/>
    <col min="12" max="12" width="12.26953125" style="3401" customWidth="1"/>
    <col min="13" max="13" width="11" style="3401" customWidth="1"/>
    <col min="14" max="14" width="12" style="3401" customWidth="1"/>
    <col min="15" max="15" width="11.7265625" style="3401" customWidth="1"/>
    <col min="16" max="16" width="1.7265625" style="2129" customWidth="1"/>
    <col min="17" max="17" width="1.7265625" style="2128" customWidth="1"/>
    <col min="18" max="18" width="4" style="2128" bestFit="1" customWidth="1"/>
    <col min="19" max="19" width="13.453125" style="2806" customWidth="1"/>
    <col min="20" max="20" width="33.7265625" style="2806" customWidth="1"/>
    <col min="21" max="21" width="14" style="3400" customWidth="1"/>
    <col min="22" max="22" width="13.81640625" style="3400" customWidth="1"/>
    <col min="23" max="23" width="13" style="3400" customWidth="1"/>
    <col min="24" max="25" width="10.54296875" style="3400" customWidth="1"/>
    <col min="26" max="26" width="10.7265625" style="3400" customWidth="1"/>
    <col min="27" max="27" width="12.7265625" style="3400" customWidth="1"/>
    <col min="28" max="28" width="13.1796875" style="3400" customWidth="1"/>
    <col min="29" max="29" width="14.26953125" style="3400" customWidth="1"/>
    <col min="30" max="30" width="13.453125" style="3400" customWidth="1"/>
    <col min="31" max="31" width="12.81640625" style="3400" customWidth="1"/>
    <col min="32" max="32" width="12" style="3400" customWidth="1"/>
    <col min="33" max="33" width="10.81640625" style="3400" customWidth="1"/>
    <col min="34" max="34" width="10.54296875" style="3400" customWidth="1"/>
    <col min="35" max="35" width="11.453125" style="3400" customWidth="1"/>
    <col min="36" max="36" width="15" style="2806" customWidth="1"/>
    <col min="37" max="37" width="24.1796875" style="3400" hidden="1" customWidth="1"/>
    <col min="38" max="39" width="11.54296875" style="3400" bestFit="1" customWidth="1"/>
    <col min="40" max="41" width="11.81640625" style="3400" customWidth="1"/>
    <col min="42" max="42" width="12.1796875" style="3400" customWidth="1"/>
    <col min="43" max="44" width="11.81640625" style="3400" customWidth="1"/>
    <col min="45" max="45" width="12.453125" style="3400" customWidth="1"/>
    <col min="46" max="46" width="14.81640625" style="3400" bestFit="1" customWidth="1"/>
    <col min="47" max="47" width="11.81640625" style="3400" customWidth="1"/>
    <col min="48" max="48" width="13.453125" style="3400" customWidth="1"/>
    <col min="49" max="49" width="11.81640625" style="3400" customWidth="1"/>
    <col min="50" max="50" width="136.1796875" style="2806" customWidth="1"/>
    <col min="51" max="51" width="4.1796875" style="3404" bestFit="1" customWidth="1"/>
    <col min="52" max="52" width="4.1796875" style="3404" customWidth="1"/>
    <col min="53" max="53" width="1.7265625" style="2129" customWidth="1"/>
    <col min="54" max="54" width="8.81640625" style="2128"/>
    <col min="55" max="55" width="8.81640625" style="3614"/>
    <col min="56" max="56" width="13.7265625" style="3614" customWidth="1"/>
    <col min="57" max="57" width="14.453125" style="3614" bestFit="1" customWidth="1"/>
    <col min="58" max="58" width="18.453125" style="3614" customWidth="1"/>
    <col min="59" max="59" width="16.54296875" style="3614" customWidth="1"/>
    <col min="60" max="62" width="14.453125" style="3614" bestFit="1" customWidth="1"/>
    <col min="63" max="63" width="13.453125" style="3614" bestFit="1" customWidth="1"/>
    <col min="64" max="65" width="18" style="3614" bestFit="1" customWidth="1"/>
    <col min="66" max="66" width="13.453125" style="3614" bestFit="1" customWidth="1"/>
    <col min="67" max="75" width="14.453125" style="3614" bestFit="1" customWidth="1"/>
    <col min="76" max="78" width="13.453125" style="3614" bestFit="1" customWidth="1"/>
    <col min="79" max="80" width="14.26953125" style="3614" bestFit="1" customWidth="1"/>
    <col min="81" max="16384" width="8.81640625" style="2128"/>
  </cols>
  <sheetData>
    <row r="1" spans="1:80" ht="18.5">
      <c r="A1" s="3399" t="s">
        <v>3051</v>
      </c>
      <c r="D1" s="2824" t="s">
        <v>3441</v>
      </c>
      <c r="O1" s="3402"/>
      <c r="S1" s="4093" t="s">
        <v>3051</v>
      </c>
      <c r="T1" s="4093"/>
      <c r="U1" s="3403"/>
      <c r="X1" s="3400" t="s">
        <v>3052</v>
      </c>
      <c r="BC1" s="3666"/>
      <c r="BD1" s="3645"/>
      <c r="BE1" s="3645"/>
      <c r="BF1" s="3645"/>
      <c r="BG1" s="3645"/>
      <c r="BH1" s="3645"/>
      <c r="BI1" s="3645"/>
      <c r="BJ1" s="3645"/>
      <c r="BK1" s="3645"/>
      <c r="BL1" s="3645"/>
      <c r="BM1" s="3645"/>
      <c r="BN1" s="3645"/>
      <c r="BO1" s="3645"/>
      <c r="BP1" s="3645"/>
      <c r="BQ1" s="3645"/>
      <c r="BR1" s="3645"/>
      <c r="BS1" s="3645"/>
      <c r="BT1" s="3645"/>
      <c r="BU1" s="3645"/>
      <c r="BV1" s="3645"/>
      <c r="BW1" s="3645"/>
      <c r="BX1" s="3645"/>
      <c r="BY1" s="3645"/>
      <c r="BZ1" s="3645"/>
      <c r="CA1" s="3645"/>
      <c r="CB1" s="3652"/>
    </row>
    <row r="2" spans="1:80" ht="19" thickBot="1">
      <c r="A2" s="4097" t="s">
        <v>3053</v>
      </c>
      <c r="S2" s="3405"/>
      <c r="T2" s="3405"/>
      <c r="AN2" s="3406"/>
      <c r="BC2" s="3619"/>
      <c r="CB2" s="3618"/>
    </row>
    <row r="3" spans="1:80" ht="15" thickBot="1">
      <c r="A3" s="4097"/>
      <c r="B3" s="3407" t="s">
        <v>3054</v>
      </c>
      <c r="R3" s="2129"/>
      <c r="S3" s="3408" t="s">
        <v>3053</v>
      </c>
      <c r="T3" s="3409">
        <v>0.02</v>
      </c>
      <c r="U3" s="4098" t="s">
        <v>3055</v>
      </c>
      <c r="V3" s="4099"/>
      <c r="W3" s="4100"/>
      <c r="X3" s="4101" t="s">
        <v>3053</v>
      </c>
      <c r="Y3" s="4102"/>
      <c r="Z3" s="4103"/>
      <c r="AA3" s="4104" t="s">
        <v>3056</v>
      </c>
      <c r="AB3" s="4105"/>
      <c r="AC3" s="4106"/>
      <c r="AD3" s="4088" t="s">
        <v>3057</v>
      </c>
      <c r="AE3" s="4089"/>
      <c r="AF3" s="4088" t="s">
        <v>3058</v>
      </c>
      <c r="AG3" s="4089"/>
      <c r="AH3" s="4088" t="s">
        <v>3059</v>
      </c>
      <c r="AI3" s="4089"/>
      <c r="AJ3" s="3410"/>
      <c r="AK3" s="3411"/>
      <c r="AL3" s="3411"/>
      <c r="AM3" s="3412"/>
      <c r="AN3" s="4094" t="s">
        <v>2413</v>
      </c>
      <c r="AO3" s="4095"/>
      <c r="AP3" s="4095"/>
      <c r="AQ3" s="4095"/>
      <c r="AR3" s="4095"/>
      <c r="AS3" s="4096"/>
      <c r="AT3" s="4094" t="s">
        <v>2413</v>
      </c>
      <c r="AU3" s="4095"/>
      <c r="AV3" s="4095"/>
      <c r="AW3" s="4096"/>
      <c r="AX3" s="3413"/>
      <c r="BC3" s="3619"/>
      <c r="CB3" s="3618"/>
    </row>
    <row r="4" spans="1:80" ht="15" thickBot="1">
      <c r="A4" s="3414">
        <v>0.02</v>
      </c>
      <c r="B4" s="3407">
        <f>7.61%/0.75248</f>
        <v>0.10113225600680416</v>
      </c>
      <c r="C4" s="3415"/>
      <c r="D4" s="4083" t="s">
        <v>3053</v>
      </c>
      <c r="E4" s="4083" t="s">
        <v>3053</v>
      </c>
      <c r="F4" s="4083" t="s">
        <v>3053</v>
      </c>
      <c r="G4" s="4085" t="s">
        <v>3056</v>
      </c>
      <c r="H4" s="4086"/>
      <c r="I4" s="4086"/>
      <c r="J4" s="4085" t="s">
        <v>3057</v>
      </c>
      <c r="K4" s="4087"/>
      <c r="L4" s="4085" t="s">
        <v>3058</v>
      </c>
      <c r="M4" s="4087"/>
      <c r="N4" s="4085" t="s">
        <v>3059</v>
      </c>
      <c r="O4" s="4087"/>
      <c r="R4" s="2129"/>
      <c r="S4" s="3416" t="s">
        <v>3054</v>
      </c>
      <c r="T4" s="3417">
        <f>7.61%/0.75248</f>
        <v>0.10113225600680416</v>
      </c>
      <c r="U4" s="3418"/>
      <c r="V4" s="3419"/>
      <c r="W4" s="3420"/>
      <c r="X4" s="3421"/>
      <c r="Y4" s="3422"/>
      <c r="Z4" s="3423"/>
      <c r="AA4" s="3424" t="s">
        <v>2413</v>
      </c>
      <c r="AB4" s="3425" t="s">
        <v>2413</v>
      </c>
      <c r="AC4" s="3426" t="s">
        <v>2413</v>
      </c>
      <c r="AD4" s="3427" t="s">
        <v>2413</v>
      </c>
      <c r="AE4" s="3428" t="s">
        <v>2413</v>
      </c>
      <c r="AF4" s="3427" t="s">
        <v>128</v>
      </c>
      <c r="AG4" s="3428" t="s">
        <v>128</v>
      </c>
      <c r="AH4" s="3427" t="s">
        <v>128</v>
      </c>
      <c r="AI4" s="3428" t="s">
        <v>128</v>
      </c>
      <c r="AJ4" s="3429"/>
      <c r="AK4" s="3430"/>
      <c r="AL4" s="3430"/>
      <c r="AM4" s="3431"/>
      <c r="AN4" s="4090" t="s">
        <v>686</v>
      </c>
      <c r="AO4" s="4091"/>
      <c r="AP4" s="4091"/>
      <c r="AQ4" s="4091"/>
      <c r="AR4" s="4091"/>
      <c r="AS4" s="4092"/>
      <c r="AT4" s="4090" t="s">
        <v>3060</v>
      </c>
      <c r="AU4" s="4091"/>
      <c r="AV4" s="4091"/>
      <c r="AW4" s="4092"/>
      <c r="AX4" s="3432"/>
      <c r="BC4" s="3619"/>
      <c r="CB4" s="3618"/>
    </row>
    <row r="5" spans="1:80" ht="38" thickBot="1">
      <c r="A5" s="4070" t="s">
        <v>3061</v>
      </c>
      <c r="B5" s="4070"/>
      <c r="C5" s="3415"/>
      <c r="D5" s="4084"/>
      <c r="E5" s="4084"/>
      <c r="F5" s="4084"/>
      <c r="G5" s="3433" t="s">
        <v>2413</v>
      </c>
      <c r="H5" s="3433" t="s">
        <v>2413</v>
      </c>
      <c r="I5" s="3433" t="s">
        <v>2413</v>
      </c>
      <c r="J5" s="3434" t="s">
        <v>2413</v>
      </c>
      <c r="K5" s="3435" t="s">
        <v>2413</v>
      </c>
      <c r="L5" s="3434" t="s">
        <v>3062</v>
      </c>
      <c r="M5" s="3435" t="s">
        <v>3062</v>
      </c>
      <c r="N5" s="3434" t="s">
        <v>3062</v>
      </c>
      <c r="O5" s="3436" t="s">
        <v>3062</v>
      </c>
      <c r="R5" s="3437" t="s">
        <v>3063</v>
      </c>
      <c r="S5" s="3438" t="s">
        <v>3064</v>
      </c>
      <c r="T5" s="3439" t="s">
        <v>3065</v>
      </c>
      <c r="U5" s="3440">
        <v>2024</v>
      </c>
      <c r="V5" s="3441">
        <v>2025</v>
      </c>
      <c r="W5" s="3442">
        <v>2026</v>
      </c>
      <c r="X5" s="3443" t="s">
        <v>3066</v>
      </c>
      <c r="Y5" s="3444" t="s">
        <v>3067</v>
      </c>
      <c r="Z5" s="3445" t="s">
        <v>3068</v>
      </c>
      <c r="AA5" s="3446" t="s">
        <v>3069</v>
      </c>
      <c r="AB5" s="3447" t="s">
        <v>3070</v>
      </c>
      <c r="AC5" s="3448" t="s">
        <v>3071</v>
      </c>
      <c r="AD5" s="3449" t="s">
        <v>3072</v>
      </c>
      <c r="AE5" s="3450" t="s">
        <v>3073</v>
      </c>
      <c r="AF5" s="3449" t="s">
        <v>3069</v>
      </c>
      <c r="AG5" s="3450" t="s">
        <v>3070</v>
      </c>
      <c r="AH5" s="3451" t="s">
        <v>3072</v>
      </c>
      <c r="AI5" s="3452" t="s">
        <v>3073</v>
      </c>
      <c r="AJ5" s="3453" t="s">
        <v>3074</v>
      </c>
      <c r="AK5" s="3454" t="s">
        <v>3075</v>
      </c>
      <c r="AL5" s="3455" t="s">
        <v>937</v>
      </c>
      <c r="AM5" s="3456" t="s">
        <v>1121</v>
      </c>
      <c r="AN5" s="3457" t="s">
        <v>3076</v>
      </c>
      <c r="AO5" s="3458" t="s">
        <v>3077</v>
      </c>
      <c r="AP5" s="3458" t="s">
        <v>3078</v>
      </c>
      <c r="AQ5" s="3458" t="s">
        <v>3079</v>
      </c>
      <c r="AR5" s="3458" t="s">
        <v>3080</v>
      </c>
      <c r="AS5" s="3459" t="s">
        <v>3081</v>
      </c>
      <c r="AT5" s="3460" t="s">
        <v>3076</v>
      </c>
      <c r="AU5" s="3458" t="s">
        <v>3077</v>
      </c>
      <c r="AV5" s="3458" t="s">
        <v>3078</v>
      </c>
      <c r="AW5" s="3459" t="s">
        <v>3079</v>
      </c>
      <c r="AX5" s="3461" t="s">
        <v>3082</v>
      </c>
      <c r="AY5" s="3404" t="s">
        <v>3063</v>
      </c>
      <c r="BC5" s="3619"/>
      <c r="CB5" s="3618"/>
    </row>
    <row r="6" spans="1:80" ht="50">
      <c r="A6" s="3462">
        <v>2024</v>
      </c>
      <c r="B6" s="3462">
        <v>2025</v>
      </c>
      <c r="C6" s="3462">
        <v>2026</v>
      </c>
      <c r="D6" s="3463" t="s">
        <v>3083</v>
      </c>
      <c r="E6" s="3463" t="s">
        <v>3084</v>
      </c>
      <c r="F6" s="3463" t="s">
        <v>3085</v>
      </c>
      <c r="G6" s="3464" t="s">
        <v>3069</v>
      </c>
      <c r="H6" s="3464" t="s">
        <v>3070</v>
      </c>
      <c r="I6" s="3464" t="s">
        <v>3071</v>
      </c>
      <c r="J6" s="3465" t="s">
        <v>3072</v>
      </c>
      <c r="K6" s="3466" t="s">
        <v>3073</v>
      </c>
      <c r="L6" s="3465" t="s">
        <v>3069</v>
      </c>
      <c r="M6" s="3466" t="s">
        <v>3070</v>
      </c>
      <c r="N6" s="3467" t="s">
        <v>3072</v>
      </c>
      <c r="O6" s="3468" t="s">
        <v>3073</v>
      </c>
      <c r="R6" s="3469">
        <v>1</v>
      </c>
      <c r="S6" s="3470" t="s">
        <v>3086</v>
      </c>
      <c r="T6" s="3471" t="s">
        <v>3087</v>
      </c>
      <c r="U6" s="3472">
        <v>588220</v>
      </c>
      <c r="V6" s="3472">
        <v>0</v>
      </c>
      <c r="W6" s="3472">
        <v>0</v>
      </c>
      <c r="X6" s="3473">
        <f t="shared" ref="X6:Z9" si="0">U6*$T$4*$T$3</f>
        <v>1189.7603125664468</v>
      </c>
      <c r="Y6" s="3473">
        <f t="shared" si="0"/>
        <v>0</v>
      </c>
      <c r="Z6" s="3473">
        <f t="shared" si="0"/>
        <v>0</v>
      </c>
      <c r="AA6" s="3474"/>
      <c r="AB6" s="3474"/>
      <c r="AC6" s="3474"/>
      <c r="AD6" s="3475"/>
      <c r="AE6" s="3475"/>
      <c r="AF6" s="3475"/>
      <c r="AG6" s="3475"/>
      <c r="AH6" s="3475"/>
      <c r="AI6" s="3475"/>
      <c r="AJ6" s="3476"/>
      <c r="AK6" s="3476"/>
      <c r="AL6" s="3477" t="s">
        <v>3088</v>
      </c>
      <c r="AM6" s="3476" t="s">
        <v>3089</v>
      </c>
      <c r="AN6" s="3478">
        <f t="shared" ref="AN6:AN43" si="1">IF(AA6&gt;0,AA6*(VLOOKUP($AM6,$AG$129:$AI$137,2,FALSE)),IF($AM6=$AG$137,$AH$137,X6*(VLOOKUP($AM6,$AG$129:$AI$137,2,FALSE))))</f>
        <v>766.20564129279182</v>
      </c>
      <c r="AO6" s="3478">
        <f t="shared" ref="AO6:AO43" si="2">IF(AA6&gt;0,AA6*(VLOOKUP($AM6,$AG$129:$AI$137,3,FALSE)),IF($AM6=$AG$137,$AH$137,X6*(VLOOKUP($AM6,$AG$129:$AI$137,3,FALSE))))</f>
        <v>0</v>
      </c>
      <c r="AP6" s="3478">
        <f t="shared" ref="AP6:AP43" si="3">IF(AB6&gt;0,AB6*(VLOOKUP($AM6,$AG$129:$AI$137,2,FALSE)),IF($AM6=$AG$137,$AH$137,Y6*(VLOOKUP($AM6,$AG$129:$AI$137,2,FALSE))))</f>
        <v>0</v>
      </c>
      <c r="AQ6" s="3478">
        <f t="shared" ref="AQ6:AQ43" si="4">IF(AB6&gt;0,AB6*(VLOOKUP($AM6,$AG$129:$AI$137,3,FALSE)),IF($AM6=$AG$137,$AH$137,Y6*(VLOOKUP($AM6,$AG$129:$AI$137,3,FALSE))))</f>
        <v>0</v>
      </c>
      <c r="AR6" s="3478">
        <f t="shared" ref="AR6:AR43" si="5">IF(AC6&gt;0,AC6*(VLOOKUP($AM6,$AG$129:$AI$137,2,FALSE)),IF($AM6=$AG$137,$AH$137,Z6*(VLOOKUP($AM6,$AG$129:$AI$137,2,FALSE))))</f>
        <v>0</v>
      </c>
      <c r="AS6" s="3478">
        <f t="shared" ref="AS6:AS43" si="6">IF(AC6&gt;0,AC6*(VLOOKUP($AM6,$AG$129:$AI$137,3,FALSE)),IF($AM6=$AG$137,$AH$137,Z6*(VLOOKUP($AM6,$AG$129:$AI$137,3,FALSE))))</f>
        <v>0</v>
      </c>
      <c r="AT6" s="3478">
        <f t="shared" ref="AT6:AT29" si="7">IF($AM6=$AG$129,(AD6)*$AH$129,IF($AM6=$AG$130,(AD6)*$AH$130,IF($AM6=$AG$131,(AD6)*$AH$131,IF($AM6=$AG$134,(AD6)*$AH$134,IF($AM6=$AG$135,(AD6)*$AH$135,IF($AM6=$AG$136,(AD6)*$AH$136,IF(AM6=$AM$10,0,0)))))))</f>
        <v>0</v>
      </c>
      <c r="AU6" s="3478">
        <f t="shared" ref="AU6:AU29" si="8">IF($AM6=$AG$129,(AD6)*$AI$129,IF($AM6=$AG$130,(AD6)*$AI$130,IF($AM6=$AG$131,(AD6)*$AI$131,IF($AM6=$AG$134,(AD6)*$AI$134,IF($AM6=$AG$135,(AD6)*$AI$135,IF($AM6=$AG$136,(AD6)*$AI$136,IF(AM6=$AM$10,0,0)))))))</f>
        <v>0</v>
      </c>
      <c r="AV6" s="3478">
        <f t="shared" ref="AV6:AV29" si="9">IF($AM6=$AG$129,(AE6)*$AH$129,IF($AM6=$AG$130,(AE6)*$AH$130,IF($AM6=$AG$131,(AE6)*$AH$131,IF($AM6=$AG$134,(AE6)*$AH$134,IF($AM6=$AG$135,(AE6)*$AH$135,IF($AM6=$AG$136,(AE6)*$AH$136,IF(AM6=$AM$10,0,0)))))))</f>
        <v>0</v>
      </c>
      <c r="AW6" s="3478">
        <f t="shared" ref="AW6:AW29" si="10">IF($AM6=$AG$129,(AE6)*$AI$129,IF($AM6=$AG$130,(AE6)*$AI$130,IF($AM6=$AG$131,(AE6)*$AI$131,IF($AM6=$AG$134,(AE6)*$AI$134,IF($AM6=$AG$135,(AE6)*$AI$135,IF($AM6=$AG$136,(AE6)*$AI$136,IF(AM6=$AM$10,0,0)))))))</f>
        <v>0</v>
      </c>
      <c r="AX6" s="3479" t="s">
        <v>3090</v>
      </c>
      <c r="AY6" s="3480">
        <v>1</v>
      </c>
      <c r="AZ6" s="3480"/>
      <c r="BC6" s="3619"/>
      <c r="CB6" s="3618"/>
    </row>
    <row r="7" spans="1:80" ht="29.5" thickBot="1">
      <c r="A7" s="3481">
        <v>409247187.57142854</v>
      </c>
      <c r="B7" s="3481">
        <v>457512047</v>
      </c>
      <c r="C7" s="3481">
        <v>551511322</v>
      </c>
      <c r="D7" s="4071" t="s">
        <v>79</v>
      </c>
      <c r="E7" s="4071"/>
      <c r="F7" s="4071"/>
      <c r="G7" s="4071"/>
      <c r="H7" s="4071"/>
      <c r="I7" s="4071"/>
      <c r="J7" s="3482"/>
      <c r="K7" s="3483"/>
      <c r="L7" s="3482"/>
      <c r="M7" s="3483"/>
      <c r="N7" s="3482"/>
      <c r="R7" s="3469">
        <f t="shared" ref="R7:R70" si="11">R6+1</f>
        <v>2</v>
      </c>
      <c r="S7" s="3470" t="s">
        <v>3086</v>
      </c>
      <c r="T7" s="3471" t="s">
        <v>3091</v>
      </c>
      <c r="U7" s="3472">
        <v>461474</v>
      </c>
      <c r="V7" s="3472">
        <v>0</v>
      </c>
      <c r="W7" s="3472">
        <v>0</v>
      </c>
      <c r="X7" s="3473">
        <f t="shared" si="0"/>
        <v>933.39813416967888</v>
      </c>
      <c r="Y7" s="3473">
        <f t="shared" si="0"/>
        <v>0</v>
      </c>
      <c r="Z7" s="3473">
        <f t="shared" si="0"/>
        <v>0</v>
      </c>
      <c r="AA7" s="3474"/>
      <c r="AB7" s="3474"/>
      <c r="AC7" s="3474"/>
      <c r="AD7" s="3475"/>
      <c r="AE7" s="3475"/>
      <c r="AF7" s="3475"/>
      <c r="AG7" s="3475"/>
      <c r="AH7" s="3475"/>
      <c r="AI7" s="3475"/>
      <c r="AJ7" s="3476"/>
      <c r="AK7" s="3476"/>
      <c r="AL7" s="3477" t="s">
        <v>3088</v>
      </c>
      <c r="AM7" s="3476" t="s">
        <v>3089</v>
      </c>
      <c r="AN7" s="3478">
        <f t="shared" si="1"/>
        <v>601.10839840527319</v>
      </c>
      <c r="AO7" s="3478">
        <f t="shared" si="2"/>
        <v>0</v>
      </c>
      <c r="AP7" s="3478">
        <f t="shared" si="3"/>
        <v>0</v>
      </c>
      <c r="AQ7" s="3478">
        <f t="shared" si="4"/>
        <v>0</v>
      </c>
      <c r="AR7" s="3478">
        <f t="shared" si="5"/>
        <v>0</v>
      </c>
      <c r="AS7" s="3478">
        <f t="shared" si="6"/>
        <v>0</v>
      </c>
      <c r="AT7" s="3478">
        <f t="shared" si="7"/>
        <v>0</v>
      </c>
      <c r="AU7" s="3478">
        <f t="shared" si="8"/>
        <v>0</v>
      </c>
      <c r="AV7" s="3478">
        <f t="shared" si="9"/>
        <v>0</v>
      </c>
      <c r="AW7" s="3478">
        <f t="shared" si="10"/>
        <v>0</v>
      </c>
      <c r="AX7" s="3479" t="s">
        <v>3092</v>
      </c>
      <c r="AY7" s="3480">
        <f t="shared" ref="AY7:AY70" si="12">AY6+1</f>
        <v>2</v>
      </c>
      <c r="AZ7" s="3480"/>
      <c r="BC7" s="3619"/>
      <c r="CB7" s="3618"/>
    </row>
    <row r="8" spans="1:80" ht="15" thickTop="1">
      <c r="D8" s="4081" t="s">
        <v>3093</v>
      </c>
      <c r="E8" s="4081" t="s">
        <v>3094</v>
      </c>
      <c r="F8" s="4081" t="s">
        <v>3095</v>
      </c>
      <c r="G8" s="3484" t="s">
        <v>3096</v>
      </c>
      <c r="H8" s="3484" t="s">
        <v>3097</v>
      </c>
      <c r="I8" s="3485" t="s">
        <v>3098</v>
      </c>
      <c r="J8" s="3482"/>
      <c r="K8" s="3483"/>
      <c r="L8" s="3482"/>
      <c r="M8" s="3483"/>
      <c r="N8" s="3482"/>
      <c r="R8" s="3469">
        <f t="shared" si="11"/>
        <v>3</v>
      </c>
      <c r="S8" s="3470" t="s">
        <v>3086</v>
      </c>
      <c r="T8" s="3471" t="s">
        <v>3099</v>
      </c>
      <c r="U8" s="3472">
        <v>0</v>
      </c>
      <c r="V8" s="3472">
        <v>482311</v>
      </c>
      <c r="W8" s="3472">
        <v>0</v>
      </c>
      <c r="X8" s="3473">
        <f t="shared" si="0"/>
        <v>0</v>
      </c>
      <c r="Y8" s="3473">
        <f t="shared" si="0"/>
        <v>975.54399053795441</v>
      </c>
      <c r="Z8" s="3473">
        <f t="shared" si="0"/>
        <v>0</v>
      </c>
      <c r="AA8" s="3474"/>
      <c r="AB8" s="3474"/>
      <c r="AC8" s="3474"/>
      <c r="AD8" s="3475"/>
      <c r="AE8" s="3475"/>
      <c r="AF8" s="3475"/>
      <c r="AG8" s="3475"/>
      <c r="AH8" s="3475"/>
      <c r="AI8" s="3475"/>
      <c r="AJ8" s="3476"/>
      <c r="AK8" s="3476"/>
      <c r="AL8" s="3477" t="s">
        <v>3088</v>
      </c>
      <c r="AM8" s="3476" t="s">
        <v>3089</v>
      </c>
      <c r="AN8" s="3478">
        <f t="shared" si="1"/>
        <v>0</v>
      </c>
      <c r="AO8" s="3478">
        <f t="shared" si="2"/>
        <v>0</v>
      </c>
      <c r="AP8" s="3478">
        <f t="shared" si="3"/>
        <v>628.25032990644263</v>
      </c>
      <c r="AQ8" s="3478">
        <f t="shared" si="4"/>
        <v>0</v>
      </c>
      <c r="AR8" s="3478">
        <f t="shared" si="5"/>
        <v>0</v>
      </c>
      <c r="AS8" s="3478">
        <f t="shared" si="6"/>
        <v>0</v>
      </c>
      <c r="AT8" s="3478">
        <f t="shared" si="7"/>
        <v>0</v>
      </c>
      <c r="AU8" s="3478">
        <f t="shared" si="8"/>
        <v>0</v>
      </c>
      <c r="AV8" s="3478">
        <f t="shared" si="9"/>
        <v>0</v>
      </c>
      <c r="AW8" s="3478">
        <f t="shared" si="10"/>
        <v>0</v>
      </c>
      <c r="AX8" s="3479" t="s">
        <v>3090</v>
      </c>
      <c r="AY8" s="3480">
        <f t="shared" si="12"/>
        <v>3</v>
      </c>
      <c r="AZ8" s="3480"/>
      <c r="BC8" s="3619"/>
      <c r="CB8" s="3618"/>
    </row>
    <row r="9" spans="1:80" ht="58">
      <c r="D9" s="4082"/>
      <c r="E9" s="4082"/>
      <c r="F9" s="4082"/>
      <c r="G9" s="3464"/>
      <c r="H9" s="3464"/>
      <c r="I9" s="3464"/>
      <c r="J9" s="3482"/>
      <c r="K9" s="3483"/>
      <c r="L9" s="3482"/>
      <c r="M9" s="3483"/>
      <c r="N9" s="3482"/>
      <c r="R9" s="3469">
        <f t="shared" si="11"/>
        <v>4</v>
      </c>
      <c r="S9" s="3470" t="s">
        <v>3100</v>
      </c>
      <c r="T9" s="3471" t="s">
        <v>3101</v>
      </c>
      <c r="U9" s="3472">
        <v>799996</v>
      </c>
      <c r="V9" s="3472">
        <v>799998</v>
      </c>
      <c r="W9" s="3472">
        <v>800002</v>
      </c>
      <c r="X9" s="3473">
        <f t="shared" si="0"/>
        <v>1618.108005528386</v>
      </c>
      <c r="Y9" s="3473">
        <f t="shared" si="0"/>
        <v>1618.1120508186264</v>
      </c>
      <c r="Z9" s="3473">
        <f t="shared" si="0"/>
        <v>1618.1201413991071</v>
      </c>
      <c r="AA9" s="3486">
        <v>0</v>
      </c>
      <c r="AB9" s="3486">
        <v>0</v>
      </c>
      <c r="AC9" s="3486">
        <v>0</v>
      </c>
      <c r="AD9" s="3487">
        <v>1000000</v>
      </c>
      <c r="AE9" s="3487">
        <v>1000000</v>
      </c>
      <c r="AF9" s="3487">
        <v>0</v>
      </c>
      <c r="AG9" s="3487">
        <v>0</v>
      </c>
      <c r="AH9" s="3487">
        <v>0</v>
      </c>
      <c r="AI9" s="3487">
        <v>0</v>
      </c>
      <c r="AJ9" s="3488"/>
      <c r="AK9" s="3477"/>
      <c r="AL9" s="3477" t="s">
        <v>839</v>
      </c>
      <c r="AM9" s="3477" t="s">
        <v>839</v>
      </c>
      <c r="AN9" s="3478">
        <f t="shared" si="1"/>
        <v>759.46022474580491</v>
      </c>
      <c r="AO9" s="3478">
        <f t="shared" si="2"/>
        <v>240.40492253837564</v>
      </c>
      <c r="AP9" s="3478">
        <f t="shared" si="3"/>
        <v>759.4621234058601</v>
      </c>
      <c r="AQ9" s="3478">
        <f t="shared" si="4"/>
        <v>240.40552355368709</v>
      </c>
      <c r="AR9" s="3478">
        <f t="shared" si="5"/>
        <v>759.46592072597048</v>
      </c>
      <c r="AS9" s="3478">
        <f t="shared" si="6"/>
        <v>240.40672558430995</v>
      </c>
      <c r="AT9" s="3478">
        <f t="shared" si="7"/>
        <v>469350.76159999997</v>
      </c>
      <c r="AU9" s="3478">
        <f t="shared" si="8"/>
        <v>148571.61679999999</v>
      </c>
      <c r="AV9" s="3478">
        <f t="shared" si="9"/>
        <v>469350.76159999997</v>
      </c>
      <c r="AW9" s="3478">
        <f t="shared" si="10"/>
        <v>148571.61679999999</v>
      </c>
      <c r="AX9" s="3479" t="s">
        <v>3102</v>
      </c>
      <c r="AY9" s="3480">
        <f t="shared" si="12"/>
        <v>4</v>
      </c>
      <c r="AZ9" s="3480"/>
      <c r="BC9" s="3619"/>
      <c r="CB9" s="3618"/>
    </row>
    <row r="10" spans="1:80" ht="25">
      <c r="A10" s="3489"/>
      <c r="B10" s="3400" t="s">
        <v>3103</v>
      </c>
      <c r="C10" s="3490" t="s">
        <v>3104</v>
      </c>
      <c r="D10" s="3491">
        <v>541247.17354576103</v>
      </c>
      <c r="E10" s="3491">
        <v>650248.29056453321</v>
      </c>
      <c r="F10" s="3491">
        <v>811419.68647405924</v>
      </c>
      <c r="G10" s="3491">
        <v>609174</v>
      </c>
      <c r="H10" s="3491">
        <v>696605</v>
      </c>
      <c r="I10" s="3491">
        <v>1067991</v>
      </c>
      <c r="J10" s="3492">
        <v>158279926.33333334</v>
      </c>
      <c r="K10" s="3493">
        <v>160781859.33333334</v>
      </c>
      <c r="L10" s="3492">
        <v>3602994</v>
      </c>
      <c r="M10" s="3493">
        <v>979594</v>
      </c>
      <c r="N10" s="3492">
        <v>8881101</v>
      </c>
      <c r="O10" s="3494">
        <v>9246942</v>
      </c>
      <c r="R10" s="3469">
        <f t="shared" si="11"/>
        <v>5</v>
      </c>
      <c r="S10" s="3470" t="s">
        <v>3086</v>
      </c>
      <c r="T10" s="3471" t="s">
        <v>3105</v>
      </c>
      <c r="U10" s="3472">
        <v>600000</v>
      </c>
      <c r="V10" s="3472">
        <v>399879</v>
      </c>
      <c r="W10" s="3472">
        <v>72902</v>
      </c>
      <c r="X10" s="3495" t="s">
        <v>3106</v>
      </c>
      <c r="Y10" s="3495" t="s">
        <v>3106</v>
      </c>
      <c r="Z10" s="3495" t="s">
        <v>3106</v>
      </c>
      <c r="AA10" s="3486">
        <v>0</v>
      </c>
      <c r="AB10" s="3486">
        <v>0</v>
      </c>
      <c r="AC10" s="3486">
        <v>0</v>
      </c>
      <c r="AD10" s="3487">
        <v>0</v>
      </c>
      <c r="AE10" s="3487">
        <v>0</v>
      </c>
      <c r="AF10" s="3487">
        <v>0</v>
      </c>
      <c r="AG10" s="3487">
        <v>0</v>
      </c>
      <c r="AH10" s="3487">
        <v>0</v>
      </c>
      <c r="AI10" s="3487">
        <v>0</v>
      </c>
      <c r="AJ10" s="3488" t="s">
        <v>3107</v>
      </c>
      <c r="AK10" s="3477"/>
      <c r="AL10" s="3477" t="s">
        <v>3088</v>
      </c>
      <c r="AM10" s="3477" t="s">
        <v>3108</v>
      </c>
      <c r="AN10" s="3478">
        <f t="shared" si="1"/>
        <v>0</v>
      </c>
      <c r="AO10" s="3478">
        <f t="shared" si="2"/>
        <v>0</v>
      </c>
      <c r="AP10" s="3478">
        <f t="shared" si="3"/>
        <v>0</v>
      </c>
      <c r="AQ10" s="3478">
        <f t="shared" si="4"/>
        <v>0</v>
      </c>
      <c r="AR10" s="3478">
        <f t="shared" si="5"/>
        <v>0</v>
      </c>
      <c r="AS10" s="3478">
        <f t="shared" si="6"/>
        <v>0</v>
      </c>
      <c r="AT10" s="3478">
        <f t="shared" si="7"/>
        <v>0</v>
      </c>
      <c r="AU10" s="3478">
        <f t="shared" si="8"/>
        <v>0</v>
      </c>
      <c r="AV10" s="3478">
        <f t="shared" si="9"/>
        <v>0</v>
      </c>
      <c r="AW10" s="3478">
        <f t="shared" si="10"/>
        <v>0</v>
      </c>
      <c r="AX10" s="3479" t="s">
        <v>3090</v>
      </c>
      <c r="AY10" s="3480">
        <f t="shared" si="12"/>
        <v>5</v>
      </c>
      <c r="AZ10" s="3480"/>
      <c r="BC10" s="3619"/>
      <c r="CB10" s="3618"/>
    </row>
    <row r="11" spans="1:80">
      <c r="G11" s="3489"/>
      <c r="H11" s="3489"/>
      <c r="I11" s="3489"/>
      <c r="R11" s="3469">
        <f t="shared" si="11"/>
        <v>6</v>
      </c>
      <c r="S11" s="3470" t="s">
        <v>3086</v>
      </c>
      <c r="T11" s="3471" t="s">
        <v>3109</v>
      </c>
      <c r="U11" s="3472">
        <v>0</v>
      </c>
      <c r="V11" s="3472">
        <v>11259147</v>
      </c>
      <c r="W11" s="3472">
        <v>0</v>
      </c>
      <c r="X11" s="3473">
        <f t="shared" ref="X11:Z12" si="13">U11*$T$4*$T$3</f>
        <v>0</v>
      </c>
      <c r="Y11" s="3473">
        <f t="shared" si="13"/>
        <v>22773.258736444819</v>
      </c>
      <c r="Z11" s="3473">
        <f t="shared" si="13"/>
        <v>0</v>
      </c>
      <c r="AA11" s="3486">
        <v>0</v>
      </c>
      <c r="AB11" s="3486">
        <v>0</v>
      </c>
      <c r="AC11" s="3486">
        <v>0</v>
      </c>
      <c r="AD11" s="3487">
        <v>0</v>
      </c>
      <c r="AE11" s="3487">
        <v>0</v>
      </c>
      <c r="AF11" s="3487">
        <v>0</v>
      </c>
      <c r="AG11" s="3487">
        <v>0</v>
      </c>
      <c r="AH11" s="3487">
        <v>0</v>
      </c>
      <c r="AI11" s="3487">
        <v>0</v>
      </c>
      <c r="AJ11" s="3488"/>
      <c r="AK11" s="3477" t="s">
        <v>2819</v>
      </c>
      <c r="AL11" s="3477" t="s">
        <v>3088</v>
      </c>
      <c r="AM11" s="3477" t="s">
        <v>3089</v>
      </c>
      <c r="AN11" s="3478">
        <f t="shared" si="1"/>
        <v>0</v>
      </c>
      <c r="AO11" s="3478">
        <f t="shared" si="2"/>
        <v>0</v>
      </c>
      <c r="AP11" s="3478">
        <f t="shared" si="3"/>
        <v>14665.978626270464</v>
      </c>
      <c r="AQ11" s="3478">
        <f t="shared" si="4"/>
        <v>0</v>
      </c>
      <c r="AR11" s="3478">
        <f t="shared" si="5"/>
        <v>0</v>
      </c>
      <c r="AS11" s="3478">
        <f t="shared" si="6"/>
        <v>0</v>
      </c>
      <c r="AT11" s="3478">
        <f t="shared" si="7"/>
        <v>0</v>
      </c>
      <c r="AU11" s="3478">
        <f t="shared" si="8"/>
        <v>0</v>
      </c>
      <c r="AV11" s="3478">
        <f t="shared" si="9"/>
        <v>0</v>
      </c>
      <c r="AW11" s="3478">
        <f t="shared" si="10"/>
        <v>0</v>
      </c>
      <c r="AX11" s="3479" t="s">
        <v>3090</v>
      </c>
      <c r="AY11" s="3480">
        <f t="shared" si="12"/>
        <v>6</v>
      </c>
      <c r="AZ11" s="3480"/>
      <c r="BC11" s="3619"/>
      <c r="CB11" s="3618"/>
    </row>
    <row r="12" spans="1:80" ht="102" thickBot="1">
      <c r="A12" s="4072" t="s">
        <v>3110</v>
      </c>
      <c r="B12" s="4073"/>
      <c r="C12" s="4073"/>
      <c r="D12" s="4073"/>
      <c r="E12" s="4073"/>
      <c r="F12" s="4073"/>
      <c r="G12" s="4073"/>
      <c r="H12" s="4073"/>
      <c r="I12" s="4073"/>
      <c r="J12" s="4074"/>
      <c r="O12" s="3496"/>
      <c r="R12" s="3469">
        <f t="shared" si="11"/>
        <v>7</v>
      </c>
      <c r="S12" s="3470" t="s">
        <v>3111</v>
      </c>
      <c r="T12" s="3471" t="s">
        <v>3112</v>
      </c>
      <c r="U12" s="3472">
        <v>0</v>
      </c>
      <c r="V12" s="3497">
        <v>0</v>
      </c>
      <c r="W12" s="3472">
        <v>3499757</v>
      </c>
      <c r="X12" s="3473">
        <f t="shared" si="13"/>
        <v>0</v>
      </c>
      <c r="Y12" s="3473">
        <f t="shared" si="13"/>
        <v>0</v>
      </c>
      <c r="Z12" s="3473">
        <f t="shared" si="13"/>
        <v>7078.7664177120978</v>
      </c>
      <c r="AA12" s="3486">
        <v>0</v>
      </c>
      <c r="AB12" s="3486">
        <v>0</v>
      </c>
      <c r="AC12" s="3486">
        <v>0</v>
      </c>
      <c r="AD12" s="3487">
        <v>0</v>
      </c>
      <c r="AE12" s="3487">
        <v>0</v>
      </c>
      <c r="AF12" s="3487">
        <v>0</v>
      </c>
      <c r="AG12" s="3487">
        <v>0</v>
      </c>
      <c r="AH12" s="3487">
        <v>0</v>
      </c>
      <c r="AI12" s="3487">
        <v>0</v>
      </c>
      <c r="AJ12" s="3488"/>
      <c r="AK12" s="3477"/>
      <c r="AL12" s="3477" t="s">
        <v>839</v>
      </c>
      <c r="AM12" s="3477" t="s">
        <v>3108</v>
      </c>
      <c r="AN12" s="3478">
        <f t="shared" si="1"/>
        <v>0</v>
      </c>
      <c r="AO12" s="3478">
        <f t="shared" si="2"/>
        <v>0</v>
      </c>
      <c r="AP12" s="3478">
        <f t="shared" si="3"/>
        <v>0</v>
      </c>
      <c r="AQ12" s="3478">
        <f t="shared" si="4"/>
        <v>0</v>
      </c>
      <c r="AR12" s="3478">
        <f t="shared" si="5"/>
        <v>0</v>
      </c>
      <c r="AS12" s="3478">
        <f t="shared" si="6"/>
        <v>0</v>
      </c>
      <c r="AT12" s="3478">
        <f t="shared" si="7"/>
        <v>0</v>
      </c>
      <c r="AU12" s="3478">
        <f t="shared" si="8"/>
        <v>0</v>
      </c>
      <c r="AV12" s="3478">
        <f t="shared" si="9"/>
        <v>0</v>
      </c>
      <c r="AW12" s="3478">
        <f t="shared" si="10"/>
        <v>0</v>
      </c>
      <c r="AX12" s="3479" t="s">
        <v>3113</v>
      </c>
      <c r="AY12" s="3480">
        <f t="shared" si="12"/>
        <v>7</v>
      </c>
      <c r="AZ12" s="3480"/>
      <c r="BC12" s="3619"/>
      <c r="CB12" s="3618"/>
    </row>
    <row r="13" spans="1:80" ht="29">
      <c r="A13" s="4075" t="s">
        <v>686</v>
      </c>
      <c r="B13" s="4076"/>
      <c r="C13" s="4076"/>
      <c r="D13" s="4076"/>
      <c r="E13" s="4076"/>
      <c r="F13" s="4077"/>
      <c r="G13" s="4078" t="s">
        <v>3060</v>
      </c>
      <c r="H13" s="4079"/>
      <c r="I13" s="4079"/>
      <c r="J13" s="4080"/>
      <c r="O13" s="3496"/>
      <c r="R13" s="3469">
        <f t="shared" si="11"/>
        <v>8</v>
      </c>
      <c r="S13" s="3470" t="s">
        <v>3086</v>
      </c>
      <c r="T13" s="3471" t="s">
        <v>3114</v>
      </c>
      <c r="U13" s="3472">
        <v>3027380</v>
      </c>
      <c r="V13" s="3472">
        <v>2663700</v>
      </c>
      <c r="W13" s="3472">
        <v>3291708</v>
      </c>
      <c r="X13" s="3495" t="s">
        <v>3106</v>
      </c>
      <c r="Y13" s="3495" t="s">
        <v>3106</v>
      </c>
      <c r="Z13" s="3495" t="s">
        <v>3106</v>
      </c>
      <c r="AA13" s="3486">
        <v>0</v>
      </c>
      <c r="AB13" s="3486">
        <v>0</v>
      </c>
      <c r="AC13" s="3486">
        <v>0</v>
      </c>
      <c r="AD13" s="3487">
        <v>0</v>
      </c>
      <c r="AE13" s="3487">
        <v>0</v>
      </c>
      <c r="AF13" s="3487">
        <v>0</v>
      </c>
      <c r="AG13" s="3487">
        <v>0</v>
      </c>
      <c r="AH13" s="3487">
        <v>0</v>
      </c>
      <c r="AI13" s="3487">
        <v>0</v>
      </c>
      <c r="AJ13" s="3488" t="s">
        <v>3107</v>
      </c>
      <c r="AK13" s="3477"/>
      <c r="AL13" s="3477" t="s">
        <v>3088</v>
      </c>
      <c r="AM13" s="3477" t="s">
        <v>3108</v>
      </c>
      <c r="AN13" s="3478">
        <f t="shared" si="1"/>
        <v>0</v>
      </c>
      <c r="AO13" s="3478">
        <f t="shared" si="2"/>
        <v>0</v>
      </c>
      <c r="AP13" s="3478">
        <f t="shared" si="3"/>
        <v>0</v>
      </c>
      <c r="AQ13" s="3478">
        <f t="shared" si="4"/>
        <v>0</v>
      </c>
      <c r="AR13" s="3478">
        <f t="shared" si="5"/>
        <v>0</v>
      </c>
      <c r="AS13" s="3478">
        <f t="shared" si="6"/>
        <v>0</v>
      </c>
      <c r="AT13" s="3478">
        <f t="shared" si="7"/>
        <v>0</v>
      </c>
      <c r="AU13" s="3478">
        <f t="shared" si="8"/>
        <v>0</v>
      </c>
      <c r="AV13" s="3478">
        <f t="shared" si="9"/>
        <v>0</v>
      </c>
      <c r="AW13" s="3478">
        <f t="shared" si="10"/>
        <v>0</v>
      </c>
      <c r="AX13" s="3498" t="s">
        <v>3115</v>
      </c>
      <c r="AY13" s="3480">
        <f t="shared" si="12"/>
        <v>8</v>
      </c>
      <c r="AZ13" s="3480"/>
      <c r="BC13" s="3619"/>
      <c r="CB13" s="3618"/>
    </row>
    <row r="14" spans="1:80" ht="29.5" thickBot="1">
      <c r="A14" s="3499" t="s">
        <v>3076</v>
      </c>
      <c r="B14" s="3500" t="s">
        <v>3077</v>
      </c>
      <c r="C14" s="3501" t="s">
        <v>3078</v>
      </c>
      <c r="D14" s="3500" t="s">
        <v>3079</v>
      </c>
      <c r="E14" s="3501" t="s">
        <v>3080</v>
      </c>
      <c r="F14" s="3502" t="s">
        <v>3081</v>
      </c>
      <c r="G14" s="3503" t="s">
        <v>3078</v>
      </c>
      <c r="H14" s="3504" t="s">
        <v>3079</v>
      </c>
      <c r="I14" s="3501" t="s">
        <v>3080</v>
      </c>
      <c r="J14" s="3505" t="s">
        <v>3081</v>
      </c>
      <c r="K14" s="3506"/>
      <c r="O14" s="3496"/>
      <c r="R14" s="3469">
        <f t="shared" si="11"/>
        <v>9</v>
      </c>
      <c r="S14" s="3470" t="s">
        <v>3111</v>
      </c>
      <c r="T14" s="3471" t="s">
        <v>3116</v>
      </c>
      <c r="U14" s="3507">
        <v>650119</v>
      </c>
      <c r="V14" s="3507">
        <v>569999</v>
      </c>
      <c r="W14" s="3507">
        <v>99997</v>
      </c>
      <c r="X14" s="3495" t="s">
        <v>3106</v>
      </c>
      <c r="Y14" s="3495" t="s">
        <v>3106</v>
      </c>
      <c r="Z14" s="3495" t="s">
        <v>3106</v>
      </c>
      <c r="AA14" s="3486">
        <v>0</v>
      </c>
      <c r="AB14" s="3486">
        <v>0</v>
      </c>
      <c r="AC14" s="3486">
        <v>0</v>
      </c>
      <c r="AD14" s="3487">
        <v>0</v>
      </c>
      <c r="AE14" s="3487">
        <v>0</v>
      </c>
      <c r="AF14" s="3487">
        <v>0</v>
      </c>
      <c r="AG14" s="3487">
        <v>0</v>
      </c>
      <c r="AH14" s="3487">
        <v>0</v>
      </c>
      <c r="AI14" s="3487">
        <v>0</v>
      </c>
      <c r="AJ14" s="3508" t="s">
        <v>3117</v>
      </c>
      <c r="AK14" s="3509"/>
      <c r="AL14" s="3509" t="s">
        <v>3088</v>
      </c>
      <c r="AM14" s="3509" t="s">
        <v>3108</v>
      </c>
      <c r="AN14" s="3478">
        <f t="shared" si="1"/>
        <v>0</v>
      </c>
      <c r="AO14" s="3478">
        <f t="shared" si="2"/>
        <v>0</v>
      </c>
      <c r="AP14" s="3478">
        <f t="shared" si="3"/>
        <v>0</v>
      </c>
      <c r="AQ14" s="3478">
        <f t="shared" si="4"/>
        <v>0</v>
      </c>
      <c r="AR14" s="3478">
        <f t="shared" si="5"/>
        <v>0</v>
      </c>
      <c r="AS14" s="3478">
        <f t="shared" si="6"/>
        <v>0</v>
      </c>
      <c r="AT14" s="3510">
        <f t="shared" si="7"/>
        <v>0</v>
      </c>
      <c r="AU14" s="3510">
        <f t="shared" si="8"/>
        <v>0</v>
      </c>
      <c r="AV14" s="3510">
        <f t="shared" si="9"/>
        <v>0</v>
      </c>
      <c r="AW14" s="3510">
        <f t="shared" si="10"/>
        <v>0</v>
      </c>
      <c r="AX14" s="3479" t="s">
        <v>3118</v>
      </c>
      <c r="AY14" s="3480">
        <f t="shared" si="12"/>
        <v>9</v>
      </c>
      <c r="AZ14" s="3480"/>
      <c r="BC14" s="3619"/>
      <c r="CB14" s="3618"/>
    </row>
    <row r="15" spans="1:80" ht="25">
      <c r="A15" s="3511"/>
      <c r="C15" s="3512"/>
      <c r="E15" s="3512"/>
      <c r="F15" s="3513"/>
      <c r="G15" s="3511"/>
      <c r="I15" s="3512"/>
      <c r="J15" s="3514"/>
      <c r="N15" s="3515"/>
      <c r="O15" s="3496"/>
      <c r="R15" s="3469">
        <f t="shared" si="11"/>
        <v>10</v>
      </c>
      <c r="S15" s="3470" t="s">
        <v>3100</v>
      </c>
      <c r="T15" s="3471" t="s">
        <v>3119</v>
      </c>
      <c r="U15" s="3472">
        <v>1516187</v>
      </c>
      <c r="V15" s="3472">
        <v>941295</v>
      </c>
      <c r="W15" s="3472">
        <v>2647447</v>
      </c>
      <c r="X15" s="3473">
        <f t="shared" ref="X15:Z25" si="14">U15*$T$4*$T$3</f>
        <v>3066.7082367637677</v>
      </c>
      <c r="Y15" s="3473">
        <f t="shared" si="14"/>
        <v>1903.9057383584945</v>
      </c>
      <c r="Z15" s="3473">
        <f t="shared" si="14"/>
        <v>5354.8457553689141</v>
      </c>
      <c r="AA15" s="3486">
        <v>0</v>
      </c>
      <c r="AB15" s="3486">
        <v>0</v>
      </c>
      <c r="AC15" s="3486">
        <v>0</v>
      </c>
      <c r="AD15" s="3487">
        <v>0</v>
      </c>
      <c r="AE15" s="3487">
        <v>0</v>
      </c>
      <c r="AF15" s="3487">
        <v>0</v>
      </c>
      <c r="AG15" s="3487">
        <v>0</v>
      </c>
      <c r="AH15" s="3487">
        <v>0</v>
      </c>
      <c r="AI15" s="3487">
        <v>0</v>
      </c>
      <c r="AJ15" s="3488" t="s">
        <v>3120</v>
      </c>
      <c r="AK15" s="3477"/>
      <c r="AL15" s="3477" t="s">
        <v>839</v>
      </c>
      <c r="AM15" s="3477" t="s">
        <v>839</v>
      </c>
      <c r="AN15" s="3478">
        <f t="shared" si="1"/>
        <v>1439.3618465300674</v>
      </c>
      <c r="AO15" s="3478">
        <f t="shared" si="2"/>
        <v>455.62580098987019</v>
      </c>
      <c r="AP15" s="3478">
        <f t="shared" si="3"/>
        <v>893.5996083131696</v>
      </c>
      <c r="AQ15" s="3478">
        <f t="shared" si="4"/>
        <v>282.86635378271933</v>
      </c>
      <c r="AR15" s="3478">
        <f t="shared" si="5"/>
        <v>2513.3009335329266</v>
      </c>
      <c r="AS15" s="3478">
        <f t="shared" si="6"/>
        <v>795.57809158977682</v>
      </c>
      <c r="AT15" s="3478">
        <f t="shared" si="7"/>
        <v>0</v>
      </c>
      <c r="AU15" s="3478">
        <f t="shared" si="8"/>
        <v>0</v>
      </c>
      <c r="AV15" s="3478">
        <f t="shared" si="9"/>
        <v>0</v>
      </c>
      <c r="AW15" s="3478">
        <f t="shared" si="10"/>
        <v>0</v>
      </c>
      <c r="AX15" s="3479" t="s">
        <v>3090</v>
      </c>
      <c r="AY15" s="3480">
        <f t="shared" si="12"/>
        <v>10</v>
      </c>
      <c r="AZ15" s="3480"/>
      <c r="BC15" s="3647">
        <v>1</v>
      </c>
      <c r="BD15" s="3646" t="s">
        <v>3141</v>
      </c>
      <c r="BE15" s="3665"/>
      <c r="BF15" s="3645"/>
      <c r="BG15" s="3645"/>
      <c r="BH15" s="3645"/>
      <c r="BI15" s="3645"/>
      <c r="BJ15" s="3645"/>
      <c r="BK15" s="3645"/>
      <c r="BL15" s="3645"/>
      <c r="BM15" s="3645"/>
      <c r="BN15" s="3645"/>
      <c r="BO15" s="3645"/>
      <c r="BP15" s="3645"/>
      <c r="BQ15" s="3645"/>
      <c r="BR15" s="3645"/>
      <c r="BS15" s="3645"/>
      <c r="BT15" s="3645"/>
      <c r="BU15" s="3645"/>
      <c r="BV15" s="3645"/>
      <c r="BW15" s="3645"/>
      <c r="BX15" s="3645"/>
      <c r="BY15" s="3645"/>
      <c r="BZ15" s="3645"/>
      <c r="CA15" s="3645"/>
      <c r="CB15" s="3652"/>
    </row>
    <row r="16" spans="1:80" ht="58">
      <c r="A16" s="3511"/>
      <c r="C16" s="3512"/>
      <c r="E16" s="3512"/>
      <c r="F16" s="3513"/>
      <c r="G16" s="3511"/>
      <c r="I16" s="3512"/>
      <c r="J16" s="3514"/>
      <c r="R16" s="3469">
        <f t="shared" si="11"/>
        <v>11</v>
      </c>
      <c r="S16" s="3470" t="s">
        <v>3121</v>
      </c>
      <c r="T16" s="3471" t="s">
        <v>3122</v>
      </c>
      <c r="U16" s="3472">
        <v>5013000</v>
      </c>
      <c r="V16" s="3472">
        <v>4775000</v>
      </c>
      <c r="W16" s="3472">
        <v>4375000</v>
      </c>
      <c r="X16" s="3473">
        <f t="shared" si="14"/>
        <v>10139.519987242185</v>
      </c>
      <c r="Y16" s="3473">
        <f t="shared" si="14"/>
        <v>9658.1304486497975</v>
      </c>
      <c r="Z16" s="3473">
        <f t="shared" si="14"/>
        <v>8849.0724005953653</v>
      </c>
      <c r="AA16" s="3486">
        <v>0</v>
      </c>
      <c r="AB16" s="3486">
        <v>0</v>
      </c>
      <c r="AC16" s="3486">
        <v>0</v>
      </c>
      <c r="AD16" s="3487">
        <v>1007949</v>
      </c>
      <c r="AE16" s="3487">
        <v>1007949</v>
      </c>
      <c r="AF16" s="3487">
        <v>0</v>
      </c>
      <c r="AG16" s="3487">
        <v>0</v>
      </c>
      <c r="AH16" s="3487">
        <v>0</v>
      </c>
      <c r="AI16" s="3487">
        <v>0</v>
      </c>
      <c r="AJ16" s="3488"/>
      <c r="AK16" s="3477" t="s">
        <v>3123</v>
      </c>
      <c r="AL16" s="3477" t="s">
        <v>839</v>
      </c>
      <c r="AM16" s="3477" t="s">
        <v>839</v>
      </c>
      <c r="AN16" s="3478">
        <f t="shared" si="1"/>
        <v>4758.9914282705413</v>
      </c>
      <c r="AO16" s="3478">
        <f t="shared" si="2"/>
        <v>1506.4448780804869</v>
      </c>
      <c r="AP16" s="3478">
        <f t="shared" si="3"/>
        <v>4533.0508817059317</v>
      </c>
      <c r="AQ16" s="3478">
        <f t="shared" si="4"/>
        <v>1434.9240560212097</v>
      </c>
      <c r="AR16" s="3478">
        <f t="shared" si="5"/>
        <v>4153.3188706729743</v>
      </c>
      <c r="AS16" s="3478">
        <f t="shared" si="6"/>
        <v>1314.7209937367106</v>
      </c>
      <c r="AT16" s="3478">
        <f t="shared" si="7"/>
        <v>473081.63080395834</v>
      </c>
      <c r="AU16" s="3478">
        <f t="shared" si="8"/>
        <v>149752.61258194319</v>
      </c>
      <c r="AV16" s="3478">
        <f t="shared" si="9"/>
        <v>473081.63080395834</v>
      </c>
      <c r="AW16" s="3478">
        <f t="shared" si="10"/>
        <v>149752.61258194319</v>
      </c>
      <c r="AX16" s="3479" t="s">
        <v>3124</v>
      </c>
      <c r="AY16" s="3480">
        <f t="shared" si="12"/>
        <v>11</v>
      </c>
      <c r="AZ16" s="3480"/>
      <c r="BC16" s="3664"/>
      <c r="BD16" s="3663" t="s">
        <v>3148</v>
      </c>
      <c r="BE16" s="3663" t="s">
        <v>3149</v>
      </c>
      <c r="BG16" s="3625"/>
      <c r="CB16" s="3636"/>
    </row>
    <row r="17" spans="1:80" ht="58.5" thickBot="1">
      <c r="A17" s="3516">
        <v>559337.92574495065</v>
      </c>
      <c r="B17" s="3517">
        <v>186710.32165398271</v>
      </c>
      <c r="C17" s="3518">
        <v>714945.78031786077</v>
      </c>
      <c r="D17" s="3517">
        <v>183992.89129313678</v>
      </c>
      <c r="E17" s="3518">
        <v>945719.19548597082</v>
      </c>
      <c r="F17" s="3519">
        <v>217764.76932557541</v>
      </c>
      <c r="G17" s="3520">
        <v>88574486.149120972</v>
      </c>
      <c r="H17" s="3521">
        <v>14949847.837270435</v>
      </c>
      <c r="I17" s="3522">
        <v>88550559.012291655</v>
      </c>
      <c r="J17" s="3523">
        <v>14604625.363600751</v>
      </c>
      <c r="R17" s="3469">
        <f t="shared" si="11"/>
        <v>12</v>
      </c>
      <c r="S17" s="3470" t="s">
        <v>3121</v>
      </c>
      <c r="T17" s="3471" t="s">
        <v>3125</v>
      </c>
      <c r="U17" s="3472">
        <v>4596642</v>
      </c>
      <c r="V17" s="3472">
        <v>4175000</v>
      </c>
      <c r="W17" s="3472">
        <v>4375000</v>
      </c>
      <c r="X17" s="3473">
        <f t="shared" si="14"/>
        <v>9297.3755103125659</v>
      </c>
      <c r="Y17" s="3473">
        <f t="shared" si="14"/>
        <v>8444.5433765681482</v>
      </c>
      <c r="Z17" s="3473">
        <f t="shared" si="14"/>
        <v>8849.0724005953653</v>
      </c>
      <c r="AA17" s="3486">
        <v>0</v>
      </c>
      <c r="AB17" s="3486">
        <v>0</v>
      </c>
      <c r="AC17" s="3486">
        <v>0</v>
      </c>
      <c r="AD17" s="3487">
        <v>7700000</v>
      </c>
      <c r="AE17" s="3487">
        <v>7800000</v>
      </c>
      <c r="AF17" s="3487">
        <v>0</v>
      </c>
      <c r="AG17" s="3487">
        <v>0</v>
      </c>
      <c r="AH17" s="3487">
        <v>0</v>
      </c>
      <c r="AI17" s="3487">
        <v>0</v>
      </c>
      <c r="AJ17" s="3488"/>
      <c r="AK17" s="3477" t="s">
        <v>3123</v>
      </c>
      <c r="AL17" s="3477" t="s">
        <v>839</v>
      </c>
      <c r="AM17" s="3477" t="s">
        <v>839</v>
      </c>
      <c r="AN17" s="3478">
        <f t="shared" si="1"/>
        <v>4363.7302766463908</v>
      </c>
      <c r="AO17" s="3478">
        <f t="shared" si="2"/>
        <v>1381.3261115638629</v>
      </c>
      <c r="AP17" s="3478">
        <f t="shared" si="3"/>
        <v>3963.4528651564956</v>
      </c>
      <c r="AQ17" s="3478">
        <f t="shared" si="4"/>
        <v>1254.6194625944611</v>
      </c>
      <c r="AR17" s="3478">
        <f t="shared" si="5"/>
        <v>4153.3188706729743</v>
      </c>
      <c r="AS17" s="3478">
        <f t="shared" si="6"/>
        <v>1314.7209937367106</v>
      </c>
      <c r="AT17" s="3478">
        <f t="shared" si="7"/>
        <v>3614000.8643199997</v>
      </c>
      <c r="AU17" s="3478">
        <f t="shared" si="8"/>
        <v>1144001.44936</v>
      </c>
      <c r="AV17" s="3478">
        <f t="shared" si="9"/>
        <v>3660935.9404799994</v>
      </c>
      <c r="AW17" s="3478">
        <f t="shared" si="10"/>
        <v>1158858.6110400001</v>
      </c>
      <c r="AX17" s="3479" t="s">
        <v>3126</v>
      </c>
      <c r="AY17" s="3480">
        <f t="shared" si="12"/>
        <v>12</v>
      </c>
      <c r="AZ17" s="3480"/>
      <c r="BC17" s="3619"/>
      <c r="BD17" s="3614">
        <v>101</v>
      </c>
      <c r="BE17" s="3657">
        <v>172723</v>
      </c>
      <c r="CB17" s="3636"/>
    </row>
    <row r="18" spans="1:80" ht="25">
      <c r="A18" s="3524" t="s">
        <v>3127</v>
      </c>
      <c r="B18" s="3525" t="s">
        <v>3128</v>
      </c>
      <c r="C18" s="3524" t="s">
        <v>3129</v>
      </c>
      <c r="D18" s="3525" t="s">
        <v>3130</v>
      </c>
      <c r="E18" s="3524" t="s">
        <v>3131</v>
      </c>
      <c r="F18" s="3525" t="s">
        <v>3132</v>
      </c>
      <c r="G18" s="3526" t="s">
        <v>3133</v>
      </c>
      <c r="H18" s="3526" t="s">
        <v>3134</v>
      </c>
      <c r="I18" s="3526" t="s">
        <v>3135</v>
      </c>
      <c r="J18" s="3526" t="s">
        <v>3136</v>
      </c>
      <c r="R18" s="3469">
        <f t="shared" si="11"/>
        <v>13</v>
      </c>
      <c r="S18" s="3470" t="s">
        <v>3121</v>
      </c>
      <c r="T18" s="3471" t="s">
        <v>3137</v>
      </c>
      <c r="U18" s="3472">
        <v>4492738</v>
      </c>
      <c r="V18" s="3472">
        <v>3550000</v>
      </c>
      <c r="W18" s="3472">
        <v>3750000</v>
      </c>
      <c r="X18" s="3473">
        <f t="shared" si="14"/>
        <v>9087.2145917499456</v>
      </c>
      <c r="Y18" s="3473">
        <f t="shared" si="14"/>
        <v>7180.3901764830953</v>
      </c>
      <c r="Z18" s="3473">
        <f t="shared" si="14"/>
        <v>7584.9192005103114</v>
      </c>
      <c r="AA18" s="3486">
        <v>0</v>
      </c>
      <c r="AB18" s="3486">
        <v>0</v>
      </c>
      <c r="AC18" s="3486">
        <v>0</v>
      </c>
      <c r="AD18" s="3487">
        <v>0</v>
      </c>
      <c r="AE18" s="3487">
        <v>0</v>
      </c>
      <c r="AF18" s="3487">
        <v>0</v>
      </c>
      <c r="AG18" s="3487">
        <v>0</v>
      </c>
      <c r="AH18" s="3487">
        <v>0</v>
      </c>
      <c r="AI18" s="3487">
        <v>0</v>
      </c>
      <c r="AJ18" s="3488" t="s">
        <v>3117</v>
      </c>
      <c r="AK18" s="3477"/>
      <c r="AL18" s="3477" t="s">
        <v>839</v>
      </c>
      <c r="AM18" s="3477" t="s">
        <v>839</v>
      </c>
      <c r="AN18" s="3478">
        <f t="shared" si="1"/>
        <v>4265.0910894604694</v>
      </c>
      <c r="AO18" s="3478">
        <f t="shared" si="2"/>
        <v>1350.1021641048414</v>
      </c>
      <c r="AP18" s="3478">
        <f t="shared" si="3"/>
        <v>3370.1215979174985</v>
      </c>
      <c r="AQ18" s="3478">
        <f t="shared" si="4"/>
        <v>1066.8021777749309</v>
      </c>
      <c r="AR18" s="3478">
        <f t="shared" si="5"/>
        <v>3559.9876034339773</v>
      </c>
      <c r="AS18" s="3478">
        <f t="shared" si="6"/>
        <v>1126.9037089171804</v>
      </c>
      <c r="AT18" s="3478">
        <f t="shared" si="7"/>
        <v>0</v>
      </c>
      <c r="AU18" s="3478">
        <f t="shared" si="8"/>
        <v>0</v>
      </c>
      <c r="AV18" s="3478">
        <f t="shared" si="9"/>
        <v>0</v>
      </c>
      <c r="AW18" s="3478">
        <f t="shared" si="10"/>
        <v>0</v>
      </c>
      <c r="AX18" s="3479" t="s">
        <v>3138</v>
      </c>
      <c r="AY18" s="3480">
        <f t="shared" si="12"/>
        <v>13</v>
      </c>
      <c r="AZ18" s="3480"/>
      <c r="BC18" s="3619"/>
      <c r="BD18" s="3614">
        <v>102</v>
      </c>
      <c r="BE18" s="3657">
        <v>597</v>
      </c>
      <c r="CB18" s="3636"/>
    </row>
    <row r="19" spans="1:80" ht="102" thickBot="1">
      <c r="A19" s="3527"/>
      <c r="B19" s="3527"/>
      <c r="C19" s="3527"/>
      <c r="D19" s="3527"/>
      <c r="E19" s="3527"/>
      <c r="F19" s="3527"/>
      <c r="G19" s="3528"/>
      <c r="I19" s="3528"/>
      <c r="J19" s="3529"/>
      <c r="R19" s="3469">
        <f t="shared" si="11"/>
        <v>14</v>
      </c>
      <c r="S19" s="3470" t="s">
        <v>3100</v>
      </c>
      <c r="T19" s="3471" t="s">
        <v>3139</v>
      </c>
      <c r="U19" s="3472">
        <v>4159903</v>
      </c>
      <c r="V19" s="3472">
        <v>2299701</v>
      </c>
      <c r="W19" s="3472">
        <v>3853902</v>
      </c>
      <c r="X19" s="3473">
        <f t="shared" si="14"/>
        <v>8414.0075031894521</v>
      </c>
      <c r="Y19" s="3473">
        <f t="shared" si="14"/>
        <v>4651.4790054220712</v>
      </c>
      <c r="Z19" s="3473">
        <f t="shared" si="14"/>
        <v>7795.0760737826913</v>
      </c>
      <c r="AA19" s="3486">
        <v>152000</v>
      </c>
      <c r="AB19" s="3486">
        <v>152000</v>
      </c>
      <c r="AC19" s="3486">
        <v>350000</v>
      </c>
      <c r="AD19" s="3487">
        <v>50000</v>
      </c>
      <c r="AE19" s="3487">
        <v>50000</v>
      </c>
      <c r="AF19" s="3487">
        <v>2674000</v>
      </c>
      <c r="AG19" s="3487">
        <v>0</v>
      </c>
      <c r="AH19" s="3487">
        <v>0</v>
      </c>
      <c r="AI19" s="3487">
        <v>0</v>
      </c>
      <c r="AJ19" s="3488"/>
      <c r="AK19" s="3477"/>
      <c r="AL19" s="3477" t="s">
        <v>839</v>
      </c>
      <c r="AM19" s="3477" t="s">
        <v>839</v>
      </c>
      <c r="AN19" s="3478">
        <f t="shared" si="1"/>
        <v>71341.315763199993</v>
      </c>
      <c r="AO19" s="3478">
        <f t="shared" si="2"/>
        <v>22582.8857536</v>
      </c>
      <c r="AP19" s="3478">
        <f t="shared" si="3"/>
        <v>71341.315763199993</v>
      </c>
      <c r="AQ19" s="3478">
        <f t="shared" si="4"/>
        <v>22582.8857536</v>
      </c>
      <c r="AR19" s="3478">
        <f t="shared" si="5"/>
        <v>164272.76655999999</v>
      </c>
      <c r="AS19" s="3478">
        <f t="shared" si="6"/>
        <v>52000.065880000002</v>
      </c>
      <c r="AT19" s="3478">
        <f t="shared" si="7"/>
        <v>23467.538079999998</v>
      </c>
      <c r="AU19" s="3478">
        <f t="shared" si="8"/>
        <v>7428.5808399999996</v>
      </c>
      <c r="AV19" s="3478">
        <f t="shared" si="9"/>
        <v>23467.538079999998</v>
      </c>
      <c r="AW19" s="3478">
        <f t="shared" si="10"/>
        <v>7428.5808399999996</v>
      </c>
      <c r="AX19" s="3479" t="s">
        <v>3140</v>
      </c>
      <c r="AY19" s="3480">
        <f t="shared" si="12"/>
        <v>14</v>
      </c>
      <c r="AZ19" s="3480"/>
      <c r="BC19" s="3619"/>
      <c r="BD19" s="3614">
        <v>111</v>
      </c>
      <c r="BE19" s="3657">
        <v>3551</v>
      </c>
      <c r="CB19" s="3636"/>
    </row>
    <row r="20" spans="1:80" ht="87">
      <c r="B20" s="3530" t="s">
        <v>3142</v>
      </c>
      <c r="C20" s="3531" t="s">
        <v>3143</v>
      </c>
      <c r="E20" s="3530" t="s">
        <v>3144</v>
      </c>
      <c r="F20" s="3531" t="s">
        <v>3145</v>
      </c>
      <c r="R20" s="3469">
        <f t="shared" si="11"/>
        <v>15</v>
      </c>
      <c r="S20" s="3470" t="s">
        <v>3100</v>
      </c>
      <c r="T20" s="3471" t="s">
        <v>3146</v>
      </c>
      <c r="U20" s="3472">
        <v>2064528</v>
      </c>
      <c r="V20" s="3472">
        <v>2606425</v>
      </c>
      <c r="W20" s="3472">
        <v>4284116</v>
      </c>
      <c r="X20" s="3473">
        <f t="shared" si="14"/>
        <v>4175.8074845843075</v>
      </c>
      <c r="Y20" s="3473">
        <f t="shared" si="14"/>
        <v>5271.872807250691</v>
      </c>
      <c r="Z20" s="3473">
        <f t="shared" si="14"/>
        <v>8665.2463214969157</v>
      </c>
      <c r="AA20" s="3486">
        <v>0</v>
      </c>
      <c r="AB20" s="3486">
        <v>0</v>
      </c>
      <c r="AC20" s="3486">
        <v>0</v>
      </c>
      <c r="AD20" s="3487">
        <f>10000000*0.4/3</f>
        <v>1333333.3333333333</v>
      </c>
      <c r="AE20" s="3487">
        <f>10000000*0.4/3</f>
        <v>1333333.3333333333</v>
      </c>
      <c r="AF20" s="3487">
        <v>0</v>
      </c>
      <c r="AG20" s="3487">
        <v>0</v>
      </c>
      <c r="AH20" s="3487">
        <v>0</v>
      </c>
      <c r="AI20" s="3487">
        <v>0</v>
      </c>
      <c r="AJ20" s="3488" t="s">
        <v>3120</v>
      </c>
      <c r="AK20" s="3477"/>
      <c r="AL20" s="3477" t="s">
        <v>839</v>
      </c>
      <c r="AM20" s="3477" t="s">
        <v>839</v>
      </c>
      <c r="AN20" s="3478">
        <f t="shared" si="1"/>
        <v>1959.9184231846248</v>
      </c>
      <c r="AO20" s="3478">
        <f t="shared" si="2"/>
        <v>620.4064694302316</v>
      </c>
      <c r="AP20" s="3478">
        <f t="shared" si="3"/>
        <v>2474.3575171414413</v>
      </c>
      <c r="AQ20" s="3478">
        <f t="shared" si="4"/>
        <v>783.25066653718989</v>
      </c>
      <c r="AR20" s="3478">
        <f t="shared" si="5"/>
        <v>4067.0399604461754</v>
      </c>
      <c r="AS20" s="3478">
        <f t="shared" si="6"/>
        <v>1287.4096559550494</v>
      </c>
      <c r="AT20" s="3478">
        <f t="shared" si="7"/>
        <v>625801.01546666655</v>
      </c>
      <c r="AU20" s="3478">
        <f t="shared" si="8"/>
        <v>198095.48906666666</v>
      </c>
      <c r="AV20" s="3478">
        <f t="shared" si="9"/>
        <v>625801.01546666655</v>
      </c>
      <c r="AW20" s="3478">
        <f t="shared" si="10"/>
        <v>198095.48906666666</v>
      </c>
      <c r="AX20" s="3479" t="s">
        <v>3147</v>
      </c>
      <c r="AY20" s="3480">
        <f t="shared" si="12"/>
        <v>15</v>
      </c>
      <c r="AZ20" s="3480"/>
      <c r="BC20" s="3619"/>
      <c r="BD20" s="3614">
        <v>112</v>
      </c>
      <c r="BE20" s="3657">
        <v>4</v>
      </c>
      <c r="CB20" s="3636"/>
    </row>
    <row r="21" spans="1:80" ht="102" thickBot="1">
      <c r="B21" s="3532">
        <f>A17+(C17/2)</f>
        <v>916810.8159038811</v>
      </c>
      <c r="C21" s="3533">
        <f>B17+(D17/2)</f>
        <v>278706.76730055112</v>
      </c>
      <c r="E21" s="3532">
        <f>(C17/2)+(E17/2)</f>
        <v>830332.4879019158</v>
      </c>
      <c r="F21" s="3533">
        <f>(D17/2)+(F17/2)</f>
        <v>200878.8303093561</v>
      </c>
      <c r="R21" s="3469">
        <f t="shared" si="11"/>
        <v>16</v>
      </c>
      <c r="S21" s="3470" t="s">
        <v>3111</v>
      </c>
      <c r="T21" s="3471" t="s">
        <v>3150</v>
      </c>
      <c r="U21" s="3472">
        <v>987476</v>
      </c>
      <c r="V21" s="3472">
        <v>979842</v>
      </c>
      <c r="W21" s="3472">
        <v>911763</v>
      </c>
      <c r="X21" s="3473">
        <f t="shared" si="14"/>
        <v>1997.313512651499</v>
      </c>
      <c r="Y21" s="3473">
        <f t="shared" si="14"/>
        <v>1981.87263980438</v>
      </c>
      <c r="Z21" s="3473">
        <f t="shared" si="14"/>
        <v>1844.1729826706357</v>
      </c>
      <c r="AA21" s="3486">
        <v>0</v>
      </c>
      <c r="AB21" s="3486">
        <v>165900</v>
      </c>
      <c r="AC21" s="3486">
        <v>267700</v>
      </c>
      <c r="AD21" s="3487">
        <v>0</v>
      </c>
      <c r="AE21" s="3487">
        <v>0</v>
      </c>
      <c r="AF21" s="3487">
        <v>0</v>
      </c>
      <c r="AG21" s="3487">
        <v>0</v>
      </c>
      <c r="AH21" s="3487">
        <v>483800</v>
      </c>
      <c r="AI21" s="3487">
        <v>209800</v>
      </c>
      <c r="AJ21" s="3488"/>
      <c r="AK21" s="3477" t="s">
        <v>3123</v>
      </c>
      <c r="AL21" s="3477" t="s">
        <v>3088</v>
      </c>
      <c r="AM21" s="3477" t="s">
        <v>3151</v>
      </c>
      <c r="AN21" s="3478">
        <f t="shared" si="1"/>
        <v>1337.0615847742929</v>
      </c>
      <c r="AO21" s="3478">
        <f t="shared" si="2"/>
        <v>0</v>
      </c>
      <c r="AP21" s="3478">
        <f t="shared" si="3"/>
        <v>111058.43699999999</v>
      </c>
      <c r="AQ21" s="3478">
        <f t="shared" si="4"/>
        <v>0</v>
      </c>
      <c r="AR21" s="3478">
        <f t="shared" si="5"/>
        <v>179206.41099999999</v>
      </c>
      <c r="AS21" s="3478">
        <f t="shared" si="6"/>
        <v>0</v>
      </c>
      <c r="AT21" s="3478">
        <f t="shared" si="7"/>
        <v>0</v>
      </c>
      <c r="AU21" s="3478">
        <f t="shared" si="8"/>
        <v>0</v>
      </c>
      <c r="AV21" s="3478">
        <f t="shared" si="9"/>
        <v>0</v>
      </c>
      <c r="AW21" s="3478">
        <f t="shared" si="10"/>
        <v>0</v>
      </c>
      <c r="AX21" s="3479" t="s">
        <v>3152</v>
      </c>
      <c r="AY21" s="3480">
        <f t="shared" si="12"/>
        <v>16</v>
      </c>
      <c r="AZ21" s="3480"/>
      <c r="BC21" s="3619"/>
      <c r="BD21" s="3614">
        <v>116</v>
      </c>
      <c r="BE21" s="3657">
        <v>0</v>
      </c>
      <c r="CB21" s="3636"/>
    </row>
    <row r="22" spans="1:80" ht="25">
      <c r="C22" s="3534" t="s">
        <v>3153</v>
      </c>
      <c r="E22" s="3535" t="s">
        <v>3154</v>
      </c>
      <c r="F22" s="3534" t="s">
        <v>3155</v>
      </c>
      <c r="R22" s="3469">
        <f t="shared" si="11"/>
        <v>17</v>
      </c>
      <c r="S22" s="3470" t="s">
        <v>3111</v>
      </c>
      <c r="T22" s="3471" t="s">
        <v>3156</v>
      </c>
      <c r="U22" s="3472">
        <v>12999990</v>
      </c>
      <c r="V22" s="3472">
        <v>12999991</v>
      </c>
      <c r="W22" s="3472">
        <v>12204154</v>
      </c>
      <c r="X22" s="3473">
        <f t="shared" si="14"/>
        <v>26294.366335317878</v>
      </c>
      <c r="Y22" s="3473">
        <f t="shared" si="14"/>
        <v>26294.368357962998</v>
      </c>
      <c r="Z22" s="3473">
        <f t="shared" si="14"/>
        <v>24684.672533489262</v>
      </c>
      <c r="AA22" s="3486">
        <v>0</v>
      </c>
      <c r="AB22" s="3486">
        <v>0</v>
      </c>
      <c r="AC22" s="3486">
        <v>0</v>
      </c>
      <c r="AD22" s="3487">
        <v>0</v>
      </c>
      <c r="AE22" s="3487">
        <v>0</v>
      </c>
      <c r="AF22" s="3487">
        <v>0</v>
      </c>
      <c r="AG22" s="3487">
        <v>0</v>
      </c>
      <c r="AH22" s="3487">
        <v>0</v>
      </c>
      <c r="AI22" s="3487">
        <v>0</v>
      </c>
      <c r="AJ22" s="3488" t="s">
        <v>3157</v>
      </c>
      <c r="AK22" s="3477"/>
      <c r="AL22" s="3477" t="s">
        <v>3088</v>
      </c>
      <c r="AM22" s="3477" t="s">
        <v>3151</v>
      </c>
      <c r="AN22" s="3478">
        <f t="shared" si="1"/>
        <v>17602.237655851848</v>
      </c>
      <c r="AO22" s="3478">
        <f t="shared" si="2"/>
        <v>0</v>
      </c>
      <c r="AP22" s="3478">
        <f t="shared" si="3"/>
        <v>17602.239009871169</v>
      </c>
      <c r="AQ22" s="3478">
        <f t="shared" si="4"/>
        <v>0</v>
      </c>
      <c r="AR22" s="3478">
        <f t="shared" si="5"/>
        <v>16524.660334093714</v>
      </c>
      <c r="AS22" s="3478">
        <f t="shared" si="6"/>
        <v>0</v>
      </c>
      <c r="AT22" s="3478">
        <f t="shared" si="7"/>
        <v>0</v>
      </c>
      <c r="AU22" s="3478">
        <f t="shared" si="8"/>
        <v>0</v>
      </c>
      <c r="AV22" s="3478">
        <f t="shared" si="9"/>
        <v>0</v>
      </c>
      <c r="AW22" s="3478">
        <f t="shared" si="10"/>
        <v>0</v>
      </c>
      <c r="AX22" s="3479" t="s">
        <v>3158</v>
      </c>
      <c r="AY22" s="3480">
        <f t="shared" si="12"/>
        <v>17</v>
      </c>
      <c r="AZ22" s="3480"/>
      <c r="BC22" s="3619"/>
      <c r="BD22" s="3614">
        <v>132</v>
      </c>
      <c r="BE22" s="3657">
        <v>4</v>
      </c>
      <c r="CB22" s="3636"/>
    </row>
    <row r="23" spans="1:80" ht="101.5">
      <c r="C23" s="3536">
        <f>B21+C21</f>
        <v>1195517.5832044322</v>
      </c>
      <c r="E23" s="3536">
        <f>E21+F21</f>
        <v>1031211.3182112719</v>
      </c>
      <c r="F23" s="3536">
        <f>C23+E23</f>
        <v>2226728.9014157038</v>
      </c>
      <c r="R23" s="3469">
        <f t="shared" si="11"/>
        <v>18</v>
      </c>
      <c r="S23" s="3470" t="s">
        <v>3111</v>
      </c>
      <c r="T23" s="3471" t="s">
        <v>3159</v>
      </c>
      <c r="U23" s="3507">
        <v>10162656</v>
      </c>
      <c r="V23" s="3507">
        <v>7499982</v>
      </c>
      <c r="W23" s="3507">
        <v>9999987</v>
      </c>
      <c r="X23" s="3473">
        <f t="shared" si="14"/>
        <v>20555.446566021688</v>
      </c>
      <c r="Y23" s="3473">
        <f t="shared" si="14"/>
        <v>15169.801993408462</v>
      </c>
      <c r="Z23" s="3473">
        <f t="shared" si="14"/>
        <v>20226.424906974269</v>
      </c>
      <c r="AA23" s="3486">
        <v>0</v>
      </c>
      <c r="AB23" s="3486">
        <v>0</v>
      </c>
      <c r="AC23" s="3486">
        <v>0</v>
      </c>
      <c r="AD23" s="3487">
        <v>0</v>
      </c>
      <c r="AE23" s="3487">
        <v>0</v>
      </c>
      <c r="AF23" s="3487">
        <v>504913</v>
      </c>
      <c r="AG23" s="3487">
        <v>504913</v>
      </c>
      <c r="AH23" s="3487">
        <v>28683</v>
      </c>
      <c r="AI23" s="3487">
        <v>28683</v>
      </c>
      <c r="AJ23" s="3508"/>
      <c r="AK23" s="3509" t="s">
        <v>3123</v>
      </c>
      <c r="AL23" s="3509" t="s">
        <v>3088</v>
      </c>
      <c r="AM23" s="3509" t="s">
        <v>3151</v>
      </c>
      <c r="AN23" s="3478">
        <f t="shared" si="1"/>
        <v>13760.432594691898</v>
      </c>
      <c r="AO23" s="3478">
        <f t="shared" si="2"/>
        <v>0</v>
      </c>
      <c r="AP23" s="3478">
        <f t="shared" si="3"/>
        <v>10155.120548447427</v>
      </c>
      <c r="AQ23" s="3478">
        <f t="shared" si="4"/>
        <v>0</v>
      </c>
      <c r="AR23" s="3478">
        <f t="shared" si="5"/>
        <v>13540.175625475784</v>
      </c>
      <c r="AS23" s="3478">
        <f t="shared" si="6"/>
        <v>0</v>
      </c>
      <c r="AT23" s="3510">
        <f t="shared" si="7"/>
        <v>0</v>
      </c>
      <c r="AU23" s="3510">
        <f t="shared" si="8"/>
        <v>0</v>
      </c>
      <c r="AV23" s="3510">
        <f t="shared" si="9"/>
        <v>0</v>
      </c>
      <c r="AW23" s="3510">
        <f t="shared" si="10"/>
        <v>0</v>
      </c>
      <c r="AX23" s="3479" t="s">
        <v>3160</v>
      </c>
      <c r="AY23" s="3480">
        <f t="shared" si="12"/>
        <v>18</v>
      </c>
      <c r="AZ23" s="3480"/>
      <c r="BC23" s="3619"/>
      <c r="BD23" s="3614">
        <v>146</v>
      </c>
      <c r="BE23" s="3657">
        <v>35</v>
      </c>
      <c r="CB23" s="3636"/>
    </row>
    <row r="24" spans="1:80" ht="102" thickBot="1">
      <c r="C24" s="3536"/>
      <c r="E24" s="3536"/>
      <c r="F24" s="3536"/>
      <c r="R24" s="3469">
        <f t="shared" si="11"/>
        <v>19</v>
      </c>
      <c r="S24" s="3470" t="s">
        <v>3111</v>
      </c>
      <c r="T24" s="3471" t="s">
        <v>3161</v>
      </c>
      <c r="U24" s="3472">
        <v>2000000</v>
      </c>
      <c r="V24" s="3472">
        <v>2000000</v>
      </c>
      <c r="W24" s="3472">
        <v>2000000</v>
      </c>
      <c r="X24" s="3473">
        <f t="shared" si="14"/>
        <v>4045.2902402721666</v>
      </c>
      <c r="Y24" s="3473">
        <f t="shared" si="14"/>
        <v>4045.2902402721666</v>
      </c>
      <c r="Z24" s="3473">
        <f t="shared" si="14"/>
        <v>4045.2902402721666</v>
      </c>
      <c r="AA24" s="3486">
        <v>75000</v>
      </c>
      <c r="AB24" s="3486">
        <v>75000</v>
      </c>
      <c r="AC24" s="3486">
        <v>75000</v>
      </c>
      <c r="AD24" s="3487">
        <v>33000</v>
      </c>
      <c r="AE24" s="3487">
        <v>33000</v>
      </c>
      <c r="AF24" s="3487">
        <v>250000</v>
      </c>
      <c r="AG24" s="3487">
        <v>250000</v>
      </c>
      <c r="AH24" s="3487">
        <v>0</v>
      </c>
      <c r="AI24" s="3487">
        <v>0</v>
      </c>
      <c r="AJ24" s="3488" t="s">
        <v>3157</v>
      </c>
      <c r="AK24" s="3477" t="s">
        <v>3123</v>
      </c>
      <c r="AL24" s="3477" t="s">
        <v>880</v>
      </c>
      <c r="AM24" s="3477" t="s">
        <v>3162</v>
      </c>
      <c r="AN24" s="3478">
        <f t="shared" si="1"/>
        <v>75000</v>
      </c>
      <c r="AO24" s="3478">
        <f t="shared" si="2"/>
        <v>0</v>
      </c>
      <c r="AP24" s="3478">
        <f t="shared" si="3"/>
        <v>75000</v>
      </c>
      <c r="AQ24" s="3478">
        <f t="shared" si="4"/>
        <v>0</v>
      </c>
      <c r="AR24" s="3478">
        <f t="shared" si="5"/>
        <v>75000</v>
      </c>
      <c r="AS24" s="3478">
        <f t="shared" si="6"/>
        <v>0</v>
      </c>
      <c r="AT24" s="3478">
        <f t="shared" si="7"/>
        <v>33000</v>
      </c>
      <c r="AU24" s="3478">
        <f t="shared" si="8"/>
        <v>0</v>
      </c>
      <c r="AV24" s="3478">
        <f t="shared" si="9"/>
        <v>33000</v>
      </c>
      <c r="AW24" s="3478">
        <f t="shared" si="10"/>
        <v>0</v>
      </c>
      <c r="AX24" s="3479" t="s">
        <v>3163</v>
      </c>
      <c r="AY24" s="3480">
        <f t="shared" si="12"/>
        <v>19</v>
      </c>
      <c r="AZ24" s="3480"/>
      <c r="BC24" s="3619"/>
      <c r="BD24" s="3614">
        <v>147</v>
      </c>
      <c r="BE24" s="3657">
        <v>3</v>
      </c>
      <c r="CB24" s="3636"/>
    </row>
    <row r="25" spans="1:80" ht="58.5" thickBot="1">
      <c r="A25" s="4064" t="s">
        <v>3164</v>
      </c>
      <c r="B25" s="4064"/>
      <c r="C25" s="4065"/>
      <c r="D25" s="4066" t="s">
        <v>537</v>
      </c>
      <c r="E25" s="4067"/>
      <c r="F25" s="4066" t="s">
        <v>537</v>
      </c>
      <c r="G25" s="4067"/>
      <c r="R25" s="3469">
        <f t="shared" si="11"/>
        <v>20</v>
      </c>
      <c r="S25" s="3470" t="s">
        <v>3111</v>
      </c>
      <c r="T25" s="3471" t="s">
        <v>3165</v>
      </c>
      <c r="U25" s="3472">
        <v>1200021</v>
      </c>
      <c r="V25" s="3472">
        <v>1200022</v>
      </c>
      <c r="W25" s="3472">
        <v>1200753</v>
      </c>
      <c r="X25" s="3473">
        <f t="shared" si="14"/>
        <v>2427.2166197108227</v>
      </c>
      <c r="Y25" s="3473">
        <f t="shared" si="14"/>
        <v>2427.2186423559428</v>
      </c>
      <c r="Z25" s="3473">
        <f t="shared" si="14"/>
        <v>2428.6971959387624</v>
      </c>
      <c r="AA25" s="3486">
        <v>40000</v>
      </c>
      <c r="AB25" s="3486">
        <v>40000</v>
      </c>
      <c r="AC25" s="3486">
        <v>40000</v>
      </c>
      <c r="AD25" s="3487">
        <v>60000</v>
      </c>
      <c r="AE25" s="3487">
        <v>60000</v>
      </c>
      <c r="AF25" s="3487">
        <v>40000</v>
      </c>
      <c r="AG25" s="3487">
        <v>40000</v>
      </c>
      <c r="AH25" s="3487">
        <v>20000</v>
      </c>
      <c r="AI25" s="3487">
        <v>20000</v>
      </c>
      <c r="AJ25" s="3488" t="s">
        <v>3166</v>
      </c>
      <c r="AK25" s="3477" t="s">
        <v>3123</v>
      </c>
      <c r="AL25" s="3477" t="s">
        <v>880</v>
      </c>
      <c r="AM25" s="3477" t="s">
        <v>3162</v>
      </c>
      <c r="AN25" s="3478">
        <f t="shared" si="1"/>
        <v>40000</v>
      </c>
      <c r="AO25" s="3478">
        <f t="shared" si="2"/>
        <v>0</v>
      </c>
      <c r="AP25" s="3478">
        <f t="shared" si="3"/>
        <v>40000</v>
      </c>
      <c r="AQ25" s="3478">
        <f t="shared" si="4"/>
        <v>0</v>
      </c>
      <c r="AR25" s="3478">
        <f t="shared" si="5"/>
        <v>40000</v>
      </c>
      <c r="AS25" s="3478">
        <f t="shared" si="6"/>
        <v>0</v>
      </c>
      <c r="AT25" s="3478">
        <f t="shared" si="7"/>
        <v>60000</v>
      </c>
      <c r="AU25" s="3478">
        <f t="shared" si="8"/>
        <v>0</v>
      </c>
      <c r="AV25" s="3478">
        <f t="shared" si="9"/>
        <v>60000</v>
      </c>
      <c r="AW25" s="3478">
        <f t="shared" si="10"/>
        <v>0</v>
      </c>
      <c r="AX25" s="3479" t="s">
        <v>3167</v>
      </c>
      <c r="AY25" s="3480">
        <f t="shared" si="12"/>
        <v>20</v>
      </c>
      <c r="AZ25" s="3480"/>
      <c r="BC25" s="3619"/>
      <c r="BD25" s="3662" t="s">
        <v>3190</v>
      </c>
      <c r="BE25" s="3661">
        <f>SUM(BE17:BE24)</f>
        <v>176917</v>
      </c>
      <c r="CB25" s="3636"/>
    </row>
    <row r="26" spans="1:80" ht="25.5" thickTop="1">
      <c r="A26" s="4064" t="s">
        <v>3168</v>
      </c>
      <c r="B26" s="4064"/>
      <c r="C26" s="4065"/>
      <c r="D26" s="4068" t="s">
        <v>3169</v>
      </c>
      <c r="E26" s="4069"/>
      <c r="F26" s="4068" t="s">
        <v>434</v>
      </c>
      <c r="G26" s="4069"/>
      <c r="R26" s="3469">
        <f t="shared" si="11"/>
        <v>21</v>
      </c>
      <c r="S26" s="3470" t="s">
        <v>3111</v>
      </c>
      <c r="T26" s="3471" t="s">
        <v>3170</v>
      </c>
      <c r="U26" s="3472">
        <v>7000011</v>
      </c>
      <c r="V26" s="3472">
        <v>7000013</v>
      </c>
      <c r="W26" s="3472">
        <v>7000005</v>
      </c>
      <c r="X26" s="3495" t="s">
        <v>3106</v>
      </c>
      <c r="Y26" s="3495" t="s">
        <v>3106</v>
      </c>
      <c r="Z26" s="3495" t="s">
        <v>3106</v>
      </c>
      <c r="AA26" s="3486">
        <v>0</v>
      </c>
      <c r="AB26" s="3486">
        <v>0</v>
      </c>
      <c r="AC26" s="3486">
        <v>0</v>
      </c>
      <c r="AD26" s="3487">
        <v>0</v>
      </c>
      <c r="AE26" s="3487">
        <v>0</v>
      </c>
      <c r="AF26" s="3487">
        <v>0</v>
      </c>
      <c r="AG26" s="3487">
        <v>0</v>
      </c>
      <c r="AH26" s="3487">
        <v>0</v>
      </c>
      <c r="AI26" s="3487">
        <v>0</v>
      </c>
      <c r="AJ26" s="3488" t="s">
        <v>3107</v>
      </c>
      <c r="AK26" s="3477"/>
      <c r="AL26" s="3477" t="s">
        <v>3088</v>
      </c>
      <c r="AM26" s="3477" t="s">
        <v>3108</v>
      </c>
      <c r="AN26" s="3478">
        <f t="shared" si="1"/>
        <v>0</v>
      </c>
      <c r="AO26" s="3478">
        <f t="shared" si="2"/>
        <v>0</v>
      </c>
      <c r="AP26" s="3478">
        <f t="shared" si="3"/>
        <v>0</v>
      </c>
      <c r="AQ26" s="3478">
        <f t="shared" si="4"/>
        <v>0</v>
      </c>
      <c r="AR26" s="3478">
        <f t="shared" si="5"/>
        <v>0</v>
      </c>
      <c r="AS26" s="3478">
        <f t="shared" si="6"/>
        <v>0</v>
      </c>
      <c r="AT26" s="3478">
        <f t="shared" si="7"/>
        <v>0</v>
      </c>
      <c r="AU26" s="3478">
        <f t="shared" si="8"/>
        <v>0</v>
      </c>
      <c r="AV26" s="3478">
        <f t="shared" si="9"/>
        <v>0</v>
      </c>
      <c r="AW26" s="3478">
        <f t="shared" si="10"/>
        <v>0</v>
      </c>
      <c r="AX26" s="3479" t="s">
        <v>3171</v>
      </c>
      <c r="AY26" s="3480">
        <f t="shared" si="12"/>
        <v>21</v>
      </c>
      <c r="AZ26" s="3480"/>
      <c r="BC26" s="3619"/>
      <c r="BD26" s="3614" t="s">
        <v>3393</v>
      </c>
      <c r="CB26" s="3636"/>
    </row>
    <row r="27" spans="1:80" ht="29">
      <c r="B27" s="3537"/>
      <c r="C27" s="3537"/>
      <c r="D27" s="3538" t="s">
        <v>3060</v>
      </c>
      <c r="E27" s="3539" t="s">
        <v>3060</v>
      </c>
      <c r="F27" s="3538" t="s">
        <v>3060</v>
      </c>
      <c r="G27" s="3539" t="s">
        <v>3060</v>
      </c>
      <c r="R27" s="3469">
        <f t="shared" si="11"/>
        <v>22</v>
      </c>
      <c r="S27" s="3470" t="s">
        <v>3111</v>
      </c>
      <c r="T27" s="3471" t="s">
        <v>3172</v>
      </c>
      <c r="U27" s="3507">
        <v>4975634</v>
      </c>
      <c r="V27" s="3507">
        <v>5000005</v>
      </c>
      <c r="W27" s="3507">
        <v>5000008</v>
      </c>
      <c r="X27" s="3495" t="s">
        <v>3106</v>
      </c>
      <c r="Y27" s="3495" t="s">
        <v>3106</v>
      </c>
      <c r="Z27" s="3495" t="s">
        <v>3106</v>
      </c>
      <c r="AA27" s="3486">
        <v>0</v>
      </c>
      <c r="AB27" s="3486">
        <v>0</v>
      </c>
      <c r="AC27" s="3486">
        <v>0</v>
      </c>
      <c r="AD27" s="3487">
        <v>0</v>
      </c>
      <c r="AE27" s="3487">
        <v>0</v>
      </c>
      <c r="AF27" s="3487">
        <v>0</v>
      </c>
      <c r="AG27" s="3487">
        <v>0</v>
      </c>
      <c r="AH27" s="3487">
        <v>0</v>
      </c>
      <c r="AI27" s="3487">
        <v>0</v>
      </c>
      <c r="AJ27" s="3508" t="s">
        <v>3157</v>
      </c>
      <c r="AK27" s="3509"/>
      <c r="AL27" s="3509" t="s">
        <v>3088</v>
      </c>
      <c r="AM27" s="3509" t="s">
        <v>3108</v>
      </c>
      <c r="AN27" s="3478">
        <f t="shared" si="1"/>
        <v>0</v>
      </c>
      <c r="AO27" s="3478">
        <f t="shared" si="2"/>
        <v>0</v>
      </c>
      <c r="AP27" s="3478">
        <f t="shared" si="3"/>
        <v>0</v>
      </c>
      <c r="AQ27" s="3478">
        <f t="shared" si="4"/>
        <v>0</v>
      </c>
      <c r="AR27" s="3478">
        <f t="shared" si="5"/>
        <v>0</v>
      </c>
      <c r="AS27" s="3478">
        <f t="shared" si="6"/>
        <v>0</v>
      </c>
      <c r="AT27" s="3510">
        <f t="shared" si="7"/>
        <v>0</v>
      </c>
      <c r="AU27" s="3510">
        <f t="shared" si="8"/>
        <v>0</v>
      </c>
      <c r="AV27" s="3510">
        <f t="shared" si="9"/>
        <v>0</v>
      </c>
      <c r="AW27" s="3510">
        <f t="shared" si="10"/>
        <v>0</v>
      </c>
      <c r="AX27" s="3479" t="s">
        <v>3173</v>
      </c>
      <c r="AY27" s="3480">
        <f t="shared" si="12"/>
        <v>22</v>
      </c>
      <c r="AZ27" s="3480"/>
      <c r="BC27" s="3619"/>
      <c r="BP27" s="3660"/>
      <c r="CB27" s="3636"/>
    </row>
    <row r="28" spans="1:80" ht="15.5">
      <c r="A28" s="3540"/>
      <c r="B28" s="3536"/>
      <c r="C28" s="3536"/>
      <c r="D28" s="3541">
        <f>G17</f>
        <v>88574486.149120972</v>
      </c>
      <c r="E28" s="3542">
        <f>I17</f>
        <v>88550559.012291655</v>
      </c>
      <c r="F28" s="3541">
        <f>H17</f>
        <v>14949847.837270435</v>
      </c>
      <c r="G28" s="3542">
        <f>J17</f>
        <v>14604625.363600751</v>
      </c>
      <c r="R28" s="3469">
        <f t="shared" si="11"/>
        <v>23</v>
      </c>
      <c r="S28" s="3470" t="s">
        <v>3121</v>
      </c>
      <c r="T28" s="3471" t="s">
        <v>3174</v>
      </c>
      <c r="U28" s="3472">
        <v>2859000</v>
      </c>
      <c r="V28" s="3472">
        <v>2965000</v>
      </c>
      <c r="W28" s="3472">
        <v>3000000</v>
      </c>
      <c r="X28" s="3473">
        <f t="shared" ref="X28:Z42" si="15">U28*$T$4*$T$3</f>
        <v>5782.7423984690613</v>
      </c>
      <c r="Y28" s="3473">
        <f t="shared" si="15"/>
        <v>5997.1427812034872</v>
      </c>
      <c r="Z28" s="3473">
        <f t="shared" si="15"/>
        <v>6067.9353604082498</v>
      </c>
      <c r="AA28" s="3486">
        <v>0</v>
      </c>
      <c r="AB28" s="3486">
        <v>0</v>
      </c>
      <c r="AC28" s="3486">
        <v>0</v>
      </c>
      <c r="AD28" s="3487">
        <v>0</v>
      </c>
      <c r="AE28" s="3487">
        <v>0</v>
      </c>
      <c r="AF28" s="3487">
        <v>0</v>
      </c>
      <c r="AG28" s="3487">
        <v>0</v>
      </c>
      <c r="AH28" s="3487">
        <v>0</v>
      </c>
      <c r="AI28" s="3487">
        <v>0</v>
      </c>
      <c r="AJ28" s="3488"/>
      <c r="AK28" s="3477" t="s">
        <v>3123</v>
      </c>
      <c r="AL28" s="3477" t="s">
        <v>880</v>
      </c>
      <c r="AM28" s="3477" t="s">
        <v>3162</v>
      </c>
      <c r="AN28" s="3478">
        <f t="shared" si="1"/>
        <v>5782.7423984690613</v>
      </c>
      <c r="AO28" s="3478">
        <f t="shared" si="2"/>
        <v>0</v>
      </c>
      <c r="AP28" s="3478">
        <f t="shared" si="3"/>
        <v>5997.1427812034872</v>
      </c>
      <c r="AQ28" s="3478">
        <f t="shared" si="4"/>
        <v>0</v>
      </c>
      <c r="AR28" s="3478">
        <f t="shared" si="5"/>
        <v>6067.9353604082498</v>
      </c>
      <c r="AS28" s="3478">
        <f t="shared" si="6"/>
        <v>0</v>
      </c>
      <c r="AT28" s="3478">
        <f t="shared" si="7"/>
        <v>0</v>
      </c>
      <c r="AU28" s="3478">
        <f t="shared" si="8"/>
        <v>0</v>
      </c>
      <c r="AV28" s="3478">
        <f t="shared" si="9"/>
        <v>0</v>
      </c>
      <c r="AW28" s="3478">
        <f t="shared" si="10"/>
        <v>0</v>
      </c>
      <c r="AX28" s="3479" t="s">
        <v>3138</v>
      </c>
      <c r="AY28" s="3480">
        <f t="shared" si="12"/>
        <v>23</v>
      </c>
      <c r="AZ28" s="3480"/>
      <c r="BC28" s="3619"/>
      <c r="BD28" s="3639" t="s">
        <v>3392</v>
      </c>
      <c r="BE28" s="3660"/>
      <c r="BF28" s="3660"/>
      <c r="BG28" s="3660"/>
      <c r="BH28" s="3660"/>
      <c r="BI28" s="3660"/>
      <c r="BJ28" s="3660"/>
      <c r="BK28" s="3660"/>
      <c r="BL28" s="3660"/>
      <c r="BM28" s="3660"/>
      <c r="BN28" s="3660"/>
      <c r="BO28" s="3660"/>
      <c r="BP28" s="3660"/>
      <c r="BQ28" s="3660"/>
      <c r="BR28" s="3660"/>
      <c r="BS28" s="3660"/>
      <c r="BT28" s="3660"/>
      <c r="BU28" s="3660"/>
      <c r="BV28" s="3660"/>
      <c r="BW28" s="3660"/>
      <c r="BX28" s="3660"/>
      <c r="BY28" s="3660"/>
      <c r="BZ28" s="3660"/>
      <c r="CA28" s="3660"/>
      <c r="CB28" s="3636"/>
    </row>
    <row r="29" spans="1:80" ht="101.5">
      <c r="A29" s="3540"/>
      <c r="B29" s="3464"/>
      <c r="C29" s="3464"/>
      <c r="D29" s="3543" t="s">
        <v>517</v>
      </c>
      <c r="E29" s="3544" t="s">
        <v>519</v>
      </c>
      <c r="F29" s="3543" t="s">
        <v>517</v>
      </c>
      <c r="G29" s="3544" t="s">
        <v>519</v>
      </c>
      <c r="R29" s="3469">
        <f t="shared" si="11"/>
        <v>24</v>
      </c>
      <c r="S29" s="3470" t="s">
        <v>3100</v>
      </c>
      <c r="T29" s="3471" t="s">
        <v>3175</v>
      </c>
      <c r="U29" s="3472">
        <v>4180369</v>
      </c>
      <c r="V29" s="3472">
        <v>6154490</v>
      </c>
      <c r="W29" s="3472">
        <v>3034582</v>
      </c>
      <c r="X29" s="3473">
        <f t="shared" si="15"/>
        <v>8455.4029582181574</v>
      </c>
      <c r="Y29" s="3473">
        <f t="shared" si="15"/>
        <v>12448.349165426323</v>
      </c>
      <c r="Z29" s="3473">
        <f t="shared" si="15"/>
        <v>6137.8824739527963</v>
      </c>
      <c r="AA29" s="3486">
        <v>0</v>
      </c>
      <c r="AB29" s="3486">
        <v>0</v>
      </c>
      <c r="AC29" s="3486">
        <v>0</v>
      </c>
      <c r="AD29" s="3487">
        <v>1000000</v>
      </c>
      <c r="AE29" s="3487">
        <v>1000000</v>
      </c>
      <c r="AF29" s="3487">
        <v>0</v>
      </c>
      <c r="AG29" s="3487">
        <v>0</v>
      </c>
      <c r="AH29" s="3487">
        <v>0</v>
      </c>
      <c r="AI29" s="3487">
        <v>0</v>
      </c>
      <c r="AJ29" s="3488"/>
      <c r="AK29" s="3477"/>
      <c r="AL29" s="3477" t="s">
        <v>839</v>
      </c>
      <c r="AM29" s="3477" t="s">
        <v>839</v>
      </c>
      <c r="AN29" s="3478">
        <f t="shared" si="1"/>
        <v>3968.5498180745849</v>
      </c>
      <c r="AO29" s="3478">
        <f t="shared" si="2"/>
        <v>1256.2328881979745</v>
      </c>
      <c r="AP29" s="3478">
        <f t="shared" si="3"/>
        <v>5842.6421614555684</v>
      </c>
      <c r="AQ29" s="3478">
        <f t="shared" si="4"/>
        <v>1849.4713619983195</v>
      </c>
      <c r="AR29" s="3478">
        <f t="shared" si="5"/>
        <v>2880.8198137610366</v>
      </c>
      <c r="AS29" s="3478">
        <f t="shared" si="6"/>
        <v>911.91512288355079</v>
      </c>
      <c r="AT29" s="3478">
        <f t="shared" si="7"/>
        <v>469350.76159999997</v>
      </c>
      <c r="AU29" s="3478">
        <f t="shared" si="8"/>
        <v>148571.61679999999</v>
      </c>
      <c r="AV29" s="3478">
        <f t="shared" si="9"/>
        <v>469350.76159999997</v>
      </c>
      <c r="AW29" s="3478">
        <f t="shared" si="10"/>
        <v>148571.61679999999</v>
      </c>
      <c r="AX29" s="3479" t="s">
        <v>3176</v>
      </c>
      <c r="AY29" s="3480">
        <f t="shared" si="12"/>
        <v>24</v>
      </c>
      <c r="AZ29" s="3480"/>
      <c r="BC29" s="3619"/>
      <c r="BE29" s="3637">
        <v>45688</v>
      </c>
      <c r="BF29" s="3637">
        <f t="shared" ref="BF29:CB29" si="16">EOMONTH(BE29,1)</f>
        <v>45716</v>
      </c>
      <c r="BG29" s="3637">
        <f t="shared" si="16"/>
        <v>45747</v>
      </c>
      <c r="BH29" s="3637">
        <f t="shared" si="16"/>
        <v>45777</v>
      </c>
      <c r="BI29" s="3637">
        <f t="shared" si="16"/>
        <v>45808</v>
      </c>
      <c r="BJ29" s="3637">
        <f t="shared" si="16"/>
        <v>45838</v>
      </c>
      <c r="BK29" s="3637">
        <f t="shared" si="16"/>
        <v>45869</v>
      </c>
      <c r="BL29" s="3637">
        <f t="shared" si="16"/>
        <v>45900</v>
      </c>
      <c r="BM29" s="3637">
        <f t="shared" si="16"/>
        <v>45930</v>
      </c>
      <c r="BN29" s="3637">
        <f t="shared" si="16"/>
        <v>45961</v>
      </c>
      <c r="BO29" s="3637">
        <f t="shared" si="16"/>
        <v>45991</v>
      </c>
      <c r="BP29" s="3637">
        <f t="shared" si="16"/>
        <v>46022</v>
      </c>
      <c r="BQ29" s="3637">
        <f t="shared" si="16"/>
        <v>46053</v>
      </c>
      <c r="BR29" s="3637">
        <f t="shared" si="16"/>
        <v>46081</v>
      </c>
      <c r="BS29" s="3637">
        <f t="shared" si="16"/>
        <v>46112</v>
      </c>
      <c r="BT29" s="3637">
        <f t="shared" si="16"/>
        <v>46142</v>
      </c>
      <c r="BU29" s="3637">
        <f t="shared" si="16"/>
        <v>46173</v>
      </c>
      <c r="BV29" s="3637">
        <f t="shared" si="16"/>
        <v>46203</v>
      </c>
      <c r="BW29" s="3637">
        <f t="shared" si="16"/>
        <v>46234</v>
      </c>
      <c r="BX29" s="3637">
        <f t="shared" si="16"/>
        <v>46265</v>
      </c>
      <c r="BY29" s="3637">
        <f t="shared" si="16"/>
        <v>46295</v>
      </c>
      <c r="BZ29" s="3637">
        <f t="shared" si="16"/>
        <v>46326</v>
      </c>
      <c r="CA29" s="3637">
        <f t="shared" si="16"/>
        <v>46356</v>
      </c>
      <c r="CB29" s="3636">
        <f t="shared" si="16"/>
        <v>46387</v>
      </c>
    </row>
    <row r="30" spans="1:80" ht="58.5" thickBot="1">
      <c r="B30" s="3464"/>
      <c r="C30" s="3464"/>
      <c r="D30" s="3545" t="s">
        <v>3177</v>
      </c>
      <c r="E30" s="3546" t="s">
        <v>3178</v>
      </c>
      <c r="F30" s="3545" t="s">
        <v>3177</v>
      </c>
      <c r="G30" s="3546" t="s">
        <v>3178</v>
      </c>
      <c r="R30" s="3469">
        <f t="shared" si="11"/>
        <v>25</v>
      </c>
      <c r="S30" s="3470" t="s">
        <v>3100</v>
      </c>
      <c r="T30" s="3471" t="s">
        <v>3179</v>
      </c>
      <c r="U30" s="3472">
        <v>500001</v>
      </c>
      <c r="V30" s="3472">
        <v>598920</v>
      </c>
      <c r="W30" s="3472">
        <v>500000</v>
      </c>
      <c r="X30" s="3473">
        <f t="shared" si="15"/>
        <v>1011.3245827131617</v>
      </c>
      <c r="Y30" s="3473">
        <f t="shared" si="15"/>
        <v>1211.402615351903</v>
      </c>
      <c r="Z30" s="3473">
        <f t="shared" si="15"/>
        <v>1011.3225600680416</v>
      </c>
      <c r="AA30" s="3486">
        <v>0</v>
      </c>
      <c r="AB30" s="3486">
        <v>0</v>
      </c>
      <c r="AC30" s="3486">
        <v>0</v>
      </c>
      <c r="AD30" s="3487">
        <v>26000000</v>
      </c>
      <c r="AE30" s="3487">
        <v>26000000</v>
      </c>
      <c r="AF30" s="3487">
        <v>0</v>
      </c>
      <c r="AG30" s="3487">
        <v>0</v>
      </c>
      <c r="AH30" s="3487">
        <v>0</v>
      </c>
      <c r="AI30" s="3487">
        <v>0</v>
      </c>
      <c r="AJ30" s="3488"/>
      <c r="AK30" s="3477"/>
      <c r="AL30" s="3477" t="s">
        <v>3088</v>
      </c>
      <c r="AM30" s="3477" t="s">
        <v>3089</v>
      </c>
      <c r="AN30" s="3478">
        <f t="shared" si="1"/>
        <v>651.29303126727621</v>
      </c>
      <c r="AO30" s="3478">
        <f t="shared" si="2"/>
        <v>0</v>
      </c>
      <c r="AP30" s="3478">
        <f t="shared" si="3"/>
        <v>780.14328428662554</v>
      </c>
      <c r="AQ30" s="3478">
        <f t="shared" si="4"/>
        <v>0</v>
      </c>
      <c r="AR30" s="3478">
        <f t="shared" si="5"/>
        <v>651.29172868381886</v>
      </c>
      <c r="AS30" s="3478">
        <f t="shared" si="6"/>
        <v>0</v>
      </c>
      <c r="AT30" s="3478">
        <v>17040400</v>
      </c>
      <c r="AU30" s="3478">
        <v>0</v>
      </c>
      <c r="AV30" s="3478">
        <v>17040400</v>
      </c>
      <c r="AW30" s="3478">
        <v>0</v>
      </c>
      <c r="AX30" s="3479" t="s">
        <v>3180</v>
      </c>
      <c r="AY30" s="3480">
        <f t="shared" si="12"/>
        <v>25</v>
      </c>
      <c r="AZ30" s="3480"/>
      <c r="BC30" s="3619"/>
      <c r="BD30" s="3549" t="s">
        <v>3389</v>
      </c>
      <c r="BE30" s="3757">
        <v>173798.16666666666</v>
      </c>
      <c r="BF30" s="3757">
        <v>173797.16666666666</v>
      </c>
      <c r="BG30" s="3757">
        <v>173796.16666666666</v>
      </c>
      <c r="BH30" s="3757">
        <v>173795.16666666666</v>
      </c>
      <c r="BI30" s="3757">
        <v>173794.16666666666</v>
      </c>
      <c r="BJ30" s="3757">
        <v>173793.16666666666</v>
      </c>
      <c r="BK30" s="3757">
        <v>173792.16666666666</v>
      </c>
      <c r="BL30" s="3757">
        <v>173791.16666666666</v>
      </c>
      <c r="BM30" s="3757">
        <v>173790.16666666666</v>
      </c>
      <c r="BN30" s="3757">
        <v>173789.16666666666</v>
      </c>
      <c r="BO30" s="3757">
        <v>173788.16666666666</v>
      </c>
      <c r="BP30" s="3757">
        <v>173787.16666666666</v>
      </c>
      <c r="BQ30" s="3757">
        <v>173785.16666666666</v>
      </c>
      <c r="BR30" s="3757">
        <v>173784.16666666666</v>
      </c>
      <c r="BS30" s="3757">
        <v>173783.16666666666</v>
      </c>
      <c r="BT30" s="3757">
        <v>173782.16666666666</v>
      </c>
      <c r="BU30" s="3757">
        <v>173781.16666666666</v>
      </c>
      <c r="BV30" s="3757">
        <v>173780.16666666666</v>
      </c>
      <c r="BW30" s="3757">
        <v>173779.16666666666</v>
      </c>
      <c r="BX30" s="3757">
        <v>173778.16666666666</v>
      </c>
      <c r="BY30" s="3757">
        <v>173777.16666666666</v>
      </c>
      <c r="BZ30" s="3757">
        <v>173776.16666666666</v>
      </c>
      <c r="CA30" s="3757">
        <v>173775.16666666666</v>
      </c>
      <c r="CB30" s="3758">
        <v>173774.16666666666</v>
      </c>
    </row>
    <row r="31" spans="1:80" ht="116">
      <c r="R31" s="3469">
        <f t="shared" si="11"/>
        <v>26</v>
      </c>
      <c r="S31" s="3470" t="s">
        <v>3100</v>
      </c>
      <c r="T31" s="3471" t="s">
        <v>3181</v>
      </c>
      <c r="U31" s="3472">
        <v>4656442</v>
      </c>
      <c r="V31" s="3472">
        <v>10032632</v>
      </c>
      <c r="W31" s="3472">
        <v>7948051</v>
      </c>
      <c r="X31" s="3473">
        <f t="shared" si="15"/>
        <v>9418.329688496704</v>
      </c>
      <c r="Y31" s="3473">
        <f t="shared" si="15"/>
        <v>20292.454156921114</v>
      </c>
      <c r="Z31" s="3473">
        <f t="shared" si="15"/>
        <v>16076.086569742716</v>
      </c>
      <c r="AA31" s="3486">
        <v>100000</v>
      </c>
      <c r="AB31" s="3486">
        <v>0</v>
      </c>
      <c r="AC31" s="3486">
        <v>0</v>
      </c>
      <c r="AD31" s="3487">
        <f>200000+212500+425000+143000+23000+1000000+239000+425000</f>
        <v>2667500</v>
      </c>
      <c r="AE31" s="3487">
        <f>200000+212500+425000+143000+23000+1000000+239000+425000</f>
        <v>2667500</v>
      </c>
      <c r="AF31" s="3487">
        <v>0</v>
      </c>
      <c r="AG31" s="3487">
        <v>0</v>
      </c>
      <c r="AH31" s="3487">
        <v>0</v>
      </c>
      <c r="AI31" s="3487">
        <v>0</v>
      </c>
      <c r="AJ31" s="3488"/>
      <c r="AK31" s="3477" t="s">
        <v>3123</v>
      </c>
      <c r="AL31" s="3477" t="s">
        <v>839</v>
      </c>
      <c r="AM31" s="3477" t="s">
        <v>839</v>
      </c>
      <c r="AN31" s="3478">
        <f t="shared" si="1"/>
        <v>46935.076159999997</v>
      </c>
      <c r="AO31" s="3478">
        <f t="shared" si="2"/>
        <v>14857.161679999999</v>
      </c>
      <c r="AP31" s="3478">
        <f t="shared" si="3"/>
        <v>9524.2788132840105</v>
      </c>
      <c r="AQ31" s="3478">
        <f t="shared" si="4"/>
        <v>3014.8827229336507</v>
      </c>
      <c r="AR31" s="3478">
        <f t="shared" si="5"/>
        <v>7545.3234750562742</v>
      </c>
      <c r="AS31" s="3478">
        <f t="shared" si="6"/>
        <v>2388.4501734834412</v>
      </c>
      <c r="AT31" s="3478">
        <f t="shared" ref="AT31:AT69" si="17">IF($AM31=$AG$129,(AD31)*$AH$129,IF($AM31=$AG$130,(AD31)*$AH$130,IF($AM31=$AG$131,(AD31)*$AH$131,IF($AM31=$AG$134,(AD31)*$AH$134,IF($AM31=$AG$135,(AD31)*$AH$135,IF($AM31=$AG$136,(AD31)*$AH$136,IF(AM31=$AM$10,0,0)))))))</f>
        <v>1251993.1565679999</v>
      </c>
      <c r="AU31" s="3478">
        <f t="shared" ref="AU31:AU69" si="18">IF($AM31=$AG$129,(AD31)*$AI$129,IF($AM31=$AG$130,(AD31)*$AI$130,IF($AM31=$AG$131,(AD31)*$AI$131,IF($AM31=$AG$134,(AD31)*$AI$134,IF($AM31=$AG$135,(AD31)*$AI$135,IF($AM31=$AG$136,(AD31)*$AI$136,IF(AM31=$AM$10,0,0)))))))</f>
        <v>396314.78781399998</v>
      </c>
      <c r="AV31" s="3478">
        <f t="shared" ref="AV31:AV69" si="19">IF($AM31=$AG$129,(AE31)*$AH$129,IF($AM31=$AG$130,(AE31)*$AH$130,IF($AM31=$AG$131,(AE31)*$AH$131,IF($AM31=$AG$134,(AE31)*$AH$134,IF($AM31=$AG$135,(AE31)*$AH$135,IF($AM31=$AG$136,(AE31)*$AH$136,IF(AM31=$AM$10,0,0)))))))</f>
        <v>1251993.1565679999</v>
      </c>
      <c r="AW31" s="3478">
        <f t="shared" ref="AW31:AW69" si="20">IF($AM31=$AG$129,(AE31)*$AI$129,IF($AM31=$AG$130,(AE31)*$AI$130,IF($AM31=$AG$131,(AE31)*$AI$131,IF($AM31=$AG$134,(AE31)*$AI$134,IF($AM31=$AG$135,(AE31)*$AI$135,IF($AM31=$AG$136,(AE31)*$AI$136,IF(AM31=$AM$10,0,0)))))))</f>
        <v>396314.78781399998</v>
      </c>
      <c r="AX31" s="3479" t="s">
        <v>3182</v>
      </c>
      <c r="AY31" s="3480">
        <f t="shared" si="12"/>
        <v>26</v>
      </c>
      <c r="AZ31" s="3480"/>
      <c r="BC31" s="3619"/>
      <c r="BD31" s="3549" t="s">
        <v>3384</v>
      </c>
      <c r="BE31" s="3757">
        <v>3551</v>
      </c>
      <c r="BF31" s="3757">
        <v>3551</v>
      </c>
      <c r="BG31" s="3757">
        <v>3551</v>
      </c>
      <c r="BH31" s="3757">
        <v>3551</v>
      </c>
      <c r="BI31" s="3757">
        <v>3551</v>
      </c>
      <c r="BJ31" s="3757">
        <v>3551</v>
      </c>
      <c r="BK31" s="3757">
        <v>3551</v>
      </c>
      <c r="BL31" s="3757">
        <v>3551</v>
      </c>
      <c r="BM31" s="3757">
        <v>3551</v>
      </c>
      <c r="BN31" s="3757">
        <v>3551</v>
      </c>
      <c r="BO31" s="3757">
        <v>3551</v>
      </c>
      <c r="BP31" s="3757">
        <v>3551</v>
      </c>
      <c r="BQ31" s="3757">
        <v>3551</v>
      </c>
      <c r="BR31" s="3757">
        <v>3551</v>
      </c>
      <c r="BS31" s="3757">
        <v>3551</v>
      </c>
      <c r="BT31" s="3757">
        <v>3551</v>
      </c>
      <c r="BU31" s="3757">
        <v>3551</v>
      </c>
      <c r="BV31" s="3757">
        <v>3551</v>
      </c>
      <c r="BW31" s="3757">
        <v>3551</v>
      </c>
      <c r="BX31" s="3757">
        <v>3551</v>
      </c>
      <c r="BY31" s="3757">
        <v>3551</v>
      </c>
      <c r="BZ31" s="3757">
        <v>3551</v>
      </c>
      <c r="CA31" s="3757">
        <v>3551</v>
      </c>
      <c r="CB31" s="3758">
        <v>3551</v>
      </c>
    </row>
    <row r="32" spans="1:80" ht="58">
      <c r="B32" s="2128"/>
      <c r="C32" s="2128"/>
      <c r="D32" s="2128"/>
      <c r="E32" s="2128"/>
      <c r="F32" s="2128"/>
      <c r="G32" s="2128"/>
      <c r="R32" s="3469">
        <f t="shared" si="11"/>
        <v>27</v>
      </c>
      <c r="S32" s="3470" t="s">
        <v>3100</v>
      </c>
      <c r="T32" s="3471" t="s">
        <v>3183</v>
      </c>
      <c r="U32" s="3472">
        <v>2798585</v>
      </c>
      <c r="V32" s="3472">
        <v>2429392</v>
      </c>
      <c r="W32" s="3472">
        <v>3357757</v>
      </c>
      <c r="X32" s="3473">
        <f t="shared" si="15"/>
        <v>5660.5442935360397</v>
      </c>
      <c r="Y32" s="3473">
        <f t="shared" si="15"/>
        <v>4913.7978736976393</v>
      </c>
      <c r="Z32" s="3473">
        <f t="shared" si="15"/>
        <v>6791.550810652775</v>
      </c>
      <c r="AA32" s="3486">
        <v>0</v>
      </c>
      <c r="AB32" s="3486">
        <v>0</v>
      </c>
      <c r="AC32" s="3486">
        <v>0</v>
      </c>
      <c r="AD32" s="3487">
        <v>20000000</v>
      </c>
      <c r="AE32" s="3487">
        <v>20000000</v>
      </c>
      <c r="AF32" s="3487">
        <v>0</v>
      </c>
      <c r="AG32" s="3487">
        <v>0</v>
      </c>
      <c r="AH32" s="3487">
        <v>0</v>
      </c>
      <c r="AI32" s="3487">
        <v>0</v>
      </c>
      <c r="AJ32" s="3488"/>
      <c r="AK32" s="3477"/>
      <c r="AL32" s="3477" t="s">
        <v>3088</v>
      </c>
      <c r="AM32" s="3477" t="s">
        <v>3089</v>
      </c>
      <c r="AN32" s="3478">
        <f t="shared" si="1"/>
        <v>3645.3905250372095</v>
      </c>
      <c r="AO32" s="3478">
        <f t="shared" si="2"/>
        <v>0</v>
      </c>
      <c r="AP32" s="3478">
        <f t="shared" si="3"/>
        <v>3164.4858306612796</v>
      </c>
      <c r="AQ32" s="3478">
        <f t="shared" si="4"/>
        <v>0</v>
      </c>
      <c r="AR32" s="3478">
        <f t="shared" si="5"/>
        <v>4373.7587220603873</v>
      </c>
      <c r="AS32" s="3478">
        <f t="shared" si="6"/>
        <v>0</v>
      </c>
      <c r="AT32" s="3478">
        <f t="shared" si="17"/>
        <v>12880000</v>
      </c>
      <c r="AU32" s="3478">
        <f t="shared" si="18"/>
        <v>0</v>
      </c>
      <c r="AV32" s="3478">
        <f t="shared" si="19"/>
        <v>12880000</v>
      </c>
      <c r="AW32" s="3478">
        <f t="shared" si="20"/>
        <v>0</v>
      </c>
      <c r="AX32" s="3547" t="s">
        <v>3184</v>
      </c>
      <c r="AY32" s="3480">
        <f t="shared" si="12"/>
        <v>27</v>
      </c>
      <c r="AZ32" s="3480"/>
      <c r="BC32" s="3619"/>
      <c r="BD32" s="3549" t="s">
        <v>3388</v>
      </c>
      <c r="BE32" s="3757">
        <v>2</v>
      </c>
      <c r="BF32" s="3757">
        <v>2</v>
      </c>
      <c r="BG32" s="3757">
        <v>2</v>
      </c>
      <c r="BH32" s="3757">
        <v>2</v>
      </c>
      <c r="BI32" s="3757">
        <v>2</v>
      </c>
      <c r="BJ32" s="3757">
        <v>2</v>
      </c>
      <c r="BK32" s="3757">
        <v>2</v>
      </c>
      <c r="BL32" s="3757">
        <v>2</v>
      </c>
      <c r="BM32" s="3757">
        <v>2</v>
      </c>
      <c r="BN32" s="3757">
        <v>2</v>
      </c>
      <c r="BO32" s="3757">
        <v>2</v>
      </c>
      <c r="BP32" s="3757">
        <v>2</v>
      </c>
      <c r="BQ32" s="3757">
        <v>2</v>
      </c>
      <c r="BR32" s="3757">
        <v>2</v>
      </c>
      <c r="BS32" s="3757">
        <v>2</v>
      </c>
      <c r="BT32" s="3757">
        <v>2</v>
      </c>
      <c r="BU32" s="3757">
        <v>2</v>
      </c>
      <c r="BV32" s="3757">
        <v>2</v>
      </c>
      <c r="BW32" s="3757">
        <v>2</v>
      </c>
      <c r="BX32" s="3757">
        <v>2</v>
      </c>
      <c r="BY32" s="3757">
        <v>2</v>
      </c>
      <c r="BZ32" s="3757">
        <v>2</v>
      </c>
      <c r="CA32" s="3757">
        <v>2</v>
      </c>
      <c r="CB32" s="3758">
        <v>2</v>
      </c>
    </row>
    <row r="33" spans="2:80" ht="72.5">
      <c r="B33" s="2128"/>
      <c r="C33" s="2128"/>
      <c r="D33" s="2128"/>
      <c r="E33" s="2128"/>
      <c r="F33" s="2128"/>
      <c r="G33" s="2128"/>
      <c r="R33" s="3469">
        <f t="shared" si="11"/>
        <v>28</v>
      </c>
      <c r="S33" s="3470" t="s">
        <v>3100</v>
      </c>
      <c r="T33" s="3471" t="s">
        <v>3185</v>
      </c>
      <c r="U33" s="3472">
        <v>100081</v>
      </c>
      <c r="V33" s="3472">
        <v>100000</v>
      </c>
      <c r="W33" s="3472">
        <v>100075</v>
      </c>
      <c r="X33" s="3473">
        <f t="shared" si="15"/>
        <v>202.42834626833934</v>
      </c>
      <c r="Y33" s="3473">
        <f t="shared" si="15"/>
        <v>202.26451201360834</v>
      </c>
      <c r="Z33" s="3473">
        <f t="shared" si="15"/>
        <v>202.41621039761853</v>
      </c>
      <c r="AA33" s="3486">
        <v>0</v>
      </c>
      <c r="AB33" s="3486">
        <v>0</v>
      </c>
      <c r="AC33" s="3486">
        <v>0</v>
      </c>
      <c r="AD33" s="3487">
        <v>936000</v>
      </c>
      <c r="AE33" s="3487">
        <v>936000</v>
      </c>
      <c r="AF33" s="3487">
        <v>0</v>
      </c>
      <c r="AG33" s="3487">
        <v>0</v>
      </c>
      <c r="AH33" s="3487">
        <v>104000</v>
      </c>
      <c r="AI33" s="3487">
        <v>104000</v>
      </c>
      <c r="AJ33" s="3488" t="s">
        <v>3186</v>
      </c>
      <c r="AK33" s="3477"/>
      <c r="AL33" s="3477" t="s">
        <v>839</v>
      </c>
      <c r="AM33" s="3477" t="s">
        <v>839</v>
      </c>
      <c r="AN33" s="3478">
        <f t="shared" si="1"/>
        <v>95.009898490473574</v>
      </c>
      <c r="AO33" s="3478">
        <f t="shared" si="2"/>
        <v>30.075106691237423</v>
      </c>
      <c r="AP33" s="3478">
        <f t="shared" si="3"/>
        <v>94.933002758239411</v>
      </c>
      <c r="AQ33" s="3478">
        <f t="shared" si="4"/>
        <v>30.050765571124813</v>
      </c>
      <c r="AR33" s="3478">
        <f t="shared" si="5"/>
        <v>95.00420251030809</v>
      </c>
      <c r="AS33" s="3478">
        <f t="shared" si="6"/>
        <v>30.073303645303156</v>
      </c>
      <c r="AT33" s="3478">
        <f t="shared" si="17"/>
        <v>439312.31285759993</v>
      </c>
      <c r="AU33" s="3478">
        <f t="shared" si="18"/>
        <v>139063.0333248</v>
      </c>
      <c r="AV33" s="3478">
        <f t="shared" si="19"/>
        <v>439312.31285759993</v>
      </c>
      <c r="AW33" s="3478">
        <f t="shared" si="20"/>
        <v>139063.0333248</v>
      </c>
      <c r="AX33" s="3479" t="s">
        <v>3187</v>
      </c>
      <c r="AY33" s="3480">
        <f t="shared" si="12"/>
        <v>28</v>
      </c>
      <c r="AZ33" s="3480"/>
      <c r="BC33" s="3619"/>
      <c r="BD33" s="3549" t="s">
        <v>3390</v>
      </c>
      <c r="BE33" s="3757">
        <v>0</v>
      </c>
      <c r="BF33" s="3757">
        <v>0</v>
      </c>
      <c r="BG33" s="3757">
        <v>0</v>
      </c>
      <c r="BH33" s="3757">
        <v>0</v>
      </c>
      <c r="BI33" s="3757">
        <v>0</v>
      </c>
      <c r="BJ33" s="3757">
        <v>0</v>
      </c>
      <c r="BK33" s="3757">
        <v>0</v>
      </c>
      <c r="BL33" s="3757">
        <v>0</v>
      </c>
      <c r="BM33" s="3757">
        <v>0</v>
      </c>
      <c r="BN33" s="3757">
        <v>0</v>
      </c>
      <c r="BO33" s="3757">
        <v>0</v>
      </c>
      <c r="BP33" s="3757">
        <v>0</v>
      </c>
      <c r="BQ33" s="3757">
        <v>0</v>
      </c>
      <c r="BR33" s="3757">
        <v>0</v>
      </c>
      <c r="BS33" s="3757">
        <v>0</v>
      </c>
      <c r="BT33" s="3757">
        <v>0</v>
      </c>
      <c r="BU33" s="3757">
        <v>0</v>
      </c>
      <c r="BV33" s="3757">
        <v>0</v>
      </c>
      <c r="BW33" s="3757">
        <v>0</v>
      </c>
      <c r="BX33" s="3757">
        <v>0</v>
      </c>
      <c r="BY33" s="3757">
        <v>0</v>
      </c>
      <c r="BZ33" s="3757">
        <v>0</v>
      </c>
      <c r="CA33" s="3757">
        <v>0</v>
      </c>
      <c r="CB33" s="3758">
        <v>0</v>
      </c>
    </row>
    <row r="34" spans="2:80" ht="43.5">
      <c r="B34" s="2128"/>
      <c r="C34" s="2128"/>
      <c r="D34" s="2128"/>
      <c r="E34" s="2128"/>
      <c r="F34" s="2128"/>
      <c r="G34" s="2128"/>
      <c r="R34" s="3469">
        <f t="shared" si="11"/>
        <v>29</v>
      </c>
      <c r="S34" s="3470" t="s">
        <v>3100</v>
      </c>
      <c r="T34" s="3471" t="s">
        <v>3188</v>
      </c>
      <c r="U34" s="3472">
        <v>1786541</v>
      </c>
      <c r="V34" s="3472">
        <v>1369738</v>
      </c>
      <c r="W34" s="3472">
        <v>2212730</v>
      </c>
      <c r="X34" s="3473">
        <f t="shared" si="15"/>
        <v>3613.5384355730384</v>
      </c>
      <c r="Y34" s="3473">
        <f t="shared" si="15"/>
        <v>2770.493881564958</v>
      </c>
      <c r="Z34" s="3473">
        <f t="shared" si="15"/>
        <v>4475.5675366787154</v>
      </c>
      <c r="AA34" s="3486">
        <v>0</v>
      </c>
      <c r="AB34" s="3486">
        <v>0</v>
      </c>
      <c r="AC34" s="3486">
        <v>0</v>
      </c>
      <c r="AD34" s="3487">
        <v>1000000</v>
      </c>
      <c r="AE34" s="3487">
        <v>1000000</v>
      </c>
      <c r="AF34" s="3487">
        <v>0</v>
      </c>
      <c r="AG34" s="3487">
        <v>0</v>
      </c>
      <c r="AH34" s="3487">
        <v>0</v>
      </c>
      <c r="AI34" s="3487">
        <v>0</v>
      </c>
      <c r="AJ34" s="3488"/>
      <c r="AK34" s="3477"/>
      <c r="AL34" s="3477" t="s">
        <v>839</v>
      </c>
      <c r="AM34" s="3477" t="s">
        <v>839</v>
      </c>
      <c r="AN34" s="3478">
        <f t="shared" si="1"/>
        <v>1696.0170168070779</v>
      </c>
      <c r="AO34" s="3478">
        <f t="shared" si="2"/>
        <v>536.86924774202896</v>
      </c>
      <c r="AP34" s="3478">
        <f t="shared" si="3"/>
        <v>1300.3334133206531</v>
      </c>
      <c r="AQ34" s="3478">
        <f t="shared" si="4"/>
        <v>411.61675531861351</v>
      </c>
      <c r="AR34" s="3478">
        <f t="shared" si="5"/>
        <v>2100.6110319323907</v>
      </c>
      <c r="AS34" s="3478">
        <f t="shared" si="6"/>
        <v>664.94230502195001</v>
      </c>
      <c r="AT34" s="3478">
        <f t="shared" si="17"/>
        <v>469350.76159999997</v>
      </c>
      <c r="AU34" s="3478">
        <f t="shared" si="18"/>
        <v>148571.61679999999</v>
      </c>
      <c r="AV34" s="3478">
        <f t="shared" si="19"/>
        <v>469350.76159999997</v>
      </c>
      <c r="AW34" s="3478">
        <f t="shared" si="20"/>
        <v>148571.61679999999</v>
      </c>
      <c r="AX34" s="3479" t="s">
        <v>3189</v>
      </c>
      <c r="AY34" s="3480">
        <f t="shared" si="12"/>
        <v>29</v>
      </c>
      <c r="AZ34" s="3480"/>
      <c r="BC34" s="3619"/>
      <c r="BD34" s="3549" t="s">
        <v>3387</v>
      </c>
      <c r="BE34" s="3757">
        <v>3.9230769230769229</v>
      </c>
      <c r="BF34" s="3757">
        <v>3.9230769230769229</v>
      </c>
      <c r="BG34" s="3757">
        <v>3.9230769230769229</v>
      </c>
      <c r="BH34" s="3757">
        <v>3.9230769230769229</v>
      </c>
      <c r="BI34" s="3757">
        <v>3.9230769230769229</v>
      </c>
      <c r="BJ34" s="3757">
        <v>3.9230769230769229</v>
      </c>
      <c r="BK34" s="3757">
        <v>3.9230769230769229</v>
      </c>
      <c r="BL34" s="3757">
        <v>3.9230769230769229</v>
      </c>
      <c r="BM34" s="3757">
        <v>3.9230769230769229</v>
      </c>
      <c r="BN34" s="3757">
        <v>3.9230769230769229</v>
      </c>
      <c r="BO34" s="3757">
        <v>3.9230769230769229</v>
      </c>
      <c r="BP34" s="3757">
        <v>3.9230769230769229</v>
      </c>
      <c r="BQ34" s="3757">
        <v>3.9230769230769229</v>
      </c>
      <c r="BR34" s="3757">
        <v>3.9230769230769229</v>
      </c>
      <c r="BS34" s="3757">
        <v>3.9230769230769229</v>
      </c>
      <c r="BT34" s="3757">
        <v>3.9230769230769229</v>
      </c>
      <c r="BU34" s="3757">
        <v>3.9230769230769229</v>
      </c>
      <c r="BV34" s="3757">
        <v>3.9230769230769229</v>
      </c>
      <c r="BW34" s="3757">
        <v>3.9230769230769229</v>
      </c>
      <c r="BX34" s="3757">
        <v>3.9230769230769229</v>
      </c>
      <c r="BY34" s="3757">
        <v>3.9230769230769229</v>
      </c>
      <c r="BZ34" s="3757">
        <v>3.9230769230769229</v>
      </c>
      <c r="CA34" s="3757">
        <v>3.9230769230769229</v>
      </c>
      <c r="CB34" s="3758">
        <v>3.9230769230769229</v>
      </c>
    </row>
    <row r="35" spans="2:80" ht="25">
      <c r="B35" s="2128"/>
      <c r="C35" s="2128"/>
      <c r="D35" s="2128"/>
      <c r="E35" s="2128"/>
      <c r="F35" s="2128"/>
      <c r="G35" s="2128"/>
      <c r="R35" s="3469">
        <f t="shared" si="11"/>
        <v>30</v>
      </c>
      <c r="S35" s="3470" t="s">
        <v>3100</v>
      </c>
      <c r="T35" s="3471" t="s">
        <v>3191</v>
      </c>
      <c r="U35" s="3472">
        <v>2221684</v>
      </c>
      <c r="V35" s="3472">
        <v>2000003</v>
      </c>
      <c r="W35" s="3472">
        <v>1051084</v>
      </c>
      <c r="X35" s="3473">
        <f t="shared" si="15"/>
        <v>4493.6783010844138</v>
      </c>
      <c r="Y35" s="3473">
        <f t="shared" si="15"/>
        <v>4045.2963082075266</v>
      </c>
      <c r="Z35" s="3473">
        <f t="shared" si="15"/>
        <v>2125.9699234531149</v>
      </c>
      <c r="AA35" s="3486">
        <v>0</v>
      </c>
      <c r="AB35" s="3486">
        <v>0</v>
      </c>
      <c r="AC35" s="3486">
        <v>0</v>
      </c>
      <c r="AD35" s="3487">
        <v>0</v>
      </c>
      <c r="AE35" s="3487">
        <v>0</v>
      </c>
      <c r="AF35" s="3487">
        <v>0</v>
      </c>
      <c r="AG35" s="3487">
        <v>0</v>
      </c>
      <c r="AH35" s="3487">
        <v>0</v>
      </c>
      <c r="AI35" s="3487">
        <v>0</v>
      </c>
      <c r="AJ35" s="3488" t="s">
        <v>3120</v>
      </c>
      <c r="AK35" s="3477"/>
      <c r="AL35" s="3477" t="s">
        <v>839</v>
      </c>
      <c r="AM35" s="3477" t="s">
        <v>839</v>
      </c>
      <c r="AN35" s="3478">
        <f t="shared" si="1"/>
        <v>2109.1113329993636</v>
      </c>
      <c r="AO35" s="3478">
        <f t="shared" si="2"/>
        <v>667.63305057118851</v>
      </c>
      <c r="AP35" s="3478">
        <f t="shared" si="3"/>
        <v>1898.6629031548707</v>
      </c>
      <c r="AQ35" s="3478">
        <f t="shared" si="4"/>
        <v>601.01621294546339</v>
      </c>
      <c r="AR35" s="3478">
        <f t="shared" si="5"/>
        <v>997.82560271141301</v>
      </c>
      <c r="AS35" s="3478">
        <f t="shared" si="6"/>
        <v>315.85878879560153</v>
      </c>
      <c r="AT35" s="3478">
        <f t="shared" si="17"/>
        <v>0</v>
      </c>
      <c r="AU35" s="3478">
        <f t="shared" si="18"/>
        <v>0</v>
      </c>
      <c r="AV35" s="3478">
        <f t="shared" si="19"/>
        <v>0</v>
      </c>
      <c r="AW35" s="3478">
        <f t="shared" si="20"/>
        <v>0</v>
      </c>
      <c r="AX35" s="3479" t="s">
        <v>3090</v>
      </c>
      <c r="AY35" s="3480">
        <f t="shared" si="12"/>
        <v>30</v>
      </c>
      <c r="AZ35" s="3480"/>
      <c r="BC35" s="3619"/>
      <c r="BD35" s="3549" t="s">
        <v>3386</v>
      </c>
      <c r="BE35" s="3757">
        <v>38</v>
      </c>
      <c r="BF35" s="3757">
        <v>38</v>
      </c>
      <c r="BG35" s="3757">
        <v>38</v>
      </c>
      <c r="BH35" s="3757">
        <v>38</v>
      </c>
      <c r="BI35" s="3757">
        <v>38</v>
      </c>
      <c r="BJ35" s="3757">
        <v>38</v>
      </c>
      <c r="BK35" s="3757">
        <v>38</v>
      </c>
      <c r="BL35" s="3757">
        <v>38</v>
      </c>
      <c r="BM35" s="3757">
        <v>38</v>
      </c>
      <c r="BN35" s="3757">
        <v>38</v>
      </c>
      <c r="BO35" s="3757">
        <v>38</v>
      </c>
      <c r="BP35" s="3757">
        <v>38</v>
      </c>
      <c r="BQ35" s="3757">
        <v>38</v>
      </c>
      <c r="BR35" s="3757">
        <v>38</v>
      </c>
      <c r="BS35" s="3757">
        <v>38</v>
      </c>
      <c r="BT35" s="3757">
        <v>38</v>
      </c>
      <c r="BU35" s="3757">
        <v>38</v>
      </c>
      <c r="BV35" s="3757">
        <v>38</v>
      </c>
      <c r="BW35" s="3757">
        <v>38</v>
      </c>
      <c r="BX35" s="3757">
        <v>38</v>
      </c>
      <c r="BY35" s="3757">
        <v>38</v>
      </c>
      <c r="BZ35" s="3757">
        <v>38</v>
      </c>
      <c r="CA35" s="3757">
        <v>38</v>
      </c>
      <c r="CB35" s="3758">
        <v>38</v>
      </c>
    </row>
    <row r="36" spans="2:80" ht="72.5">
      <c r="B36" s="2128"/>
      <c r="C36" s="2128"/>
      <c r="D36" s="2128"/>
      <c r="E36" s="2128"/>
      <c r="F36" s="2128"/>
      <c r="G36" s="2128"/>
      <c r="R36" s="3469">
        <f t="shared" si="11"/>
        <v>31</v>
      </c>
      <c r="S36" s="3470" t="s">
        <v>3100</v>
      </c>
      <c r="T36" s="3471" t="s">
        <v>3192</v>
      </c>
      <c r="U36" s="3472">
        <v>1771645</v>
      </c>
      <c r="V36" s="3472">
        <v>2387292</v>
      </c>
      <c r="W36" s="3472">
        <v>2000689</v>
      </c>
      <c r="X36" s="3473">
        <f t="shared" si="15"/>
        <v>3583.4091138634913</v>
      </c>
      <c r="Y36" s="3473">
        <f t="shared" si="15"/>
        <v>4828.6445141399108</v>
      </c>
      <c r="Z36" s="3473">
        <f t="shared" si="15"/>
        <v>4046.6838427599405</v>
      </c>
      <c r="AA36" s="3486">
        <v>0</v>
      </c>
      <c r="AB36" s="3486">
        <v>0</v>
      </c>
      <c r="AC36" s="3486">
        <v>0</v>
      </c>
      <c r="AD36" s="3487">
        <v>936000</v>
      </c>
      <c r="AE36" s="3487">
        <v>936000</v>
      </c>
      <c r="AF36" s="3487">
        <v>0</v>
      </c>
      <c r="AG36" s="3487">
        <v>0</v>
      </c>
      <c r="AH36" s="3487">
        <v>104000</v>
      </c>
      <c r="AI36" s="3487">
        <v>104000</v>
      </c>
      <c r="AJ36" s="3488" t="s">
        <v>3193</v>
      </c>
      <c r="AK36" s="3477"/>
      <c r="AL36" s="3477" t="s">
        <v>839</v>
      </c>
      <c r="AM36" s="3477" t="s">
        <v>839</v>
      </c>
      <c r="AN36" s="3478">
        <f t="shared" si="1"/>
        <v>1681.8757967162105</v>
      </c>
      <c r="AO36" s="3478">
        <f t="shared" si="2"/>
        <v>532.39288570255417</v>
      </c>
      <c r="AP36" s="3478">
        <f t="shared" si="3"/>
        <v>2266.3279802072288</v>
      </c>
      <c r="AQ36" s="3478">
        <f t="shared" si="4"/>
        <v>717.39952241821697</v>
      </c>
      <c r="AR36" s="3478">
        <f t="shared" si="5"/>
        <v>1899.3141435537925</v>
      </c>
      <c r="AS36" s="3478">
        <f t="shared" si="6"/>
        <v>601.22236119728132</v>
      </c>
      <c r="AT36" s="3478">
        <f t="shared" si="17"/>
        <v>439312.31285759993</v>
      </c>
      <c r="AU36" s="3478">
        <f t="shared" si="18"/>
        <v>139063.0333248</v>
      </c>
      <c r="AV36" s="3478">
        <f t="shared" si="19"/>
        <v>439312.31285759993</v>
      </c>
      <c r="AW36" s="3478">
        <f t="shared" si="20"/>
        <v>139063.0333248</v>
      </c>
      <c r="AX36" s="3479" t="s">
        <v>3194</v>
      </c>
      <c r="AY36" s="3480">
        <f t="shared" si="12"/>
        <v>31</v>
      </c>
      <c r="AZ36" s="3480"/>
      <c r="BC36" s="3619"/>
      <c r="CB36" s="3618"/>
    </row>
    <row r="37" spans="2:80" ht="25">
      <c r="B37" s="2128"/>
      <c r="C37" s="2128"/>
      <c r="D37" s="2128"/>
      <c r="E37" s="2128"/>
      <c r="F37" s="2128"/>
      <c r="G37" s="2128"/>
      <c r="R37" s="3469">
        <f t="shared" si="11"/>
        <v>32</v>
      </c>
      <c r="S37" s="3470" t="s">
        <v>3100</v>
      </c>
      <c r="T37" s="3471" t="s">
        <v>3195</v>
      </c>
      <c r="U37" s="3472">
        <v>978615</v>
      </c>
      <c r="V37" s="3472">
        <v>909147</v>
      </c>
      <c r="W37" s="3472">
        <v>977102</v>
      </c>
      <c r="X37" s="3473">
        <f t="shared" si="15"/>
        <v>1979.3908542419731</v>
      </c>
      <c r="Y37" s="3473">
        <f t="shared" si="15"/>
        <v>1838.8817430363597</v>
      </c>
      <c r="Z37" s="3473">
        <f t="shared" si="15"/>
        <v>1976.3305921752074</v>
      </c>
      <c r="AA37" s="3486">
        <v>0</v>
      </c>
      <c r="AB37" s="3486">
        <v>0</v>
      </c>
      <c r="AC37" s="3486">
        <v>0</v>
      </c>
      <c r="AD37" s="3487">
        <v>0</v>
      </c>
      <c r="AE37" s="3487">
        <v>0</v>
      </c>
      <c r="AF37" s="3487">
        <v>0</v>
      </c>
      <c r="AG37" s="3487">
        <v>0</v>
      </c>
      <c r="AH37" s="3487">
        <v>0</v>
      </c>
      <c r="AI37" s="3487">
        <v>0</v>
      </c>
      <c r="AJ37" s="3488"/>
      <c r="AK37" s="3477"/>
      <c r="AL37" s="3477" t="s">
        <v>839</v>
      </c>
      <c r="AM37" s="3477" t="s">
        <v>839</v>
      </c>
      <c r="AN37" s="3478">
        <f t="shared" si="1"/>
        <v>929.02860494254458</v>
      </c>
      <c r="AO37" s="3478">
        <f t="shared" si="2"/>
        <v>294.08129949386307</v>
      </c>
      <c r="AP37" s="3478">
        <f t="shared" si="3"/>
        <v>863.08054658645085</v>
      </c>
      <c r="AQ37" s="3478">
        <f t="shared" si="4"/>
        <v>273.20563366691408</v>
      </c>
      <c r="AR37" s="3478">
        <f t="shared" si="5"/>
        <v>927.59226861081243</v>
      </c>
      <c r="AS37" s="3478">
        <f t="shared" si="6"/>
        <v>293.62663141077201</v>
      </c>
      <c r="AT37" s="3478">
        <f t="shared" si="17"/>
        <v>0</v>
      </c>
      <c r="AU37" s="3478">
        <f t="shared" si="18"/>
        <v>0</v>
      </c>
      <c r="AV37" s="3478">
        <f t="shared" si="19"/>
        <v>0</v>
      </c>
      <c r="AW37" s="3478">
        <f t="shared" si="20"/>
        <v>0</v>
      </c>
      <c r="AX37" s="3479" t="s">
        <v>3090</v>
      </c>
      <c r="AY37" s="3480">
        <f t="shared" si="12"/>
        <v>32</v>
      </c>
      <c r="AZ37" s="3480"/>
      <c r="BC37" s="3619"/>
      <c r="BD37" s="3639" t="s">
        <v>3215</v>
      </c>
      <c r="BE37" s="3660"/>
      <c r="BF37" s="3660"/>
      <c r="BG37" s="3660"/>
      <c r="CB37" s="3618"/>
    </row>
    <row r="38" spans="2:80" ht="87">
      <c r="R38" s="3469">
        <f t="shared" si="11"/>
        <v>33</v>
      </c>
      <c r="S38" s="3470" t="s">
        <v>3100</v>
      </c>
      <c r="T38" s="3471" t="s">
        <v>3196</v>
      </c>
      <c r="U38" s="3472">
        <v>2970407</v>
      </c>
      <c r="V38" s="3472">
        <v>2609026</v>
      </c>
      <c r="W38" s="3472">
        <v>2804725</v>
      </c>
      <c r="X38" s="3473">
        <f t="shared" si="15"/>
        <v>6008.0792233680622</v>
      </c>
      <c r="Y38" s="3473">
        <f t="shared" si="15"/>
        <v>5277.1337072081642</v>
      </c>
      <c r="Z38" s="3473">
        <f t="shared" si="15"/>
        <v>5672.9633345736765</v>
      </c>
      <c r="AA38" s="3486">
        <v>0</v>
      </c>
      <c r="AB38" s="3486">
        <v>0</v>
      </c>
      <c r="AC38" s="3486">
        <v>0</v>
      </c>
      <c r="AD38" s="3487">
        <v>382000</v>
      </c>
      <c r="AE38" s="3487">
        <v>632000</v>
      </c>
      <c r="AF38" s="3487">
        <v>0</v>
      </c>
      <c r="AG38" s="3487">
        <v>0</v>
      </c>
      <c r="AH38" s="3487">
        <v>0</v>
      </c>
      <c r="AI38" s="3487">
        <v>0</v>
      </c>
      <c r="AJ38" s="3488"/>
      <c r="AK38" s="3477" t="s">
        <v>3123</v>
      </c>
      <c r="AL38" s="3477" t="s">
        <v>839</v>
      </c>
      <c r="AM38" s="3477" t="s">
        <v>839</v>
      </c>
      <c r="AN38" s="3478">
        <f t="shared" si="1"/>
        <v>2819.8965592409363</v>
      </c>
      <c r="AO38" s="3478">
        <f t="shared" si="2"/>
        <v>892.63004407828134</v>
      </c>
      <c r="AP38" s="3478">
        <f t="shared" si="3"/>
        <v>2476.826724543183</v>
      </c>
      <c r="AQ38" s="3478">
        <f t="shared" si="4"/>
        <v>784.03228694969482</v>
      </c>
      <c r="AR38" s="3478">
        <f t="shared" si="5"/>
        <v>2662.6096616110303</v>
      </c>
      <c r="AS38" s="3478">
        <f t="shared" si="6"/>
        <v>842.84133466473043</v>
      </c>
      <c r="AT38" s="3478">
        <f t="shared" si="17"/>
        <v>179291.99093119998</v>
      </c>
      <c r="AU38" s="3478">
        <f t="shared" si="18"/>
        <v>56754.357617599999</v>
      </c>
      <c r="AV38" s="3478">
        <f t="shared" si="19"/>
        <v>296629.68133119994</v>
      </c>
      <c r="AW38" s="3478">
        <f t="shared" si="20"/>
        <v>93897.261817599996</v>
      </c>
      <c r="AX38" s="3479" t="s">
        <v>3197</v>
      </c>
      <c r="AY38" s="3480">
        <f t="shared" si="12"/>
        <v>33</v>
      </c>
      <c r="AZ38" s="3480"/>
      <c r="BC38" s="3619"/>
      <c r="BE38" s="3637">
        <v>45688</v>
      </c>
      <c r="BF38" s="3637">
        <f t="shared" ref="BF38:CB38" si="21">EOMONTH(BE38,1)</f>
        <v>45716</v>
      </c>
      <c r="BG38" s="3637">
        <f t="shared" si="21"/>
        <v>45747</v>
      </c>
      <c r="BH38" s="3637">
        <f t="shared" si="21"/>
        <v>45777</v>
      </c>
      <c r="BI38" s="3637">
        <f t="shared" si="21"/>
        <v>45808</v>
      </c>
      <c r="BJ38" s="3637">
        <f t="shared" si="21"/>
        <v>45838</v>
      </c>
      <c r="BK38" s="3637">
        <f t="shared" si="21"/>
        <v>45869</v>
      </c>
      <c r="BL38" s="3637">
        <f t="shared" si="21"/>
        <v>45900</v>
      </c>
      <c r="BM38" s="3637">
        <f t="shared" si="21"/>
        <v>45930</v>
      </c>
      <c r="BN38" s="3637">
        <f t="shared" si="21"/>
        <v>45961</v>
      </c>
      <c r="BO38" s="3637">
        <f t="shared" si="21"/>
        <v>45991</v>
      </c>
      <c r="BP38" s="3637">
        <f t="shared" si="21"/>
        <v>46022</v>
      </c>
      <c r="BQ38" s="3637">
        <f t="shared" si="21"/>
        <v>46053</v>
      </c>
      <c r="BR38" s="3637">
        <f t="shared" si="21"/>
        <v>46081</v>
      </c>
      <c r="BS38" s="3637">
        <f t="shared" si="21"/>
        <v>46112</v>
      </c>
      <c r="BT38" s="3637">
        <f t="shared" si="21"/>
        <v>46142</v>
      </c>
      <c r="BU38" s="3637">
        <f t="shared" si="21"/>
        <v>46173</v>
      </c>
      <c r="BV38" s="3637">
        <f t="shared" si="21"/>
        <v>46203</v>
      </c>
      <c r="BW38" s="3637">
        <f t="shared" si="21"/>
        <v>46234</v>
      </c>
      <c r="BX38" s="3637">
        <f t="shared" si="21"/>
        <v>46265</v>
      </c>
      <c r="BY38" s="3637">
        <f t="shared" si="21"/>
        <v>46295</v>
      </c>
      <c r="BZ38" s="3637">
        <f t="shared" si="21"/>
        <v>46326</v>
      </c>
      <c r="CA38" s="3637">
        <f t="shared" si="21"/>
        <v>46356</v>
      </c>
      <c r="CB38" s="3636">
        <f t="shared" si="21"/>
        <v>46387</v>
      </c>
    </row>
    <row r="39" spans="2:80" ht="43.5">
      <c r="R39" s="3469">
        <f t="shared" si="11"/>
        <v>34</v>
      </c>
      <c r="S39" s="3470" t="s">
        <v>3100</v>
      </c>
      <c r="T39" s="3471" t="s">
        <v>3198</v>
      </c>
      <c r="U39" s="3472">
        <v>380134</v>
      </c>
      <c r="V39" s="3472">
        <v>399999</v>
      </c>
      <c r="W39" s="3472">
        <v>399999</v>
      </c>
      <c r="X39" s="3473">
        <f t="shared" si="15"/>
        <v>768.87618009780988</v>
      </c>
      <c r="Y39" s="3473">
        <f t="shared" si="15"/>
        <v>809.05602540931318</v>
      </c>
      <c r="Z39" s="3473">
        <f t="shared" si="15"/>
        <v>809.05602540931318</v>
      </c>
      <c r="AA39" s="3486">
        <v>0</v>
      </c>
      <c r="AB39" s="3486">
        <v>0</v>
      </c>
      <c r="AC39" s="3486">
        <v>0</v>
      </c>
      <c r="AD39" s="3487">
        <v>6000</v>
      </c>
      <c r="AE39" s="3487">
        <v>6000</v>
      </c>
      <c r="AF39" s="3487">
        <v>0</v>
      </c>
      <c r="AG39" s="3487">
        <v>0</v>
      </c>
      <c r="AH39" s="3487">
        <v>594000</v>
      </c>
      <c r="AI39" s="3487">
        <v>594000</v>
      </c>
      <c r="AJ39" s="3488" t="s">
        <v>3199</v>
      </c>
      <c r="AK39" s="3477"/>
      <c r="AL39" s="3477" t="s">
        <v>839</v>
      </c>
      <c r="AM39" s="3477" t="s">
        <v>839</v>
      </c>
      <c r="AN39" s="3478">
        <f t="shared" si="1"/>
        <v>360.87262070500577</v>
      </c>
      <c r="AO39" s="3478">
        <f t="shared" si="2"/>
        <v>114.23317719613959</v>
      </c>
      <c r="AP39" s="3478">
        <f t="shared" si="3"/>
        <v>379.73106170293005</v>
      </c>
      <c r="AQ39" s="3478">
        <f t="shared" si="4"/>
        <v>120.20276177684354</v>
      </c>
      <c r="AR39" s="3478">
        <f t="shared" si="5"/>
        <v>379.73106170293005</v>
      </c>
      <c r="AS39" s="3478">
        <f t="shared" si="6"/>
        <v>120.20276177684354</v>
      </c>
      <c r="AT39" s="3478">
        <f t="shared" si="17"/>
        <v>2816.1045695999996</v>
      </c>
      <c r="AU39" s="3478">
        <f t="shared" si="18"/>
        <v>891.42970079999998</v>
      </c>
      <c r="AV39" s="3478">
        <f t="shared" si="19"/>
        <v>2816.1045695999996</v>
      </c>
      <c r="AW39" s="3478">
        <f t="shared" si="20"/>
        <v>891.42970079999998</v>
      </c>
      <c r="AX39" s="3479" t="s">
        <v>3200</v>
      </c>
      <c r="AY39" s="3480">
        <f t="shared" si="12"/>
        <v>34</v>
      </c>
      <c r="AZ39" s="3480"/>
      <c r="BC39" s="3619"/>
      <c r="BD39" s="3549" t="s">
        <v>3389</v>
      </c>
      <c r="BE39" s="3756">
        <f>BE30-$BE$17-$BE$18</f>
        <v>478.16666666665697</v>
      </c>
      <c r="BF39" s="3550">
        <f t="shared" ref="BF39:CB39" si="22">BF30-$BE$17-$BE$18</f>
        <v>477.16666666665697</v>
      </c>
      <c r="BG39" s="3550">
        <f t="shared" si="22"/>
        <v>476.16666666665697</v>
      </c>
      <c r="BH39" s="3550">
        <f t="shared" si="22"/>
        <v>475.16666666665697</v>
      </c>
      <c r="BI39" s="3550">
        <f t="shared" si="22"/>
        <v>474.16666666665697</v>
      </c>
      <c r="BJ39" s="3550">
        <f t="shared" si="22"/>
        <v>473.16666666665697</v>
      </c>
      <c r="BK39" s="3550">
        <f t="shared" si="22"/>
        <v>472.16666666665697</v>
      </c>
      <c r="BL39" s="3550">
        <f t="shared" si="22"/>
        <v>471.16666666665697</v>
      </c>
      <c r="BM39" s="3550">
        <f t="shared" si="22"/>
        <v>470.16666666665697</v>
      </c>
      <c r="BN39" s="3550">
        <f t="shared" si="22"/>
        <v>469.16666666665697</v>
      </c>
      <c r="BO39" s="3550">
        <f t="shared" si="22"/>
        <v>468.16666666665697</v>
      </c>
      <c r="BP39" s="3550">
        <f t="shared" si="22"/>
        <v>467.16666666665697</v>
      </c>
      <c r="BQ39" s="3550">
        <f t="shared" si="22"/>
        <v>465.16666666665697</v>
      </c>
      <c r="BR39" s="3550">
        <f t="shared" si="22"/>
        <v>464.16666666665697</v>
      </c>
      <c r="BS39" s="3550">
        <f t="shared" si="22"/>
        <v>463.16666666665697</v>
      </c>
      <c r="BT39" s="3550">
        <f t="shared" si="22"/>
        <v>462.16666666665697</v>
      </c>
      <c r="BU39" s="3550">
        <f t="shared" si="22"/>
        <v>461.16666666665697</v>
      </c>
      <c r="BV39" s="3550">
        <f t="shared" si="22"/>
        <v>460.16666666665697</v>
      </c>
      <c r="BW39" s="3550">
        <f t="shared" si="22"/>
        <v>459.16666666665697</v>
      </c>
      <c r="BX39" s="3550">
        <f t="shared" si="22"/>
        <v>458.16666666665697</v>
      </c>
      <c r="BY39" s="3550">
        <f t="shared" si="22"/>
        <v>457.16666666665697</v>
      </c>
      <c r="BZ39" s="3550">
        <f t="shared" si="22"/>
        <v>456.16666666665697</v>
      </c>
      <c r="CA39" s="3550">
        <f t="shared" si="22"/>
        <v>455.16666666665697</v>
      </c>
      <c r="CB39" s="3551">
        <f t="shared" si="22"/>
        <v>454.16666666665697</v>
      </c>
    </row>
    <row r="40" spans="2:80" ht="58">
      <c r="R40" s="3469">
        <f t="shared" si="11"/>
        <v>35</v>
      </c>
      <c r="S40" s="3470" t="s">
        <v>3100</v>
      </c>
      <c r="T40" s="3471" t="s">
        <v>3201</v>
      </c>
      <c r="U40" s="3472">
        <v>7316</v>
      </c>
      <c r="V40" s="3472">
        <v>1461811</v>
      </c>
      <c r="W40" s="3472">
        <v>878940</v>
      </c>
      <c r="X40" s="3473">
        <f t="shared" si="15"/>
        <v>14.797671698915586</v>
      </c>
      <c r="Y40" s="3473">
        <f t="shared" si="15"/>
        <v>2956.7248857112481</v>
      </c>
      <c r="Z40" s="3473">
        <f t="shared" si="15"/>
        <v>1777.783701892409</v>
      </c>
      <c r="AA40" s="3486">
        <v>0</v>
      </c>
      <c r="AB40" s="3486">
        <v>0</v>
      </c>
      <c r="AC40" s="3486">
        <v>0</v>
      </c>
      <c r="AD40" s="3487">
        <v>0</v>
      </c>
      <c r="AE40" s="3487">
        <v>0</v>
      </c>
      <c r="AF40" s="3487">
        <v>0</v>
      </c>
      <c r="AG40" s="3487">
        <v>0</v>
      </c>
      <c r="AH40" s="3487">
        <v>0</v>
      </c>
      <c r="AI40" s="3487">
        <v>0</v>
      </c>
      <c r="AJ40" s="3488"/>
      <c r="AK40" s="3477"/>
      <c r="AL40" s="3477" t="s">
        <v>839</v>
      </c>
      <c r="AM40" s="3477" t="s">
        <v>839</v>
      </c>
      <c r="AN40" s="3478">
        <f t="shared" si="1"/>
        <v>6.9452984817927952</v>
      </c>
      <c r="AO40" s="3478">
        <f t="shared" si="2"/>
        <v>2.1985140091834916</v>
      </c>
      <c r="AP40" s="3478">
        <f t="shared" si="3"/>
        <v>1387.7410769502471</v>
      </c>
      <c r="AQ40" s="3478">
        <f t="shared" si="4"/>
        <v>439.28539670291536</v>
      </c>
      <c r="AR40" s="3478">
        <f t="shared" si="5"/>
        <v>834.40413444326941</v>
      </c>
      <c r="AS40" s="3478">
        <f t="shared" si="6"/>
        <v>264.12819891084445</v>
      </c>
      <c r="AT40" s="3478">
        <f t="shared" si="17"/>
        <v>0</v>
      </c>
      <c r="AU40" s="3478">
        <f t="shared" si="18"/>
        <v>0</v>
      </c>
      <c r="AV40" s="3478">
        <f t="shared" si="19"/>
        <v>0</v>
      </c>
      <c r="AW40" s="3478">
        <f t="shared" si="20"/>
        <v>0</v>
      </c>
      <c r="AX40" s="3479" t="s">
        <v>3202</v>
      </c>
      <c r="AY40" s="3480">
        <f t="shared" si="12"/>
        <v>35</v>
      </c>
      <c r="AZ40" s="3480"/>
      <c r="BC40" s="3619"/>
      <c r="BD40" s="3549" t="s">
        <v>3384</v>
      </c>
      <c r="BE40" s="3550">
        <f t="shared" ref="BE40:CB40" si="23">BE31-$BE$19</f>
        <v>0</v>
      </c>
      <c r="BF40" s="3550">
        <f t="shared" si="23"/>
        <v>0</v>
      </c>
      <c r="BG40" s="3550">
        <f t="shared" si="23"/>
        <v>0</v>
      </c>
      <c r="BH40" s="3550">
        <f t="shared" si="23"/>
        <v>0</v>
      </c>
      <c r="BI40" s="3550">
        <f t="shared" si="23"/>
        <v>0</v>
      </c>
      <c r="BJ40" s="3550">
        <f t="shared" si="23"/>
        <v>0</v>
      </c>
      <c r="BK40" s="3550">
        <f t="shared" si="23"/>
        <v>0</v>
      </c>
      <c r="BL40" s="3550">
        <f t="shared" si="23"/>
        <v>0</v>
      </c>
      <c r="BM40" s="3550">
        <f t="shared" si="23"/>
        <v>0</v>
      </c>
      <c r="BN40" s="3550">
        <f t="shared" si="23"/>
        <v>0</v>
      </c>
      <c r="BO40" s="3550">
        <f t="shared" si="23"/>
        <v>0</v>
      </c>
      <c r="BP40" s="3550">
        <f t="shared" si="23"/>
        <v>0</v>
      </c>
      <c r="BQ40" s="3550">
        <f t="shared" si="23"/>
        <v>0</v>
      </c>
      <c r="BR40" s="3550">
        <f t="shared" si="23"/>
        <v>0</v>
      </c>
      <c r="BS40" s="3550">
        <f t="shared" si="23"/>
        <v>0</v>
      </c>
      <c r="BT40" s="3550">
        <f t="shared" si="23"/>
        <v>0</v>
      </c>
      <c r="BU40" s="3550">
        <f t="shared" si="23"/>
        <v>0</v>
      </c>
      <c r="BV40" s="3550">
        <f t="shared" si="23"/>
        <v>0</v>
      </c>
      <c r="BW40" s="3550">
        <f t="shared" si="23"/>
        <v>0</v>
      </c>
      <c r="BX40" s="3550">
        <f t="shared" si="23"/>
        <v>0</v>
      </c>
      <c r="BY40" s="3550">
        <f t="shared" si="23"/>
        <v>0</v>
      </c>
      <c r="BZ40" s="3550">
        <f t="shared" si="23"/>
        <v>0</v>
      </c>
      <c r="CA40" s="3550">
        <f t="shared" si="23"/>
        <v>0</v>
      </c>
      <c r="CB40" s="3551">
        <f t="shared" si="23"/>
        <v>0</v>
      </c>
    </row>
    <row r="41" spans="2:80" ht="29">
      <c r="R41" s="3469">
        <f t="shared" si="11"/>
        <v>36</v>
      </c>
      <c r="S41" s="3470" t="s">
        <v>3100</v>
      </c>
      <c r="T41" s="3471" t="s">
        <v>3203</v>
      </c>
      <c r="U41" s="3472">
        <v>4260001</v>
      </c>
      <c r="V41" s="3472">
        <v>4144998</v>
      </c>
      <c r="W41" s="3472">
        <v>3140001</v>
      </c>
      <c r="X41" s="3473">
        <f t="shared" si="15"/>
        <v>8616.4702344248344</v>
      </c>
      <c r="Y41" s="3473">
        <f t="shared" si="15"/>
        <v>8383.8599776738247</v>
      </c>
      <c r="Z41" s="3473">
        <f t="shared" si="15"/>
        <v>6351.107699872422</v>
      </c>
      <c r="AA41" s="3486">
        <v>0</v>
      </c>
      <c r="AB41" s="3486">
        <v>0</v>
      </c>
      <c r="AC41" s="3486">
        <v>0</v>
      </c>
      <c r="AD41" s="3487">
        <v>230000</v>
      </c>
      <c r="AE41" s="3487">
        <v>173000</v>
      </c>
      <c r="AF41" s="3487">
        <v>0</v>
      </c>
      <c r="AG41" s="3487">
        <v>0</v>
      </c>
      <c r="AH41" s="3487">
        <v>0</v>
      </c>
      <c r="AI41" s="3487">
        <v>0</v>
      </c>
      <c r="AJ41" s="3488"/>
      <c r="AK41" s="3477" t="s">
        <v>3123</v>
      </c>
      <c r="AL41" s="3477" t="s">
        <v>839</v>
      </c>
      <c r="AM41" s="3477" t="s">
        <v>839</v>
      </c>
      <c r="AN41" s="3478">
        <f t="shared" si="1"/>
        <v>4044.1468668310263</v>
      </c>
      <c r="AO41" s="3478">
        <f t="shared" si="2"/>
        <v>1280.1629138375727</v>
      </c>
      <c r="AP41" s="3478">
        <f t="shared" si="3"/>
        <v>3934.9710656689681</v>
      </c>
      <c r="AQ41" s="3478">
        <f t="shared" si="4"/>
        <v>1245.6036319078121</v>
      </c>
      <c r="AR41" s="3478">
        <f t="shared" si="5"/>
        <v>2980.8972359387453</v>
      </c>
      <c r="AS41" s="3478">
        <f t="shared" si="6"/>
        <v>943.59433944097486</v>
      </c>
      <c r="AT41" s="3478">
        <f t="shared" si="17"/>
        <v>107950.67516799999</v>
      </c>
      <c r="AU41" s="3478">
        <f t="shared" si="18"/>
        <v>34171.471863999999</v>
      </c>
      <c r="AV41" s="3478">
        <f t="shared" si="19"/>
        <v>81197.681756799997</v>
      </c>
      <c r="AW41" s="3478">
        <f t="shared" si="20"/>
        <v>25702.889706400001</v>
      </c>
      <c r="AX41" s="3479" t="s">
        <v>3204</v>
      </c>
      <c r="AY41" s="3480">
        <f t="shared" si="12"/>
        <v>36</v>
      </c>
      <c r="AZ41" s="3480"/>
      <c r="BC41" s="3619"/>
      <c r="BD41" s="3549" t="s">
        <v>3388</v>
      </c>
      <c r="BE41" s="3550">
        <f t="shared" ref="BE41:CB41" si="24">BE32-$BE$20</f>
        <v>-2</v>
      </c>
      <c r="BF41" s="3550">
        <f t="shared" si="24"/>
        <v>-2</v>
      </c>
      <c r="BG41" s="3550">
        <f t="shared" si="24"/>
        <v>-2</v>
      </c>
      <c r="BH41" s="3550">
        <f t="shared" si="24"/>
        <v>-2</v>
      </c>
      <c r="BI41" s="3550">
        <f t="shared" si="24"/>
        <v>-2</v>
      </c>
      <c r="BJ41" s="3550">
        <f t="shared" si="24"/>
        <v>-2</v>
      </c>
      <c r="BK41" s="3550">
        <f t="shared" si="24"/>
        <v>-2</v>
      </c>
      <c r="BL41" s="3550">
        <f t="shared" si="24"/>
        <v>-2</v>
      </c>
      <c r="BM41" s="3550">
        <f t="shared" si="24"/>
        <v>-2</v>
      </c>
      <c r="BN41" s="3550">
        <f t="shared" si="24"/>
        <v>-2</v>
      </c>
      <c r="BO41" s="3550">
        <f t="shared" si="24"/>
        <v>-2</v>
      </c>
      <c r="BP41" s="3550">
        <f t="shared" si="24"/>
        <v>-2</v>
      </c>
      <c r="BQ41" s="3550">
        <f t="shared" si="24"/>
        <v>-2</v>
      </c>
      <c r="BR41" s="3550">
        <f t="shared" si="24"/>
        <v>-2</v>
      </c>
      <c r="BS41" s="3550">
        <f t="shared" si="24"/>
        <v>-2</v>
      </c>
      <c r="BT41" s="3550">
        <f t="shared" si="24"/>
        <v>-2</v>
      </c>
      <c r="BU41" s="3550">
        <f t="shared" si="24"/>
        <v>-2</v>
      </c>
      <c r="BV41" s="3550">
        <f t="shared" si="24"/>
        <v>-2</v>
      </c>
      <c r="BW41" s="3550">
        <f t="shared" si="24"/>
        <v>-2</v>
      </c>
      <c r="BX41" s="3550">
        <f t="shared" si="24"/>
        <v>-2</v>
      </c>
      <c r="BY41" s="3550">
        <f t="shared" si="24"/>
        <v>-2</v>
      </c>
      <c r="BZ41" s="3550">
        <f t="shared" si="24"/>
        <v>-2</v>
      </c>
      <c r="CA41" s="3550">
        <f t="shared" si="24"/>
        <v>-2</v>
      </c>
      <c r="CB41" s="3551">
        <f t="shared" si="24"/>
        <v>-2</v>
      </c>
    </row>
    <row r="42" spans="2:80" ht="72.5">
      <c r="R42" s="3469">
        <f t="shared" si="11"/>
        <v>37</v>
      </c>
      <c r="S42" s="3470" t="s">
        <v>3111</v>
      </c>
      <c r="T42" s="3471" t="s">
        <v>3205</v>
      </c>
      <c r="U42" s="3472">
        <v>6850000</v>
      </c>
      <c r="V42" s="3472">
        <v>5748784</v>
      </c>
      <c r="W42" s="3472">
        <v>7092857</v>
      </c>
      <c r="X42" s="3473">
        <f t="shared" si="15"/>
        <v>13855.11907293217</v>
      </c>
      <c r="Y42" s="3473">
        <f t="shared" si="15"/>
        <v>11627.749904316393</v>
      </c>
      <c r="Z42" s="3473">
        <f t="shared" si="15"/>
        <v>14346.332598873058</v>
      </c>
      <c r="AA42" s="3486">
        <v>0</v>
      </c>
      <c r="AB42" s="3486">
        <v>0</v>
      </c>
      <c r="AC42" s="3486">
        <v>0</v>
      </c>
      <c r="AD42" s="3487">
        <v>0</v>
      </c>
      <c r="AE42" s="3487">
        <v>37945</v>
      </c>
      <c r="AF42" s="3487">
        <v>0</v>
      </c>
      <c r="AG42" s="3487">
        <v>0</v>
      </c>
      <c r="AH42" s="3487">
        <v>0</v>
      </c>
      <c r="AI42" s="3487">
        <v>0</v>
      </c>
      <c r="AJ42" s="3488"/>
      <c r="AK42" s="3477" t="s">
        <v>3123</v>
      </c>
      <c r="AL42" s="3477" t="s">
        <v>839</v>
      </c>
      <c r="AM42" s="3477" t="s">
        <v>839</v>
      </c>
      <c r="AN42" s="3478">
        <f t="shared" si="1"/>
        <v>6502.9106889393988</v>
      </c>
      <c r="AO42" s="3478">
        <f t="shared" si="2"/>
        <v>2058.4774416220494</v>
      </c>
      <c r="AP42" s="3478">
        <f t="shared" si="3"/>
        <v>5457.4932732852258</v>
      </c>
      <c r="AQ42" s="3478">
        <f t="shared" si="4"/>
        <v>1727.5536030303319</v>
      </c>
      <c r="AR42" s="3478">
        <f t="shared" si="5"/>
        <v>6733.4621314479764</v>
      </c>
      <c r="AS42" s="3478">
        <f t="shared" si="6"/>
        <v>2131.4578293651161</v>
      </c>
      <c r="AT42" s="3478">
        <f t="shared" si="17"/>
        <v>0</v>
      </c>
      <c r="AU42" s="3478">
        <f t="shared" si="18"/>
        <v>0</v>
      </c>
      <c r="AV42" s="3478">
        <f t="shared" si="19"/>
        <v>17809.514648911998</v>
      </c>
      <c r="AW42" s="3478">
        <f t="shared" si="20"/>
        <v>5637.5499994760003</v>
      </c>
      <c r="AX42" s="3479" t="s">
        <v>3206</v>
      </c>
      <c r="AY42" s="3480">
        <f t="shared" si="12"/>
        <v>37</v>
      </c>
      <c r="AZ42" s="3480"/>
      <c r="BC42" s="3619"/>
      <c r="BD42" s="3549" t="s">
        <v>3390</v>
      </c>
      <c r="BE42" s="3550">
        <v>0</v>
      </c>
      <c r="BF42" s="3550">
        <v>0</v>
      </c>
      <c r="BG42" s="3550">
        <v>0</v>
      </c>
      <c r="BH42" s="3550">
        <v>0</v>
      </c>
      <c r="BI42" s="3550">
        <v>0</v>
      </c>
      <c r="BJ42" s="3550">
        <v>0</v>
      </c>
      <c r="BK42" s="3550">
        <v>0</v>
      </c>
      <c r="BL42" s="3550">
        <v>0</v>
      </c>
      <c r="BM42" s="3550">
        <v>0</v>
      </c>
      <c r="BN42" s="3550">
        <v>0</v>
      </c>
      <c r="BO42" s="3550">
        <v>0</v>
      </c>
      <c r="BP42" s="3550">
        <v>0</v>
      </c>
      <c r="BQ42" s="3550">
        <v>0</v>
      </c>
      <c r="BR42" s="3550">
        <v>0</v>
      </c>
      <c r="BS42" s="3550">
        <v>0</v>
      </c>
      <c r="BT42" s="3550">
        <v>0</v>
      </c>
      <c r="BU42" s="3550">
        <v>0</v>
      </c>
      <c r="BV42" s="3550">
        <v>0</v>
      </c>
      <c r="BW42" s="3550">
        <v>0</v>
      </c>
      <c r="BX42" s="3550">
        <v>0</v>
      </c>
      <c r="BY42" s="3550">
        <v>0</v>
      </c>
      <c r="BZ42" s="3550">
        <v>0</v>
      </c>
      <c r="CA42" s="3550">
        <v>0</v>
      </c>
      <c r="CB42" s="3551">
        <v>0</v>
      </c>
    </row>
    <row r="43" spans="2:80" ht="101.5">
      <c r="R43" s="3469">
        <f t="shared" si="11"/>
        <v>38</v>
      </c>
      <c r="S43" s="3470" t="s">
        <v>3111</v>
      </c>
      <c r="T43" s="3471" t="s">
        <v>3207</v>
      </c>
      <c r="U43" s="3472">
        <v>650004</v>
      </c>
      <c r="V43" s="3472">
        <v>650004</v>
      </c>
      <c r="W43" s="3472">
        <v>650004</v>
      </c>
      <c r="X43" s="3495" t="s">
        <v>3106</v>
      </c>
      <c r="Y43" s="3495" t="s">
        <v>3106</v>
      </c>
      <c r="Z43" s="3495" t="s">
        <v>3106</v>
      </c>
      <c r="AA43" s="3486">
        <f>6289+1694</f>
        <v>7983</v>
      </c>
      <c r="AB43" s="3486">
        <f>6289+3388</f>
        <v>9677</v>
      </c>
      <c r="AC43" s="3486">
        <f>6289+5082</f>
        <v>11371</v>
      </c>
      <c r="AD43" s="3487">
        <f>128831+30000+4000</f>
        <v>162831</v>
      </c>
      <c r="AE43" s="3487">
        <f>128831+30000+4000</f>
        <v>162831</v>
      </c>
      <c r="AF43" s="3487">
        <v>0</v>
      </c>
      <c r="AG43" s="3487">
        <v>0</v>
      </c>
      <c r="AH43" s="3487">
        <v>12500</v>
      </c>
      <c r="AI43" s="3487">
        <v>12500</v>
      </c>
      <c r="AJ43" s="3488" t="s">
        <v>3117</v>
      </c>
      <c r="AK43" s="3477" t="s">
        <v>3208</v>
      </c>
      <c r="AL43" s="3477" t="s">
        <v>3209</v>
      </c>
      <c r="AM43" s="3477" t="s">
        <v>3209</v>
      </c>
      <c r="AN43" s="3478">
        <f t="shared" si="1"/>
        <v>0</v>
      </c>
      <c r="AO43" s="3478">
        <f t="shared" si="2"/>
        <v>5511.06405</v>
      </c>
      <c r="AP43" s="3478">
        <f t="shared" si="3"/>
        <v>0</v>
      </c>
      <c r="AQ43" s="3478">
        <f t="shared" si="4"/>
        <v>6680.5169500000002</v>
      </c>
      <c r="AR43" s="3478">
        <f t="shared" si="5"/>
        <v>0</v>
      </c>
      <c r="AS43" s="3478">
        <f t="shared" si="6"/>
        <v>7849.9698500000004</v>
      </c>
      <c r="AT43" s="3478">
        <f t="shared" si="17"/>
        <v>0</v>
      </c>
      <c r="AU43" s="3478">
        <f t="shared" si="18"/>
        <v>112410.38085</v>
      </c>
      <c r="AV43" s="3478">
        <f t="shared" si="19"/>
        <v>0</v>
      </c>
      <c r="AW43" s="3478">
        <f t="shared" si="20"/>
        <v>112410.38085</v>
      </c>
      <c r="AX43" s="3479" t="s">
        <v>3210</v>
      </c>
      <c r="AY43" s="3480">
        <f t="shared" si="12"/>
        <v>38</v>
      </c>
      <c r="AZ43" s="3480"/>
      <c r="BC43" s="3619"/>
      <c r="BD43" s="3549" t="s">
        <v>3387</v>
      </c>
      <c r="BE43" s="3550">
        <f t="shared" ref="BE43:CB43" si="25">BE34-$BE$22</f>
        <v>-7.6923076923077094E-2</v>
      </c>
      <c r="BF43" s="3550">
        <f t="shared" si="25"/>
        <v>-7.6923076923077094E-2</v>
      </c>
      <c r="BG43" s="3550">
        <f t="shared" si="25"/>
        <v>-7.6923076923077094E-2</v>
      </c>
      <c r="BH43" s="3550">
        <f t="shared" si="25"/>
        <v>-7.6923076923077094E-2</v>
      </c>
      <c r="BI43" s="3550">
        <f t="shared" si="25"/>
        <v>-7.6923076923077094E-2</v>
      </c>
      <c r="BJ43" s="3550">
        <f t="shared" si="25"/>
        <v>-7.6923076923077094E-2</v>
      </c>
      <c r="BK43" s="3550">
        <f t="shared" si="25"/>
        <v>-7.6923076923077094E-2</v>
      </c>
      <c r="BL43" s="3550">
        <f t="shared" si="25"/>
        <v>-7.6923076923077094E-2</v>
      </c>
      <c r="BM43" s="3550">
        <f t="shared" si="25"/>
        <v>-7.6923076923077094E-2</v>
      </c>
      <c r="BN43" s="3550">
        <f t="shared" si="25"/>
        <v>-7.6923076923077094E-2</v>
      </c>
      <c r="BO43" s="3550">
        <f t="shared" si="25"/>
        <v>-7.6923076923077094E-2</v>
      </c>
      <c r="BP43" s="3550">
        <f t="shared" si="25"/>
        <v>-7.6923076923077094E-2</v>
      </c>
      <c r="BQ43" s="3550">
        <f t="shared" si="25"/>
        <v>-7.6923076923077094E-2</v>
      </c>
      <c r="BR43" s="3550">
        <f t="shared" si="25"/>
        <v>-7.6923076923077094E-2</v>
      </c>
      <c r="BS43" s="3550">
        <f t="shared" si="25"/>
        <v>-7.6923076923077094E-2</v>
      </c>
      <c r="BT43" s="3550">
        <f t="shared" si="25"/>
        <v>-7.6923076923077094E-2</v>
      </c>
      <c r="BU43" s="3550">
        <f t="shared" si="25"/>
        <v>-7.6923076923077094E-2</v>
      </c>
      <c r="BV43" s="3550">
        <f t="shared" si="25"/>
        <v>-7.6923076923077094E-2</v>
      </c>
      <c r="BW43" s="3550">
        <f t="shared" si="25"/>
        <v>-7.6923076923077094E-2</v>
      </c>
      <c r="BX43" s="3550">
        <f t="shared" si="25"/>
        <v>-7.6923076923077094E-2</v>
      </c>
      <c r="BY43" s="3550">
        <f t="shared" si="25"/>
        <v>-7.6923076923077094E-2</v>
      </c>
      <c r="BZ43" s="3550">
        <f t="shared" si="25"/>
        <v>-7.6923076923077094E-2</v>
      </c>
      <c r="CA43" s="3550">
        <f t="shared" si="25"/>
        <v>-7.6923076923077094E-2</v>
      </c>
      <c r="CB43" s="3551">
        <f t="shared" si="25"/>
        <v>-7.6923076923077094E-2</v>
      </c>
    </row>
    <row r="44" spans="2:80" ht="72.5">
      <c r="R44" s="3469">
        <f t="shared" si="11"/>
        <v>39</v>
      </c>
      <c r="S44" s="3470" t="s">
        <v>3111</v>
      </c>
      <c r="T44" s="3471" t="s">
        <v>3211</v>
      </c>
      <c r="U44" s="3472">
        <v>665000</v>
      </c>
      <c r="V44" s="3472">
        <v>665000</v>
      </c>
      <c r="W44" s="3472">
        <v>665000</v>
      </c>
      <c r="X44" s="3495" t="s">
        <v>3106</v>
      </c>
      <c r="Y44" s="3495" t="s">
        <v>3106</v>
      </c>
      <c r="Z44" s="3495" t="s">
        <v>3106</v>
      </c>
      <c r="AA44" s="3486">
        <v>0</v>
      </c>
      <c r="AB44" s="3486">
        <v>0</v>
      </c>
      <c r="AC44" s="3486">
        <v>0</v>
      </c>
      <c r="AD44" s="3487">
        <f>10000000+18000</f>
        <v>10018000</v>
      </c>
      <c r="AE44" s="3487">
        <f>10000000+18000</f>
        <v>10018000</v>
      </c>
      <c r="AF44" s="3487">
        <v>0</v>
      </c>
      <c r="AG44" s="3487">
        <v>0</v>
      </c>
      <c r="AH44" s="3487">
        <v>0</v>
      </c>
      <c r="AI44" s="3487">
        <v>0</v>
      </c>
      <c r="AJ44" s="3488"/>
      <c r="AK44" s="3477" t="s">
        <v>3208</v>
      </c>
      <c r="AL44" s="3477" t="s">
        <v>3209</v>
      </c>
      <c r="AM44" s="3548" t="s">
        <v>3209</v>
      </c>
      <c r="AN44" s="3478"/>
      <c r="AO44" s="3478"/>
      <c r="AP44" s="3478"/>
      <c r="AQ44" s="3478"/>
      <c r="AR44" s="3478"/>
      <c r="AS44" s="3478"/>
      <c r="AT44" s="3478">
        <f t="shared" si="17"/>
        <v>0</v>
      </c>
      <c r="AU44" s="3478">
        <f t="shared" si="18"/>
        <v>6915926.2999999998</v>
      </c>
      <c r="AV44" s="3478">
        <f t="shared" si="19"/>
        <v>0</v>
      </c>
      <c r="AW44" s="3478">
        <f t="shared" si="20"/>
        <v>6915926.2999999998</v>
      </c>
      <c r="AX44" s="3479" t="s">
        <v>3212</v>
      </c>
      <c r="AY44" s="3480">
        <f t="shared" si="12"/>
        <v>39</v>
      </c>
      <c r="AZ44" s="3480"/>
      <c r="BC44" s="3619"/>
      <c r="BD44" s="3549" t="s">
        <v>3386</v>
      </c>
      <c r="BE44" s="3550">
        <f t="shared" ref="BE44:CB44" si="26">BE35-$BE$23</f>
        <v>3</v>
      </c>
      <c r="BF44" s="3550">
        <f t="shared" si="26"/>
        <v>3</v>
      </c>
      <c r="BG44" s="3550">
        <f t="shared" si="26"/>
        <v>3</v>
      </c>
      <c r="BH44" s="3550">
        <f t="shared" si="26"/>
        <v>3</v>
      </c>
      <c r="BI44" s="3550">
        <f t="shared" si="26"/>
        <v>3</v>
      </c>
      <c r="BJ44" s="3550">
        <f t="shared" si="26"/>
        <v>3</v>
      </c>
      <c r="BK44" s="3550">
        <f t="shared" si="26"/>
        <v>3</v>
      </c>
      <c r="BL44" s="3550">
        <f t="shared" si="26"/>
        <v>3</v>
      </c>
      <c r="BM44" s="3550">
        <f t="shared" si="26"/>
        <v>3</v>
      </c>
      <c r="BN44" s="3550">
        <f t="shared" si="26"/>
        <v>3</v>
      </c>
      <c r="BO44" s="3550">
        <f t="shared" si="26"/>
        <v>3</v>
      </c>
      <c r="BP44" s="3550">
        <f t="shared" si="26"/>
        <v>3</v>
      </c>
      <c r="BQ44" s="3550">
        <f t="shared" si="26"/>
        <v>3</v>
      </c>
      <c r="BR44" s="3550">
        <f t="shared" si="26"/>
        <v>3</v>
      </c>
      <c r="BS44" s="3550">
        <f t="shared" si="26"/>
        <v>3</v>
      </c>
      <c r="BT44" s="3550">
        <f t="shared" si="26"/>
        <v>3</v>
      </c>
      <c r="BU44" s="3550">
        <f t="shared" si="26"/>
        <v>3</v>
      </c>
      <c r="BV44" s="3550">
        <f t="shared" si="26"/>
        <v>3</v>
      </c>
      <c r="BW44" s="3550">
        <f t="shared" si="26"/>
        <v>3</v>
      </c>
      <c r="BX44" s="3550">
        <f t="shared" si="26"/>
        <v>3</v>
      </c>
      <c r="BY44" s="3550">
        <f t="shared" si="26"/>
        <v>3</v>
      </c>
      <c r="BZ44" s="3550">
        <f t="shared" si="26"/>
        <v>3</v>
      </c>
      <c r="CA44" s="3550">
        <f t="shared" si="26"/>
        <v>3</v>
      </c>
      <c r="CB44" s="3551">
        <f t="shared" si="26"/>
        <v>3</v>
      </c>
    </row>
    <row r="45" spans="2:80" ht="43.5">
      <c r="R45" s="3469">
        <f t="shared" si="11"/>
        <v>40</v>
      </c>
      <c r="S45" s="3470" t="s">
        <v>3111</v>
      </c>
      <c r="T45" s="3471" t="s">
        <v>3213</v>
      </c>
      <c r="U45" s="3472">
        <v>27187249</v>
      </c>
      <c r="V45" s="3472">
        <v>27999995</v>
      </c>
      <c r="W45" s="3472">
        <v>29999998</v>
      </c>
      <c r="X45" s="3495" t="s">
        <v>3106</v>
      </c>
      <c r="Y45" s="3495" t="s">
        <v>3106</v>
      </c>
      <c r="Z45" s="3495" t="s">
        <v>3106</v>
      </c>
      <c r="AA45" s="3486">
        <v>104630</v>
      </c>
      <c r="AB45" s="3486">
        <v>112037</v>
      </c>
      <c r="AC45" s="3486">
        <v>119389</v>
      </c>
      <c r="AD45" s="3487">
        <v>0</v>
      </c>
      <c r="AE45" s="3487">
        <v>0</v>
      </c>
      <c r="AF45" s="3487">
        <v>0</v>
      </c>
      <c r="AG45" s="3487">
        <v>0</v>
      </c>
      <c r="AH45" s="3487">
        <v>35150</v>
      </c>
      <c r="AI45" s="3487">
        <v>69991</v>
      </c>
      <c r="AJ45" s="3488" t="s">
        <v>3107</v>
      </c>
      <c r="AK45" s="3477"/>
      <c r="AL45" s="3477" t="s">
        <v>3209</v>
      </c>
      <c r="AM45" s="3477" t="s">
        <v>3209</v>
      </c>
      <c r="AN45" s="3478">
        <f>IF(AA45&gt;0,AA45*(VLOOKUP($AM45,$AG$129:$AI$137,2,FALSE)),IF($AM45=$AG$137,$AH$137,X45*(VLOOKUP($AM45,$AG$129:$AI$137,2,FALSE))))</f>
        <v>0</v>
      </c>
      <c r="AO45" s="3478">
        <f>IF(AA45&gt;0,AA45*(VLOOKUP($AM45,$AG$129:$AI$137,3,FALSE)),IF($AM45=$AG$137,$AH$137,X45*(VLOOKUP($AM45,$AG$129:$AI$137,3,FALSE))))</f>
        <v>72231.320500000002</v>
      </c>
      <c r="AP45" s="3478">
        <f>IF(AB45&gt;0,AB45*(VLOOKUP($AM45,$AG$129:$AI$137,2,FALSE)),IF($AM45=$AG$137,$AH$137,Y45*(VLOOKUP($AM45,$AG$129:$AI$137,2,FALSE))))</f>
        <v>0</v>
      </c>
      <c r="AQ45" s="3478">
        <f>IF(AB45&gt;0,AB45*(VLOOKUP($AM45,$AG$129:$AI$137,3,FALSE)),IF($AM45=$AG$137,$AH$137,Y45*(VLOOKUP($AM45,$AG$129:$AI$137,3,FALSE))))</f>
        <v>77344.74295</v>
      </c>
      <c r="AR45" s="3478">
        <f>IF(AC45&gt;0,AC45*(VLOOKUP($AM45,$AG$129:$AI$137,2,FALSE)),IF($AM45=$AG$137,$AH$137,Z45*(VLOOKUP($AM45,$AG$129:$AI$137,2,FALSE))))</f>
        <v>0</v>
      </c>
      <c r="AS45" s="3478">
        <f>IF(AC45&gt;0,AC45*(VLOOKUP($AM45,$AG$129:$AI$137,3,FALSE)),IF($AM45=$AG$137,$AH$137,Z45*(VLOOKUP($AM45,$AG$129:$AI$137,3,FALSE))))</f>
        <v>82420.196150000003</v>
      </c>
      <c r="AT45" s="3478">
        <f t="shared" si="17"/>
        <v>0</v>
      </c>
      <c r="AU45" s="3478">
        <f t="shared" si="18"/>
        <v>0</v>
      </c>
      <c r="AV45" s="3478">
        <f t="shared" si="19"/>
        <v>0</v>
      </c>
      <c r="AW45" s="3478">
        <f t="shared" si="20"/>
        <v>0</v>
      </c>
      <c r="AX45" s="3479" t="s">
        <v>3214</v>
      </c>
      <c r="AY45" s="3480">
        <f t="shared" si="12"/>
        <v>40</v>
      </c>
      <c r="AZ45" s="3480"/>
      <c r="BC45" s="3619"/>
      <c r="BD45" s="3614" t="s">
        <v>82</v>
      </c>
      <c r="BE45" s="3635">
        <f t="shared" ref="BE45:CB45" si="27">SUM(BE39:BE44)-(SUM(BE30:BE35)-SUM($BE$17:$BE$24)+$BE$24)</f>
        <v>1.3415046851150692E-11</v>
      </c>
      <c r="BF45" s="3635">
        <f t="shared" si="27"/>
        <v>1.3415046851150692E-11</v>
      </c>
      <c r="BG45" s="3635">
        <f t="shared" si="27"/>
        <v>1.3415046851150692E-11</v>
      </c>
      <c r="BH45" s="3635">
        <f t="shared" si="27"/>
        <v>1.3415046851150692E-11</v>
      </c>
      <c r="BI45" s="3635">
        <f t="shared" si="27"/>
        <v>1.3415046851150692E-11</v>
      </c>
      <c r="BJ45" s="3635">
        <f t="shared" si="27"/>
        <v>1.3415046851150692E-11</v>
      </c>
      <c r="BK45" s="3635">
        <f t="shared" si="27"/>
        <v>1.3415046851150692E-11</v>
      </c>
      <c r="BL45" s="3635">
        <f t="shared" si="27"/>
        <v>1.3415046851150692E-11</v>
      </c>
      <c r="BM45" s="3635">
        <f t="shared" si="27"/>
        <v>1.3415046851150692E-11</v>
      </c>
      <c r="BN45" s="3635">
        <f t="shared" si="27"/>
        <v>1.3415046851150692E-11</v>
      </c>
      <c r="BO45" s="3635">
        <f t="shared" si="27"/>
        <v>1.3415046851150692E-11</v>
      </c>
      <c r="BP45" s="3635">
        <f t="shared" si="27"/>
        <v>1.3415046851150692E-11</v>
      </c>
      <c r="BQ45" s="3635">
        <f t="shared" si="27"/>
        <v>1.3415046851150692E-11</v>
      </c>
      <c r="BR45" s="3635">
        <f t="shared" si="27"/>
        <v>1.3415046851150692E-11</v>
      </c>
      <c r="BS45" s="3635">
        <f t="shared" si="27"/>
        <v>1.3415046851150692E-11</v>
      </c>
      <c r="BT45" s="3635">
        <f t="shared" si="27"/>
        <v>1.3415046851150692E-11</v>
      </c>
      <c r="BU45" s="3635">
        <f t="shared" si="27"/>
        <v>1.3415046851150692E-11</v>
      </c>
      <c r="BV45" s="3635">
        <f t="shared" si="27"/>
        <v>1.3415046851150692E-11</v>
      </c>
      <c r="BW45" s="3635">
        <f t="shared" si="27"/>
        <v>1.3415046851150692E-11</v>
      </c>
      <c r="BX45" s="3635">
        <f t="shared" si="27"/>
        <v>1.3415046851150692E-11</v>
      </c>
      <c r="BY45" s="3635">
        <f t="shared" si="27"/>
        <v>1.3415046851150692E-11</v>
      </c>
      <c r="BZ45" s="3635">
        <f t="shared" si="27"/>
        <v>1.3415046851150692E-11</v>
      </c>
      <c r="CA45" s="3635">
        <f t="shared" si="27"/>
        <v>1.3415046851150692E-11</v>
      </c>
      <c r="CB45" s="3634">
        <f t="shared" si="27"/>
        <v>1.3415046851150692E-11</v>
      </c>
    </row>
    <row r="46" spans="2:80" ht="58.5" thickBot="1">
      <c r="R46" s="3469">
        <f t="shared" si="11"/>
        <v>41</v>
      </c>
      <c r="S46" s="3470" t="s">
        <v>3111</v>
      </c>
      <c r="T46" s="3471" t="s">
        <v>3216</v>
      </c>
      <c r="U46" s="3472">
        <v>2000000</v>
      </c>
      <c r="V46" s="3472">
        <v>2000000</v>
      </c>
      <c r="W46" s="3472">
        <v>2000000</v>
      </c>
      <c r="X46" s="3495" t="s">
        <v>3106</v>
      </c>
      <c r="Y46" s="3495" t="s">
        <v>3106</v>
      </c>
      <c r="Z46" s="3495" t="s">
        <v>3106</v>
      </c>
      <c r="AA46" s="3486">
        <v>0</v>
      </c>
      <c r="AB46" s="3486">
        <v>0</v>
      </c>
      <c r="AC46" s="3486">
        <v>0</v>
      </c>
      <c r="AD46" s="3487">
        <v>3000</v>
      </c>
      <c r="AE46" s="3487">
        <v>3000</v>
      </c>
      <c r="AF46" s="3487">
        <v>0</v>
      </c>
      <c r="AG46" s="3487">
        <v>0</v>
      </c>
      <c r="AH46" s="3487">
        <v>0</v>
      </c>
      <c r="AI46" s="3487">
        <v>0</v>
      </c>
      <c r="AJ46" s="3488" t="s">
        <v>3107</v>
      </c>
      <c r="AK46" s="3477"/>
      <c r="AL46" s="3477" t="s">
        <v>3209</v>
      </c>
      <c r="AM46" s="3548" t="s">
        <v>3209</v>
      </c>
      <c r="AN46" s="3478"/>
      <c r="AO46" s="3478"/>
      <c r="AP46" s="3478"/>
      <c r="AQ46" s="3478"/>
      <c r="AR46" s="3478"/>
      <c r="AS46" s="3478"/>
      <c r="AT46" s="3478">
        <f t="shared" si="17"/>
        <v>0</v>
      </c>
      <c r="AU46" s="3478">
        <f t="shared" si="18"/>
        <v>2071.0500000000002</v>
      </c>
      <c r="AV46" s="3478">
        <f t="shared" si="19"/>
        <v>0</v>
      </c>
      <c r="AW46" s="3478">
        <f t="shared" si="20"/>
        <v>2071.0500000000002</v>
      </c>
      <c r="AX46" s="3479" t="s">
        <v>3217</v>
      </c>
      <c r="AY46" s="3480">
        <f t="shared" si="12"/>
        <v>41</v>
      </c>
      <c r="AZ46" s="3480"/>
      <c r="BC46" s="3617"/>
      <c r="BD46" s="3616"/>
      <c r="BE46" s="3659"/>
      <c r="BF46" s="3659"/>
      <c r="BG46" s="3659"/>
      <c r="BH46" s="3659"/>
      <c r="BI46" s="3659"/>
      <c r="BJ46" s="3659"/>
      <c r="BK46" s="3659"/>
      <c r="BL46" s="3659"/>
      <c r="BM46" s="3659"/>
      <c r="BN46" s="3659"/>
      <c r="BO46" s="3659"/>
      <c r="BP46" s="3659"/>
      <c r="BQ46" s="3659"/>
      <c r="BR46" s="3659"/>
      <c r="BS46" s="3659"/>
      <c r="BT46" s="3659"/>
      <c r="BU46" s="3659"/>
      <c r="BV46" s="3659"/>
      <c r="BW46" s="3659"/>
      <c r="BX46" s="3659"/>
      <c r="BY46" s="3659"/>
      <c r="BZ46" s="3659"/>
      <c r="CA46" s="3659"/>
      <c r="CB46" s="3658"/>
    </row>
    <row r="47" spans="2:80" ht="87">
      <c r="R47" s="3469">
        <f t="shared" si="11"/>
        <v>42</v>
      </c>
      <c r="S47" s="3470" t="s">
        <v>3111</v>
      </c>
      <c r="T47" s="3471" t="s">
        <v>3218</v>
      </c>
      <c r="U47" s="3472">
        <v>9682000</v>
      </c>
      <c r="V47" s="3472">
        <v>9972000</v>
      </c>
      <c r="W47" s="3472">
        <v>10272000</v>
      </c>
      <c r="X47" s="3473">
        <f>U47*$T$4*$T$3</f>
        <v>19583.250053157557</v>
      </c>
      <c r="Y47" s="3473">
        <f>V47*$T$4*$T$3</f>
        <v>20169.817137997023</v>
      </c>
      <c r="Z47" s="3473">
        <f>W47*$T$4*$T$3</f>
        <v>20776.610674037849</v>
      </c>
      <c r="AA47" s="3486">
        <v>0</v>
      </c>
      <c r="AB47" s="3486">
        <v>0</v>
      </c>
      <c r="AC47" s="3486">
        <v>0</v>
      </c>
      <c r="AD47" s="3487">
        <v>3995000</v>
      </c>
      <c r="AE47" s="3487">
        <v>3995000</v>
      </c>
      <c r="AF47" s="3487">
        <v>0</v>
      </c>
      <c r="AG47" s="3487">
        <v>0</v>
      </c>
      <c r="AH47" s="3487">
        <v>0</v>
      </c>
      <c r="AI47" s="3487">
        <v>0</v>
      </c>
      <c r="AJ47" s="3488"/>
      <c r="AK47" s="3477" t="s">
        <v>3208</v>
      </c>
      <c r="AL47" s="3477" t="s">
        <v>3209</v>
      </c>
      <c r="AM47" s="3477" t="s">
        <v>3209</v>
      </c>
      <c r="AN47" s="3478">
        <f>IF(AA47&gt;0,AA47*(VLOOKUP($AM47,$AG$129:$AI$137,2,FALSE)),IF($AM47=$AG$137,$AH$137,X47*(VLOOKUP($AM47,$AG$129:$AI$137,2,FALSE))))</f>
        <v>0</v>
      </c>
      <c r="AO47" s="3478">
        <f>IF(AA47&gt;0,AA47*(VLOOKUP($AM47,$AG$129:$AI$137,3,FALSE)),IF($AM47=$AG$137,$AH$137,X47*(VLOOKUP($AM47,$AG$129:$AI$137,3,FALSE))))</f>
        <v>13519.29667419732</v>
      </c>
      <c r="AP47" s="3478">
        <f>IF(AB47&gt;0,AB47*(VLOOKUP($AM47,$AG$129:$AI$137,2,FALSE)),IF($AM47=$AG$137,$AH$137,Y47*(VLOOKUP($AM47,$AG$129:$AI$137,2,FALSE))))</f>
        <v>0</v>
      </c>
      <c r="AQ47" s="3478">
        <f>IF(AB47&gt;0,AB47*(VLOOKUP($AM47,$AG$129:$AI$137,3,FALSE)),IF($AM47=$AG$137,$AH$137,Y47*(VLOOKUP($AM47,$AG$129:$AI$137,3,FALSE))))</f>
        <v>13924.233261216245</v>
      </c>
      <c r="AR47" s="3478">
        <f>IF(AC47&gt;0,AC47*(VLOOKUP($AM47,$AG$129:$AI$137,2,FALSE)),IF($AM47=$AG$137,$AH$137,Z47*(VLOOKUP($AM47,$AG$129:$AI$137,2,FALSE))))</f>
        <v>0</v>
      </c>
      <c r="AS47" s="3478">
        <f>IF(AC47&gt;0,AC47*(VLOOKUP($AM47,$AG$129:$AI$137,3,FALSE)),IF($AM47=$AG$137,$AH$137,Z47*(VLOOKUP($AM47,$AG$129:$AI$137,3,FALSE))))</f>
        <v>14343.133178822029</v>
      </c>
      <c r="AT47" s="3478">
        <f t="shared" si="17"/>
        <v>0</v>
      </c>
      <c r="AU47" s="3478">
        <f t="shared" si="18"/>
        <v>2757948.25</v>
      </c>
      <c r="AV47" s="3478">
        <f t="shared" si="19"/>
        <v>0</v>
      </c>
      <c r="AW47" s="3478">
        <f t="shared" si="20"/>
        <v>2757948.25</v>
      </c>
      <c r="AX47" s="3479" t="s">
        <v>3219</v>
      </c>
      <c r="AY47" s="3480">
        <f t="shared" si="12"/>
        <v>42</v>
      </c>
      <c r="AZ47" s="3480"/>
      <c r="BC47" s="3647">
        <v>2</v>
      </c>
      <c r="BD47" s="3653" t="s">
        <v>3391</v>
      </c>
      <c r="BE47" s="3645"/>
      <c r="BF47" s="3645"/>
      <c r="BG47" s="3645"/>
      <c r="BH47" s="3645"/>
      <c r="BI47" s="3645"/>
      <c r="BJ47" s="3645"/>
      <c r="BK47" s="3645"/>
      <c r="BL47" s="3645"/>
      <c r="BM47" s="3645"/>
      <c r="BN47" s="3645"/>
      <c r="BO47" s="3645"/>
      <c r="BP47" s="3645"/>
      <c r="BQ47" s="3645"/>
      <c r="BR47" s="3645"/>
      <c r="BS47" s="3645"/>
      <c r="BT47" s="3645"/>
      <c r="BU47" s="3645"/>
      <c r="BV47" s="3645"/>
      <c r="BW47" s="3645"/>
      <c r="BX47" s="3645"/>
      <c r="BY47" s="3645"/>
      <c r="BZ47" s="3645"/>
      <c r="CA47" s="3645"/>
      <c r="CB47" s="3652"/>
    </row>
    <row r="48" spans="2:80" ht="43.5">
      <c r="R48" s="3469">
        <f t="shared" si="11"/>
        <v>43</v>
      </c>
      <c r="S48" s="3470" t="s">
        <v>3111</v>
      </c>
      <c r="T48" s="3471" t="s">
        <v>3220</v>
      </c>
      <c r="U48" s="3472">
        <v>3200000</v>
      </c>
      <c r="V48" s="3472">
        <v>3200000</v>
      </c>
      <c r="W48" s="3472">
        <v>3000000</v>
      </c>
      <c r="X48" s="3495" t="s">
        <v>3106</v>
      </c>
      <c r="Y48" s="3495" t="s">
        <v>3106</v>
      </c>
      <c r="Z48" s="3495" t="s">
        <v>3106</v>
      </c>
      <c r="AA48" s="3486">
        <v>0</v>
      </c>
      <c r="AB48" s="3486">
        <v>0</v>
      </c>
      <c r="AC48" s="3486">
        <v>0</v>
      </c>
      <c r="AD48" s="3487">
        <v>0</v>
      </c>
      <c r="AE48" s="3487">
        <v>0</v>
      </c>
      <c r="AF48" s="3487">
        <v>0</v>
      </c>
      <c r="AG48" s="3487">
        <v>0</v>
      </c>
      <c r="AH48" s="3487">
        <v>5200000</v>
      </c>
      <c r="AI48" s="3487">
        <v>5300000</v>
      </c>
      <c r="AJ48" s="3488"/>
      <c r="AK48" s="3477" t="s">
        <v>3208</v>
      </c>
      <c r="AL48" s="3477" t="s">
        <v>3209</v>
      </c>
      <c r="AM48" s="3477" t="s">
        <v>3108</v>
      </c>
      <c r="AN48" s="3478"/>
      <c r="AO48" s="3478"/>
      <c r="AP48" s="3478"/>
      <c r="AQ48" s="3478"/>
      <c r="AR48" s="3478"/>
      <c r="AS48" s="3478"/>
      <c r="AT48" s="3478">
        <f t="shared" si="17"/>
        <v>0</v>
      </c>
      <c r="AU48" s="3478">
        <f t="shared" si="18"/>
        <v>0</v>
      </c>
      <c r="AV48" s="3478">
        <f t="shared" si="19"/>
        <v>0</v>
      </c>
      <c r="AW48" s="3478">
        <f t="shared" si="20"/>
        <v>0</v>
      </c>
      <c r="AX48" s="3479" t="s">
        <v>3221</v>
      </c>
      <c r="AY48" s="3480">
        <f t="shared" si="12"/>
        <v>43</v>
      </c>
      <c r="AZ48" s="3480"/>
      <c r="BC48" s="3619"/>
      <c r="BE48" s="3637">
        <v>45688</v>
      </c>
      <c r="BF48" s="3637">
        <f t="shared" ref="BF48:CB48" si="28">EOMONTH(BE48,1)</f>
        <v>45716</v>
      </c>
      <c r="BG48" s="3637">
        <f t="shared" si="28"/>
        <v>45747</v>
      </c>
      <c r="BH48" s="3637">
        <f t="shared" si="28"/>
        <v>45777</v>
      </c>
      <c r="BI48" s="3637">
        <f t="shared" si="28"/>
        <v>45808</v>
      </c>
      <c r="BJ48" s="3637">
        <f t="shared" si="28"/>
        <v>45838</v>
      </c>
      <c r="BK48" s="3637">
        <f t="shared" si="28"/>
        <v>45869</v>
      </c>
      <c r="BL48" s="3637">
        <f t="shared" si="28"/>
        <v>45900</v>
      </c>
      <c r="BM48" s="3637">
        <f t="shared" si="28"/>
        <v>45930</v>
      </c>
      <c r="BN48" s="3637">
        <f t="shared" si="28"/>
        <v>45961</v>
      </c>
      <c r="BO48" s="3637">
        <f t="shared" si="28"/>
        <v>45991</v>
      </c>
      <c r="BP48" s="3637">
        <f t="shared" si="28"/>
        <v>46022</v>
      </c>
      <c r="BQ48" s="3637">
        <f t="shared" si="28"/>
        <v>46053</v>
      </c>
      <c r="BR48" s="3637">
        <f t="shared" si="28"/>
        <v>46081</v>
      </c>
      <c r="BS48" s="3637">
        <f t="shared" si="28"/>
        <v>46112</v>
      </c>
      <c r="BT48" s="3637">
        <f t="shared" si="28"/>
        <v>46142</v>
      </c>
      <c r="BU48" s="3637">
        <f t="shared" si="28"/>
        <v>46173</v>
      </c>
      <c r="BV48" s="3637">
        <f t="shared" si="28"/>
        <v>46203</v>
      </c>
      <c r="BW48" s="3637">
        <f t="shared" si="28"/>
        <v>46234</v>
      </c>
      <c r="BX48" s="3637">
        <f t="shared" si="28"/>
        <v>46265</v>
      </c>
      <c r="BY48" s="3637">
        <f t="shared" si="28"/>
        <v>46295</v>
      </c>
      <c r="BZ48" s="3637">
        <f t="shared" si="28"/>
        <v>46326</v>
      </c>
      <c r="CA48" s="3637">
        <f t="shared" si="28"/>
        <v>46356</v>
      </c>
      <c r="CB48" s="3636">
        <f t="shared" si="28"/>
        <v>46387</v>
      </c>
    </row>
    <row r="49" spans="18:80" ht="58">
      <c r="R49" s="3469">
        <f t="shared" si="11"/>
        <v>44</v>
      </c>
      <c r="S49" s="3470" t="s">
        <v>3111</v>
      </c>
      <c r="T49" s="3471" t="s">
        <v>3222</v>
      </c>
      <c r="U49" s="3472">
        <v>1069995</v>
      </c>
      <c r="V49" s="3472">
        <v>1069995</v>
      </c>
      <c r="W49" s="3472">
        <v>1069995</v>
      </c>
      <c r="X49" s="3473">
        <f t="shared" ref="X49:Z50" si="29">U49*$T$4*$T$3</f>
        <v>2164.2201653200082</v>
      </c>
      <c r="Y49" s="3473">
        <f t="shared" si="29"/>
        <v>2164.2201653200082</v>
      </c>
      <c r="Z49" s="3473">
        <f t="shared" si="29"/>
        <v>2164.2201653200082</v>
      </c>
      <c r="AA49" s="3486">
        <v>3400</v>
      </c>
      <c r="AB49" s="3486">
        <v>5300</v>
      </c>
      <c r="AC49" s="3486">
        <v>7200</v>
      </c>
      <c r="AD49" s="3487">
        <v>76960</v>
      </c>
      <c r="AE49" s="3487">
        <v>76960</v>
      </c>
      <c r="AF49" s="3487">
        <v>0</v>
      </c>
      <c r="AG49" s="3487">
        <v>0</v>
      </c>
      <c r="AH49" s="3487">
        <v>0</v>
      </c>
      <c r="AI49" s="3487">
        <v>0</v>
      </c>
      <c r="AJ49" s="3488"/>
      <c r="AK49" s="3477" t="s">
        <v>3208</v>
      </c>
      <c r="AL49" s="3477" t="s">
        <v>3209</v>
      </c>
      <c r="AM49" s="3477" t="s">
        <v>3209</v>
      </c>
      <c r="AN49" s="3478">
        <f t="shared" ref="AN49:AN80" si="30">IF(AA49&gt;0,AA49*(VLOOKUP($AM49,$AG$129:$AI$137,2,FALSE)),IF($AM49=$AG$137,$AH$137,X49*(VLOOKUP($AM49,$AG$129:$AI$137,2,FALSE))))</f>
        <v>0</v>
      </c>
      <c r="AO49" s="3478">
        <f t="shared" ref="AO49:AO80" si="31">IF(AA49&gt;0,AA49*(VLOOKUP($AM49,$AG$129:$AI$137,3,FALSE)),IF($AM49=$AG$137,$AH$137,X49*(VLOOKUP($AM49,$AG$129:$AI$137,3,FALSE))))</f>
        <v>2347.19</v>
      </c>
      <c r="AP49" s="3478">
        <f t="shared" ref="AP49:AP80" si="32">IF(AB49&gt;0,AB49*(VLOOKUP($AM49,$AG$129:$AI$137,2,FALSE)),IF($AM49=$AG$137,$AH$137,Y49*(VLOOKUP($AM49,$AG$129:$AI$137,2,FALSE))))</f>
        <v>0</v>
      </c>
      <c r="AQ49" s="3478">
        <f t="shared" ref="AQ49:AQ80" si="33">IF(AB49&gt;0,AB49*(VLOOKUP($AM49,$AG$129:$AI$137,3,FALSE)),IF($AM49=$AG$137,$AH$137,Y49*(VLOOKUP($AM49,$AG$129:$AI$137,3,FALSE))))</f>
        <v>3658.855</v>
      </c>
      <c r="AR49" s="3478">
        <f t="shared" ref="AR49:AR80" si="34">IF(AC49&gt;0,AC49*(VLOOKUP($AM49,$AG$129:$AI$137,2,FALSE)),IF($AM49=$AG$137,$AH$137,Z49*(VLOOKUP($AM49,$AG$129:$AI$137,2,FALSE))))</f>
        <v>0</v>
      </c>
      <c r="AS49" s="3478">
        <f t="shared" ref="AS49:AS80" si="35">IF(AC49&gt;0,AC49*(VLOOKUP($AM49,$AG$129:$AI$137,3,FALSE)),IF($AM49=$AG$137,$AH$137,Z49*(VLOOKUP($AM49,$AG$129:$AI$137,3,FALSE))))</f>
        <v>4970.5200000000004</v>
      </c>
      <c r="AT49" s="3478">
        <f t="shared" si="17"/>
        <v>0</v>
      </c>
      <c r="AU49" s="3478">
        <f t="shared" si="18"/>
        <v>53129.336000000003</v>
      </c>
      <c r="AV49" s="3478">
        <f t="shared" si="19"/>
        <v>0</v>
      </c>
      <c r="AW49" s="3478">
        <f t="shared" si="20"/>
        <v>53129.336000000003</v>
      </c>
      <c r="AX49" s="3479" t="s">
        <v>3223</v>
      </c>
      <c r="AY49" s="3480">
        <f t="shared" si="12"/>
        <v>44</v>
      </c>
      <c r="AZ49" s="3480"/>
      <c r="BC49" s="3619"/>
      <c r="BD49" s="3549" t="s">
        <v>3389</v>
      </c>
      <c r="BE49" s="3754">
        <v>23889103.147598151</v>
      </c>
      <c r="BF49" s="3754">
        <v>20514679.752644364</v>
      </c>
      <c r="BG49" s="3754">
        <v>15548710.176973289</v>
      </c>
      <c r="BH49" s="3754">
        <v>9789892.8569477461</v>
      </c>
      <c r="BI49" s="3754">
        <v>4758541.7406251905</v>
      </c>
      <c r="BJ49" s="3754">
        <v>3274914.4166449499</v>
      </c>
      <c r="BK49" s="3754">
        <v>2355260.6704810383</v>
      </c>
      <c r="BL49" s="3754">
        <v>2081314.1347743412</v>
      </c>
      <c r="BM49" s="3754">
        <v>3092213.7365246355</v>
      </c>
      <c r="BN49" s="3754">
        <v>8853438.0832060929</v>
      </c>
      <c r="BO49" s="3754">
        <v>17821529.187362667</v>
      </c>
      <c r="BP49" s="3754">
        <v>25014003.639969248</v>
      </c>
      <c r="BQ49" s="3754">
        <v>23717477.180795897</v>
      </c>
      <c r="BR49" s="3754">
        <v>20294800.149217278</v>
      </c>
      <c r="BS49" s="3754">
        <v>15617726.32448102</v>
      </c>
      <c r="BT49" s="3754">
        <v>9664491.9027501289</v>
      </c>
      <c r="BU49" s="3754">
        <v>4848872.6673766281</v>
      </c>
      <c r="BV49" s="3754">
        <v>3249350.1696385359</v>
      </c>
      <c r="BW49" s="3754">
        <v>2338146.5723157288</v>
      </c>
      <c r="BX49" s="3754">
        <v>2136412.8247833266</v>
      </c>
      <c r="BY49" s="3754">
        <v>3141120.7197385551</v>
      </c>
      <c r="BZ49" s="3754">
        <v>8675270.0330803078</v>
      </c>
      <c r="CA49" s="3754">
        <v>18044738.201543424</v>
      </c>
      <c r="CB49" s="3755">
        <v>24860480.332313236</v>
      </c>
    </row>
    <row r="50" spans="18:80" ht="87">
      <c r="R50" s="3469">
        <f t="shared" si="11"/>
        <v>45</v>
      </c>
      <c r="S50" s="3470" t="s">
        <v>3111</v>
      </c>
      <c r="T50" s="3471" t="s">
        <v>3224</v>
      </c>
      <c r="U50" s="3472">
        <v>1577830</v>
      </c>
      <c r="V50" s="3472">
        <v>1000000</v>
      </c>
      <c r="W50" s="3472">
        <v>1000000</v>
      </c>
      <c r="X50" s="3473">
        <f t="shared" si="29"/>
        <v>3191.3901499043163</v>
      </c>
      <c r="Y50" s="3473">
        <f t="shared" si="29"/>
        <v>2022.6451201360833</v>
      </c>
      <c r="Z50" s="3473">
        <f t="shared" si="29"/>
        <v>2022.6451201360833</v>
      </c>
      <c r="AA50" s="3486">
        <v>22800</v>
      </c>
      <c r="AB50" s="3486">
        <v>22800</v>
      </c>
      <c r="AC50" s="3486">
        <v>22800</v>
      </c>
      <c r="AD50" s="3487">
        <v>414000</v>
      </c>
      <c r="AE50" s="3487">
        <v>828000</v>
      </c>
      <c r="AF50" s="3487">
        <v>0</v>
      </c>
      <c r="AG50" s="3487">
        <v>0</v>
      </c>
      <c r="AH50" s="3487">
        <v>0</v>
      </c>
      <c r="AI50" s="3487">
        <v>0</v>
      </c>
      <c r="AJ50" s="3488"/>
      <c r="AK50" s="3477" t="s">
        <v>3208</v>
      </c>
      <c r="AL50" s="3477" t="s">
        <v>3209</v>
      </c>
      <c r="AM50" s="3477" t="s">
        <v>3209</v>
      </c>
      <c r="AN50" s="3478">
        <f t="shared" si="30"/>
        <v>0</v>
      </c>
      <c r="AO50" s="3478">
        <f t="shared" si="31"/>
        <v>15739.98</v>
      </c>
      <c r="AP50" s="3478">
        <f t="shared" si="32"/>
        <v>0</v>
      </c>
      <c r="AQ50" s="3478">
        <f t="shared" si="33"/>
        <v>15739.98</v>
      </c>
      <c r="AR50" s="3478">
        <f t="shared" si="34"/>
        <v>0</v>
      </c>
      <c r="AS50" s="3478">
        <f t="shared" si="35"/>
        <v>15739.98</v>
      </c>
      <c r="AT50" s="3478">
        <f t="shared" si="17"/>
        <v>0</v>
      </c>
      <c r="AU50" s="3478">
        <f t="shared" si="18"/>
        <v>285804.90000000002</v>
      </c>
      <c r="AV50" s="3478">
        <f t="shared" si="19"/>
        <v>0</v>
      </c>
      <c r="AW50" s="3478">
        <f t="shared" si="20"/>
        <v>571609.80000000005</v>
      </c>
      <c r="AX50" s="3479" t="s">
        <v>3225</v>
      </c>
      <c r="AY50" s="3480">
        <f t="shared" si="12"/>
        <v>45</v>
      </c>
      <c r="AZ50" s="3480"/>
      <c r="BC50" s="3619"/>
      <c r="BD50" s="3549" t="s">
        <v>3384</v>
      </c>
      <c r="BE50" s="3754">
        <v>9341640.5804018825</v>
      </c>
      <c r="BF50" s="3754">
        <v>8258526.0099308798</v>
      </c>
      <c r="BG50" s="3754">
        <v>6622502.3846179405</v>
      </c>
      <c r="BH50" s="3754">
        <v>4568662.7102033142</v>
      </c>
      <c r="BI50" s="3754">
        <v>2703389.6698792516</v>
      </c>
      <c r="BJ50" s="3754">
        <v>2136372.4964434872</v>
      </c>
      <c r="BK50" s="3754">
        <v>1799079.0344488546</v>
      </c>
      <c r="BL50" s="3754">
        <v>1863457.9558845896</v>
      </c>
      <c r="BM50" s="3754">
        <v>2461822.3979008826</v>
      </c>
      <c r="BN50" s="3754">
        <v>5259217.5506057153</v>
      </c>
      <c r="BO50" s="3754">
        <v>7949212.9370110556</v>
      </c>
      <c r="BP50" s="3754">
        <v>10052670.48502638</v>
      </c>
      <c r="BQ50" s="3754">
        <v>9340123.73705074</v>
      </c>
      <c r="BR50" s="3754">
        <v>8253707.0246305866</v>
      </c>
      <c r="BS50" s="3754">
        <v>6621104.0600175904</v>
      </c>
      <c r="BT50" s="3754">
        <v>4556051.6945835035</v>
      </c>
      <c r="BU50" s="3754">
        <v>2690563.5077526304</v>
      </c>
      <c r="BV50" s="3754">
        <v>2121916.8492281982</v>
      </c>
      <c r="BW50" s="3754">
        <v>1786789.1885382677</v>
      </c>
      <c r="BX50" s="3754">
        <v>1855857.7531134938</v>
      </c>
      <c r="BY50" s="3754">
        <v>2461540.057418175</v>
      </c>
      <c r="BZ50" s="3754">
        <v>5283497.8280199496</v>
      </c>
      <c r="CA50" s="3754">
        <v>7946105.2769068256</v>
      </c>
      <c r="CB50" s="3755">
        <v>10058851.565591155</v>
      </c>
    </row>
    <row r="51" spans="18:80" ht="29">
      <c r="R51" s="3469">
        <f t="shared" si="11"/>
        <v>46</v>
      </c>
      <c r="S51" s="3470" t="s">
        <v>3111</v>
      </c>
      <c r="T51" s="3471" t="s">
        <v>3226</v>
      </c>
      <c r="U51" s="3472">
        <v>3718000</v>
      </c>
      <c r="V51" s="3472">
        <v>3830000</v>
      </c>
      <c r="W51" s="3472">
        <v>3945000</v>
      </c>
      <c r="X51" s="3495" t="s">
        <v>3106</v>
      </c>
      <c r="Y51" s="3495" t="s">
        <v>3106</v>
      </c>
      <c r="Z51" s="3495" t="s">
        <v>3106</v>
      </c>
      <c r="AA51" s="3486">
        <v>0</v>
      </c>
      <c r="AB51" s="3486">
        <v>0</v>
      </c>
      <c r="AC51" s="3486">
        <v>0</v>
      </c>
      <c r="AD51" s="3487">
        <v>0</v>
      </c>
      <c r="AE51" s="3487">
        <v>0</v>
      </c>
      <c r="AF51" s="3487">
        <v>0</v>
      </c>
      <c r="AG51" s="3487">
        <v>0</v>
      </c>
      <c r="AH51" s="3487">
        <v>0</v>
      </c>
      <c r="AI51" s="3487">
        <v>0</v>
      </c>
      <c r="AJ51" s="3488" t="s">
        <v>3107</v>
      </c>
      <c r="AK51" s="3477"/>
      <c r="AL51" s="3477" t="s">
        <v>3209</v>
      </c>
      <c r="AM51" s="3477" t="s">
        <v>3108</v>
      </c>
      <c r="AN51" s="3478">
        <f t="shared" si="30"/>
        <v>0</v>
      </c>
      <c r="AO51" s="3478">
        <f t="shared" si="31"/>
        <v>0</v>
      </c>
      <c r="AP51" s="3478">
        <f t="shared" si="32"/>
        <v>0</v>
      </c>
      <c r="AQ51" s="3478">
        <f t="shared" si="33"/>
        <v>0</v>
      </c>
      <c r="AR51" s="3478">
        <f t="shared" si="34"/>
        <v>0</v>
      </c>
      <c r="AS51" s="3478">
        <f t="shared" si="35"/>
        <v>0</v>
      </c>
      <c r="AT51" s="3478">
        <f t="shared" si="17"/>
        <v>0</v>
      </c>
      <c r="AU51" s="3478">
        <f t="shared" si="18"/>
        <v>0</v>
      </c>
      <c r="AV51" s="3478">
        <f t="shared" si="19"/>
        <v>0</v>
      </c>
      <c r="AW51" s="3478">
        <f t="shared" si="20"/>
        <v>0</v>
      </c>
      <c r="AX51" s="3479" t="s">
        <v>3227</v>
      </c>
      <c r="AY51" s="3480">
        <f t="shared" si="12"/>
        <v>46</v>
      </c>
      <c r="AZ51" s="3480"/>
      <c r="BC51" s="3619"/>
      <c r="BD51" s="3549" t="s">
        <v>3388</v>
      </c>
      <c r="BE51" s="3754">
        <v>439298.65245432366</v>
      </c>
      <c r="BF51" s="3754">
        <v>397231.23810364824</v>
      </c>
      <c r="BG51" s="3754">
        <v>357593.81376062834</v>
      </c>
      <c r="BH51" s="3754">
        <v>248859.94344318623</v>
      </c>
      <c r="BI51" s="3754">
        <v>160699.73728189289</v>
      </c>
      <c r="BJ51" s="3754">
        <v>101499.8118068522</v>
      </c>
      <c r="BK51" s="3754">
        <v>54726.820693892536</v>
      </c>
      <c r="BL51" s="3754">
        <v>31461.194642498038</v>
      </c>
      <c r="BM51" s="3754">
        <v>51610.868521243334</v>
      </c>
      <c r="BN51" s="3754">
        <v>157842.31197291499</v>
      </c>
      <c r="BO51" s="3754">
        <v>328149.41102797596</v>
      </c>
      <c r="BP51" s="3754">
        <v>462168.19331310148</v>
      </c>
      <c r="BQ51" s="3754">
        <v>439292.46184600523</v>
      </c>
      <c r="BR51" s="3754">
        <v>396998.4018662186</v>
      </c>
      <c r="BS51" s="3754">
        <v>357553.64457070141</v>
      </c>
      <c r="BT51" s="3754">
        <v>248254.51934815547</v>
      </c>
      <c r="BU51" s="3754">
        <v>160085.01374022895</v>
      </c>
      <c r="BV51" s="3754">
        <v>101045.56337638907</v>
      </c>
      <c r="BW51" s="3754">
        <v>54539.72798560575</v>
      </c>
      <c r="BX51" s="3754">
        <v>31482.282149208022</v>
      </c>
      <c r="BY51" s="3754">
        <v>51736.192018956877</v>
      </c>
      <c r="BZ51" s="3754">
        <v>158855.83052260688</v>
      </c>
      <c r="CA51" s="3754">
        <v>328101.31829164759</v>
      </c>
      <c r="CB51" s="3755">
        <v>462475.49204493687</v>
      </c>
    </row>
    <row r="52" spans="18:80" ht="72.5">
      <c r="R52" s="3469">
        <f t="shared" si="11"/>
        <v>47</v>
      </c>
      <c r="S52" s="3470" t="s">
        <v>3111</v>
      </c>
      <c r="T52" s="3471" t="s">
        <v>3228</v>
      </c>
      <c r="U52" s="3472">
        <v>100000</v>
      </c>
      <c r="V52" s="3472">
        <v>100000</v>
      </c>
      <c r="W52" s="3472">
        <v>100000</v>
      </c>
      <c r="X52" s="3473">
        <f>U52*$T$4*$T$3</f>
        <v>202.26451201360834</v>
      </c>
      <c r="Y52" s="3473">
        <f>V52*$T$4*$T$3</f>
        <v>202.26451201360834</v>
      </c>
      <c r="Z52" s="3473">
        <f>W52*$T$4*$T$3</f>
        <v>202.26451201360834</v>
      </c>
      <c r="AA52" s="3486">
        <v>7561</v>
      </c>
      <c r="AB52" s="3486">
        <v>7561</v>
      </c>
      <c r="AC52" s="3486">
        <v>7561</v>
      </c>
      <c r="AD52" s="3487">
        <v>189615</v>
      </c>
      <c r="AE52" s="3487">
        <v>189615</v>
      </c>
      <c r="AF52" s="3487">
        <v>0</v>
      </c>
      <c r="AG52" s="3487">
        <v>0</v>
      </c>
      <c r="AH52" s="3487">
        <v>67168</v>
      </c>
      <c r="AI52" s="3487">
        <v>67168</v>
      </c>
      <c r="AJ52" s="3488"/>
      <c r="AK52" s="3477" t="s">
        <v>3208</v>
      </c>
      <c r="AL52" s="3477" t="s">
        <v>3209</v>
      </c>
      <c r="AM52" s="3477" t="s">
        <v>3209</v>
      </c>
      <c r="AN52" s="3478">
        <f t="shared" si="30"/>
        <v>0</v>
      </c>
      <c r="AO52" s="3478">
        <f t="shared" si="31"/>
        <v>5219.7363500000001</v>
      </c>
      <c r="AP52" s="3478">
        <f t="shared" si="32"/>
        <v>0</v>
      </c>
      <c r="AQ52" s="3478">
        <f t="shared" si="33"/>
        <v>5219.7363500000001</v>
      </c>
      <c r="AR52" s="3478">
        <f t="shared" si="34"/>
        <v>0</v>
      </c>
      <c r="AS52" s="3478">
        <f t="shared" si="35"/>
        <v>5219.7363500000001</v>
      </c>
      <c r="AT52" s="3478">
        <f t="shared" si="17"/>
        <v>0</v>
      </c>
      <c r="AU52" s="3478">
        <f t="shared" si="18"/>
        <v>130900.71525000001</v>
      </c>
      <c r="AV52" s="3478">
        <f t="shared" si="19"/>
        <v>0</v>
      </c>
      <c r="AW52" s="3478">
        <f t="shared" si="20"/>
        <v>130900.71525000001</v>
      </c>
      <c r="AX52" s="3479" t="s">
        <v>3229</v>
      </c>
      <c r="AY52" s="3480">
        <f t="shared" si="12"/>
        <v>47</v>
      </c>
      <c r="AZ52" s="3480"/>
      <c r="BC52" s="3619"/>
      <c r="BD52" s="3549" t="s">
        <v>3390</v>
      </c>
      <c r="BE52" s="3754">
        <v>0</v>
      </c>
      <c r="BF52" s="3754">
        <v>0</v>
      </c>
      <c r="BG52" s="3754">
        <v>0</v>
      </c>
      <c r="BH52" s="3754">
        <v>0</v>
      </c>
      <c r="BI52" s="3754">
        <v>0</v>
      </c>
      <c r="BJ52" s="3754">
        <v>0</v>
      </c>
      <c r="BK52" s="3754">
        <v>0</v>
      </c>
      <c r="BL52" s="3754">
        <v>0</v>
      </c>
      <c r="BM52" s="3754">
        <v>0</v>
      </c>
      <c r="BN52" s="3754">
        <v>0</v>
      </c>
      <c r="BO52" s="3754">
        <v>0</v>
      </c>
      <c r="BP52" s="3754">
        <v>0</v>
      </c>
      <c r="BQ52" s="3754">
        <v>0</v>
      </c>
      <c r="BR52" s="3754">
        <v>0</v>
      </c>
      <c r="BS52" s="3754">
        <v>0</v>
      </c>
      <c r="BT52" s="3754">
        <v>0</v>
      </c>
      <c r="BU52" s="3754">
        <v>0</v>
      </c>
      <c r="BV52" s="3754">
        <v>0</v>
      </c>
      <c r="BW52" s="3754">
        <v>0</v>
      </c>
      <c r="BX52" s="3754">
        <v>0</v>
      </c>
      <c r="BY52" s="3754">
        <v>0</v>
      </c>
      <c r="BZ52" s="3754">
        <v>0</v>
      </c>
      <c r="CA52" s="3754">
        <v>0</v>
      </c>
      <c r="CB52" s="3755">
        <v>0</v>
      </c>
    </row>
    <row r="53" spans="18:80" ht="72.5">
      <c r="R53" s="3469">
        <f t="shared" si="11"/>
        <v>48</v>
      </c>
      <c r="S53" s="3470" t="s">
        <v>3111</v>
      </c>
      <c r="T53" s="3471" t="s">
        <v>3230</v>
      </c>
      <c r="U53" s="3472">
        <v>500001</v>
      </c>
      <c r="V53" s="3472">
        <v>0</v>
      </c>
      <c r="W53" s="3472">
        <v>0</v>
      </c>
      <c r="X53" s="3495" t="s">
        <v>3106</v>
      </c>
      <c r="Y53" s="3495" t="s">
        <v>3106</v>
      </c>
      <c r="Z53" s="3495" t="s">
        <v>3106</v>
      </c>
      <c r="AA53" s="3486">
        <f>5100+3400</f>
        <v>8500</v>
      </c>
      <c r="AB53" s="3486">
        <f>5200+3500</f>
        <v>8700</v>
      </c>
      <c r="AC53" s="3486">
        <f>5400+3600</f>
        <v>9000</v>
      </c>
      <c r="AD53" s="3487">
        <v>3600</v>
      </c>
      <c r="AE53" s="3487">
        <v>3700</v>
      </c>
      <c r="AF53" s="3487">
        <v>0</v>
      </c>
      <c r="AG53" s="3487">
        <v>0</v>
      </c>
      <c r="AH53" s="3487">
        <v>0</v>
      </c>
      <c r="AI53" s="3487">
        <v>0</v>
      </c>
      <c r="AJ53" s="3488" t="s">
        <v>3107</v>
      </c>
      <c r="AK53" s="3477"/>
      <c r="AL53" s="3477" t="s">
        <v>3209</v>
      </c>
      <c r="AM53" s="3477" t="s">
        <v>3209</v>
      </c>
      <c r="AN53" s="3478">
        <f t="shared" si="30"/>
        <v>0</v>
      </c>
      <c r="AO53" s="3478">
        <f t="shared" si="31"/>
        <v>5867.9750000000004</v>
      </c>
      <c r="AP53" s="3478">
        <f t="shared" si="32"/>
        <v>0</v>
      </c>
      <c r="AQ53" s="3478">
        <f t="shared" si="33"/>
        <v>6006.0450000000001</v>
      </c>
      <c r="AR53" s="3478">
        <f t="shared" si="34"/>
        <v>0</v>
      </c>
      <c r="AS53" s="3478">
        <f t="shared" si="35"/>
        <v>6213.1500000000005</v>
      </c>
      <c r="AT53" s="3478">
        <f t="shared" si="17"/>
        <v>0</v>
      </c>
      <c r="AU53" s="3478">
        <f t="shared" si="18"/>
        <v>2485.2600000000002</v>
      </c>
      <c r="AV53" s="3478">
        <f t="shared" si="19"/>
        <v>0</v>
      </c>
      <c r="AW53" s="3478">
        <f t="shared" si="20"/>
        <v>2554.2950000000001</v>
      </c>
      <c r="AX53" s="3479" t="s">
        <v>3231</v>
      </c>
      <c r="AY53" s="3480">
        <f t="shared" si="12"/>
        <v>48</v>
      </c>
      <c r="AZ53" s="3480"/>
      <c r="BC53" s="3619"/>
      <c r="BD53" s="3549" t="s">
        <v>3387</v>
      </c>
      <c r="BE53" s="3754">
        <v>306107.50059906038</v>
      </c>
      <c r="BF53" s="3754">
        <v>263825.86688927264</v>
      </c>
      <c r="BG53" s="3754">
        <v>227756.14247099555</v>
      </c>
      <c r="BH53" s="3754">
        <v>180385.65311725557</v>
      </c>
      <c r="BI53" s="3754">
        <v>126397.81408213837</v>
      </c>
      <c r="BJ53" s="3754">
        <v>123065.03189406857</v>
      </c>
      <c r="BK53" s="3754">
        <v>122737.00593698387</v>
      </c>
      <c r="BL53" s="3754">
        <v>130804.91001220311</v>
      </c>
      <c r="BM53" s="3754">
        <v>164053.23359334818</v>
      </c>
      <c r="BN53" s="3754">
        <v>282008.82280935993</v>
      </c>
      <c r="BO53" s="3754">
        <v>341738.53549037303</v>
      </c>
      <c r="BP53" s="3754">
        <v>335621.69162773259</v>
      </c>
      <c r="BQ53" s="3754">
        <v>306103.18692400365</v>
      </c>
      <c r="BR53" s="3754">
        <v>263671.22592378274</v>
      </c>
      <c r="BS53" s="3754">
        <v>227730.55819243175</v>
      </c>
      <c r="BT53" s="3754">
        <v>179946.81262213996</v>
      </c>
      <c r="BU53" s="3754">
        <v>125914.30543896707</v>
      </c>
      <c r="BV53" s="3754">
        <v>122514.27129079618</v>
      </c>
      <c r="BW53" s="3754">
        <v>122317.40913679329</v>
      </c>
      <c r="BX53" s="3754">
        <v>130892.58466820154</v>
      </c>
      <c r="BY53" s="3754">
        <v>164451.59397042016</v>
      </c>
      <c r="BZ53" s="3754">
        <v>283819.6248023205</v>
      </c>
      <c r="CA53" s="3754">
        <v>341688.45116680505</v>
      </c>
      <c r="CB53" s="3755">
        <v>335844.84874175704</v>
      </c>
    </row>
    <row r="54" spans="18:80" ht="43.5">
      <c r="R54" s="3469">
        <f t="shared" si="11"/>
        <v>49</v>
      </c>
      <c r="S54" s="3470" t="s">
        <v>3086</v>
      </c>
      <c r="T54" s="3471" t="s">
        <v>3232</v>
      </c>
      <c r="U54" s="3472">
        <v>490303</v>
      </c>
      <c r="V54" s="3472">
        <v>232932</v>
      </c>
      <c r="W54" s="3472">
        <v>0</v>
      </c>
      <c r="X54" s="3473">
        <f t="shared" ref="X54:Z57" si="36">U54*$T$4*$T$3</f>
        <v>991.70897033808205</v>
      </c>
      <c r="Y54" s="3473">
        <f t="shared" si="36"/>
        <v>471.13877312353816</v>
      </c>
      <c r="Z54" s="3473">
        <f t="shared" si="36"/>
        <v>0</v>
      </c>
      <c r="AA54" s="3486">
        <v>0</v>
      </c>
      <c r="AB54" s="3486">
        <v>0</v>
      </c>
      <c r="AC54" s="3486">
        <v>0</v>
      </c>
      <c r="AD54" s="3487"/>
      <c r="AE54" s="3487"/>
      <c r="AF54" s="3487">
        <v>0</v>
      </c>
      <c r="AG54" s="3487">
        <v>0</v>
      </c>
      <c r="AH54" s="3487"/>
      <c r="AI54" s="3487"/>
      <c r="AJ54" s="3488"/>
      <c r="AK54" s="3477"/>
      <c r="AL54" s="3477" t="s">
        <v>3088</v>
      </c>
      <c r="AM54" s="3477" t="s">
        <v>3089</v>
      </c>
      <c r="AN54" s="3478">
        <f t="shared" si="30"/>
        <v>638.66057689772481</v>
      </c>
      <c r="AO54" s="3478">
        <f t="shared" si="31"/>
        <v>0</v>
      </c>
      <c r="AP54" s="3478">
        <f t="shared" si="32"/>
        <v>303.4133698915586</v>
      </c>
      <c r="AQ54" s="3478">
        <f t="shared" si="33"/>
        <v>0</v>
      </c>
      <c r="AR54" s="3478">
        <f t="shared" si="34"/>
        <v>0</v>
      </c>
      <c r="AS54" s="3478">
        <f t="shared" si="35"/>
        <v>0</v>
      </c>
      <c r="AT54" s="3478">
        <f t="shared" si="17"/>
        <v>0</v>
      </c>
      <c r="AU54" s="3478">
        <f t="shared" si="18"/>
        <v>0</v>
      </c>
      <c r="AV54" s="3478">
        <f t="shared" si="19"/>
        <v>0</v>
      </c>
      <c r="AW54" s="3478">
        <f t="shared" si="20"/>
        <v>0</v>
      </c>
      <c r="AX54" s="3479" t="s">
        <v>3233</v>
      </c>
      <c r="AY54" s="3480">
        <f t="shared" si="12"/>
        <v>49</v>
      </c>
      <c r="AZ54" s="3480"/>
      <c r="BC54" s="3619"/>
      <c r="BD54" s="3549" t="s">
        <v>3386</v>
      </c>
      <c r="BE54" s="3754">
        <v>3064769.6</v>
      </c>
      <c r="BF54" s="3754">
        <v>3454537.666666667</v>
      </c>
      <c r="BG54" s="3754">
        <v>3430164.5</v>
      </c>
      <c r="BH54" s="3754">
        <v>3246011.5</v>
      </c>
      <c r="BI54" s="3754">
        <v>2897451.1666666665</v>
      </c>
      <c r="BJ54" s="3754">
        <v>2603432.3333333335</v>
      </c>
      <c r="BK54" s="3754">
        <v>2272108.3333333335</v>
      </c>
      <c r="BL54" s="3754">
        <v>2117389.8333333335</v>
      </c>
      <c r="BM54" s="3754">
        <v>2001248.6666666665</v>
      </c>
      <c r="BN54" s="3754">
        <v>2075583.5</v>
      </c>
      <c r="BO54" s="3754">
        <v>2379202.3333333335</v>
      </c>
      <c r="BP54" s="3754">
        <v>2818977.1686666664</v>
      </c>
      <c r="BQ54" s="3754">
        <v>3077032.6</v>
      </c>
      <c r="BR54" s="3754">
        <v>3446827.666666667</v>
      </c>
      <c r="BS54" s="3754">
        <v>3411380.5</v>
      </c>
      <c r="BT54" s="3754">
        <v>3220463.5</v>
      </c>
      <c r="BU54" s="3754">
        <v>2920562.166666667</v>
      </c>
      <c r="BV54" s="3754">
        <v>2685412.3333333335</v>
      </c>
      <c r="BW54" s="3754">
        <v>2358786.3333333335</v>
      </c>
      <c r="BX54" s="3754">
        <v>2160903.8333333335</v>
      </c>
      <c r="BY54" s="3754">
        <v>2059872.6666666665</v>
      </c>
      <c r="BZ54" s="3754">
        <v>2119625.5</v>
      </c>
      <c r="CA54" s="3754">
        <v>2374167.3333333335</v>
      </c>
      <c r="CB54" s="3755">
        <v>2855119.1686666664</v>
      </c>
    </row>
    <row r="55" spans="18:80" ht="58">
      <c r="R55" s="3469">
        <f t="shared" si="11"/>
        <v>50</v>
      </c>
      <c r="S55" s="3470" t="s">
        <v>3100</v>
      </c>
      <c r="T55" s="3471" t="s">
        <v>3234</v>
      </c>
      <c r="U55" s="3472">
        <v>3830156</v>
      </c>
      <c r="V55" s="3472">
        <v>7751644</v>
      </c>
      <c r="W55" s="3472">
        <v>1449994</v>
      </c>
      <c r="X55" s="3473">
        <f t="shared" si="36"/>
        <v>7747.0463427599407</v>
      </c>
      <c r="Y55" s="3473">
        <f t="shared" si="36"/>
        <v>15678.824909632149</v>
      </c>
      <c r="Z55" s="3473">
        <f t="shared" si="36"/>
        <v>2932.8232883266</v>
      </c>
      <c r="AA55" s="3486">
        <v>0</v>
      </c>
      <c r="AB55" s="3486">
        <v>0</v>
      </c>
      <c r="AC55" s="3486">
        <v>0</v>
      </c>
      <c r="AD55" s="3487">
        <f>35200+140000</f>
        <v>175200</v>
      </c>
      <c r="AE55" s="3487">
        <f>35200+140000</f>
        <v>175200</v>
      </c>
      <c r="AF55" s="3487">
        <v>0</v>
      </c>
      <c r="AG55" s="3487">
        <v>0</v>
      </c>
      <c r="AH55" s="3487">
        <f>316800+35000</f>
        <v>351800</v>
      </c>
      <c r="AI55" s="3487">
        <f>316800+35000</f>
        <v>351800</v>
      </c>
      <c r="AJ55" s="3488" t="s">
        <v>3199</v>
      </c>
      <c r="AK55" s="3477"/>
      <c r="AL55" s="3477" t="s">
        <v>839</v>
      </c>
      <c r="AM55" s="3477" t="s">
        <v>839</v>
      </c>
      <c r="AN55" s="3478">
        <f t="shared" si="30"/>
        <v>3636.0821011248722</v>
      </c>
      <c r="AO55" s="3478">
        <f t="shared" si="31"/>
        <v>1150.9912005683714</v>
      </c>
      <c r="AP55" s="3478">
        <f t="shared" si="32"/>
        <v>7358.8684123288995</v>
      </c>
      <c r="AQ55" s="3478">
        <f t="shared" si="33"/>
        <v>2329.4283663481624</v>
      </c>
      <c r="AR55" s="3478">
        <f t="shared" si="34"/>
        <v>1376.522844014306</v>
      </c>
      <c r="AS55" s="3478">
        <f t="shared" si="35"/>
        <v>435.73429773537555</v>
      </c>
      <c r="AT55" s="3478">
        <f t="shared" si="17"/>
        <v>82230.253432319994</v>
      </c>
      <c r="AU55" s="3478">
        <f t="shared" si="18"/>
        <v>26029.747263360001</v>
      </c>
      <c r="AV55" s="3478">
        <f t="shared" si="19"/>
        <v>82230.253432319994</v>
      </c>
      <c r="AW55" s="3478">
        <f t="shared" si="20"/>
        <v>26029.747263360001</v>
      </c>
      <c r="AX55" s="3479" t="s">
        <v>3235</v>
      </c>
      <c r="AY55" s="3480">
        <f t="shared" si="12"/>
        <v>50</v>
      </c>
      <c r="AZ55" s="3480"/>
      <c r="BC55" s="3619"/>
      <c r="BD55" s="3549"/>
      <c r="BE55" s="3642"/>
      <c r="BF55" s="3642"/>
      <c r="BG55" s="3642"/>
      <c r="BH55" s="3642"/>
      <c r="BI55" s="3642"/>
      <c r="BJ55" s="3642"/>
      <c r="BK55" s="3642"/>
      <c r="BL55" s="3642"/>
      <c r="BM55" s="3642"/>
      <c r="BN55" s="3642"/>
      <c r="BO55" s="3642"/>
      <c r="BP55" s="3642"/>
      <c r="BQ55" s="3642"/>
      <c r="BR55" s="3642"/>
      <c r="BS55" s="3642"/>
      <c r="BT55" s="3642"/>
      <c r="BU55" s="3642"/>
      <c r="BV55" s="3642"/>
      <c r="BW55" s="3642"/>
      <c r="BX55" s="3642"/>
      <c r="BY55" s="3642"/>
      <c r="BZ55" s="3642"/>
      <c r="CA55" s="3642"/>
      <c r="CB55" s="3656"/>
    </row>
    <row r="56" spans="18:80" ht="58">
      <c r="R56" s="3469">
        <f t="shared" si="11"/>
        <v>51</v>
      </c>
      <c r="S56" s="3470" t="s">
        <v>3086</v>
      </c>
      <c r="T56" s="3471" t="s">
        <v>3236</v>
      </c>
      <c r="U56" s="3472">
        <v>2676153</v>
      </c>
      <c r="V56" s="3472">
        <v>2078530</v>
      </c>
      <c r="W56" s="3472">
        <v>132015</v>
      </c>
      <c r="X56" s="3473">
        <f t="shared" si="36"/>
        <v>5412.9078061875398</v>
      </c>
      <c r="Y56" s="3473">
        <f t="shared" si="36"/>
        <v>4204.128561556453</v>
      </c>
      <c r="Z56" s="3473">
        <f t="shared" si="36"/>
        <v>267.01949553476504</v>
      </c>
      <c r="AA56" s="3486">
        <v>0</v>
      </c>
      <c r="AB56" s="3486">
        <v>0</v>
      </c>
      <c r="AC56" s="3486">
        <v>0</v>
      </c>
      <c r="AD56" s="3487">
        <v>0</v>
      </c>
      <c r="AE56" s="3487">
        <v>0</v>
      </c>
      <c r="AF56" s="3487">
        <v>0</v>
      </c>
      <c r="AG56" s="3487">
        <v>0</v>
      </c>
      <c r="AH56" s="3487">
        <v>0</v>
      </c>
      <c r="AI56" s="3487">
        <v>0</v>
      </c>
      <c r="AJ56" s="3488"/>
      <c r="AK56" s="3477"/>
      <c r="AL56" s="3477" t="s">
        <v>839</v>
      </c>
      <c r="AM56" s="3477" t="s">
        <v>839</v>
      </c>
      <c r="AN56" s="3478">
        <f t="shared" si="30"/>
        <v>2540.5524013047066</v>
      </c>
      <c r="AO56" s="3478">
        <f t="shared" si="31"/>
        <v>804.20446435462384</v>
      </c>
      <c r="AP56" s="3478">
        <f t="shared" si="32"/>
        <v>1973.2109422308333</v>
      </c>
      <c r="AQ56" s="3478">
        <f t="shared" si="33"/>
        <v>624.61417762550059</v>
      </c>
      <c r="AR56" s="3478">
        <f t="shared" si="34"/>
        <v>125.32580359128976</v>
      </c>
      <c r="AS56" s="3478">
        <f t="shared" si="35"/>
        <v>39.671518168720425</v>
      </c>
      <c r="AT56" s="3478">
        <f t="shared" si="17"/>
        <v>0</v>
      </c>
      <c r="AU56" s="3478">
        <f t="shared" si="18"/>
        <v>0</v>
      </c>
      <c r="AV56" s="3478">
        <f t="shared" si="19"/>
        <v>0</v>
      </c>
      <c r="AW56" s="3478">
        <f t="shared" si="20"/>
        <v>0</v>
      </c>
      <c r="AX56" s="3479" t="s">
        <v>3237</v>
      </c>
      <c r="AY56" s="3480">
        <f t="shared" si="12"/>
        <v>51</v>
      </c>
      <c r="AZ56" s="3480"/>
      <c r="BC56" s="3619"/>
      <c r="BD56" s="3639" t="s">
        <v>3261</v>
      </c>
      <c r="CB56" s="3618"/>
    </row>
    <row r="57" spans="18:80" ht="43.5">
      <c r="R57" s="3469">
        <f t="shared" si="11"/>
        <v>52</v>
      </c>
      <c r="S57" s="3470" t="s">
        <v>3100</v>
      </c>
      <c r="T57" s="3471" t="s">
        <v>3238</v>
      </c>
      <c r="U57" s="3472">
        <v>391207</v>
      </c>
      <c r="V57" s="3472">
        <v>490344</v>
      </c>
      <c r="W57" s="3472">
        <v>613801</v>
      </c>
      <c r="X57" s="3473">
        <f t="shared" si="36"/>
        <v>791.27292951307663</v>
      </c>
      <c r="Y57" s="3473">
        <f t="shared" si="36"/>
        <v>991.79189878800753</v>
      </c>
      <c r="Z57" s="3473">
        <f t="shared" si="36"/>
        <v>1241.501597384648</v>
      </c>
      <c r="AA57" s="3486">
        <v>16300</v>
      </c>
      <c r="AB57" s="3486">
        <v>16300</v>
      </c>
      <c r="AC57" s="3486">
        <v>16300</v>
      </c>
      <c r="AD57" s="3487">
        <v>400000</v>
      </c>
      <c r="AE57" s="3487">
        <v>400000</v>
      </c>
      <c r="AF57" s="3487">
        <v>0</v>
      </c>
      <c r="AG57" s="3487">
        <v>0</v>
      </c>
      <c r="AH57" s="3487">
        <v>0</v>
      </c>
      <c r="AI57" s="3487">
        <v>0</v>
      </c>
      <c r="AJ57" s="3488"/>
      <c r="AK57" s="3477"/>
      <c r="AL57" s="3477" t="s">
        <v>839</v>
      </c>
      <c r="AM57" s="3477" t="s">
        <v>839</v>
      </c>
      <c r="AN57" s="3478">
        <f t="shared" si="30"/>
        <v>7650.4174140799987</v>
      </c>
      <c r="AO57" s="3478">
        <f t="shared" si="31"/>
        <v>2421.7173538400002</v>
      </c>
      <c r="AP57" s="3478">
        <f t="shared" si="32"/>
        <v>7650.4174140799987</v>
      </c>
      <c r="AQ57" s="3478">
        <f t="shared" si="33"/>
        <v>2421.7173538400002</v>
      </c>
      <c r="AR57" s="3478">
        <f t="shared" si="34"/>
        <v>7650.4174140799987</v>
      </c>
      <c r="AS57" s="3478">
        <f t="shared" si="35"/>
        <v>2421.7173538400002</v>
      </c>
      <c r="AT57" s="3478">
        <f t="shared" si="17"/>
        <v>187740.30463999999</v>
      </c>
      <c r="AU57" s="3478">
        <f t="shared" si="18"/>
        <v>59428.646719999997</v>
      </c>
      <c r="AV57" s="3478">
        <f t="shared" si="19"/>
        <v>187740.30463999999</v>
      </c>
      <c r="AW57" s="3478">
        <f t="shared" si="20"/>
        <v>59428.646719999997</v>
      </c>
      <c r="AX57" s="3479" t="s">
        <v>3239</v>
      </c>
      <c r="AY57" s="3480">
        <f t="shared" si="12"/>
        <v>52</v>
      </c>
      <c r="AZ57" s="3480"/>
      <c r="BC57" s="3619"/>
      <c r="BE57" s="3637">
        <v>45688</v>
      </c>
      <c r="BF57" s="3637">
        <f t="shared" ref="BF57:CB57" si="37">EOMONTH(BE57,1)</f>
        <v>45716</v>
      </c>
      <c r="BG57" s="3637">
        <f t="shared" si="37"/>
        <v>45747</v>
      </c>
      <c r="BH57" s="3637">
        <f t="shared" si="37"/>
        <v>45777</v>
      </c>
      <c r="BI57" s="3637">
        <f t="shared" si="37"/>
        <v>45808</v>
      </c>
      <c r="BJ57" s="3637">
        <f t="shared" si="37"/>
        <v>45838</v>
      </c>
      <c r="BK57" s="3637">
        <f t="shared" si="37"/>
        <v>45869</v>
      </c>
      <c r="BL57" s="3637">
        <f t="shared" si="37"/>
        <v>45900</v>
      </c>
      <c r="BM57" s="3637">
        <f t="shared" si="37"/>
        <v>45930</v>
      </c>
      <c r="BN57" s="3637">
        <f t="shared" si="37"/>
        <v>45961</v>
      </c>
      <c r="BO57" s="3637">
        <f t="shared" si="37"/>
        <v>45991</v>
      </c>
      <c r="BP57" s="3637">
        <f t="shared" si="37"/>
        <v>46022</v>
      </c>
      <c r="BQ57" s="3637">
        <f t="shared" si="37"/>
        <v>46053</v>
      </c>
      <c r="BR57" s="3637">
        <f t="shared" si="37"/>
        <v>46081</v>
      </c>
      <c r="BS57" s="3637">
        <f t="shared" si="37"/>
        <v>46112</v>
      </c>
      <c r="BT57" s="3637">
        <f t="shared" si="37"/>
        <v>46142</v>
      </c>
      <c r="BU57" s="3637">
        <f t="shared" si="37"/>
        <v>46173</v>
      </c>
      <c r="BV57" s="3637">
        <f t="shared" si="37"/>
        <v>46203</v>
      </c>
      <c r="BW57" s="3637">
        <f t="shared" si="37"/>
        <v>46234</v>
      </c>
      <c r="BX57" s="3637">
        <f t="shared" si="37"/>
        <v>46265</v>
      </c>
      <c r="BY57" s="3637">
        <f t="shared" si="37"/>
        <v>46295</v>
      </c>
      <c r="BZ57" s="3637">
        <f t="shared" si="37"/>
        <v>46326</v>
      </c>
      <c r="CA57" s="3637">
        <f t="shared" si="37"/>
        <v>46356</v>
      </c>
      <c r="CB57" s="3636">
        <f t="shared" si="37"/>
        <v>46387</v>
      </c>
    </row>
    <row r="58" spans="18:80" ht="29">
      <c r="R58" s="3469">
        <f t="shared" si="11"/>
        <v>53</v>
      </c>
      <c r="S58" s="3470" t="s">
        <v>3100</v>
      </c>
      <c r="T58" s="3471" t="s">
        <v>3240</v>
      </c>
      <c r="U58" s="3472">
        <v>303024</v>
      </c>
      <c r="V58" s="3472">
        <v>649022</v>
      </c>
      <c r="W58" s="3472">
        <v>194984</v>
      </c>
      <c r="X58" s="3495" t="s">
        <v>3106</v>
      </c>
      <c r="Y58" s="3495" t="s">
        <v>3106</v>
      </c>
      <c r="Z58" s="3495" t="s">
        <v>3106</v>
      </c>
      <c r="AA58" s="3486">
        <v>0</v>
      </c>
      <c r="AB58" s="3486">
        <v>0</v>
      </c>
      <c r="AC58" s="3486">
        <v>0</v>
      </c>
      <c r="AD58" s="3487">
        <v>936000</v>
      </c>
      <c r="AE58" s="3487">
        <v>936000</v>
      </c>
      <c r="AF58" s="3487">
        <v>0</v>
      </c>
      <c r="AG58" s="3487">
        <v>0</v>
      </c>
      <c r="AH58" s="3487">
        <v>104000</v>
      </c>
      <c r="AI58" s="3487">
        <v>104000</v>
      </c>
      <c r="AJ58" s="3488" t="s">
        <v>3107</v>
      </c>
      <c r="AK58" s="3477"/>
      <c r="AL58" s="3477" t="s">
        <v>3209</v>
      </c>
      <c r="AM58" s="3477" t="s">
        <v>3108</v>
      </c>
      <c r="AN58" s="3478">
        <f t="shared" si="30"/>
        <v>0</v>
      </c>
      <c r="AO58" s="3478">
        <f t="shared" si="31"/>
        <v>0</v>
      </c>
      <c r="AP58" s="3478">
        <f t="shared" si="32"/>
        <v>0</v>
      </c>
      <c r="AQ58" s="3478">
        <f t="shared" si="33"/>
        <v>0</v>
      </c>
      <c r="AR58" s="3478">
        <f t="shared" si="34"/>
        <v>0</v>
      </c>
      <c r="AS58" s="3478">
        <f t="shared" si="35"/>
        <v>0</v>
      </c>
      <c r="AT58" s="3478">
        <f t="shared" si="17"/>
        <v>0</v>
      </c>
      <c r="AU58" s="3478">
        <f t="shared" si="18"/>
        <v>0</v>
      </c>
      <c r="AV58" s="3478">
        <f t="shared" si="19"/>
        <v>0</v>
      </c>
      <c r="AW58" s="3478">
        <f t="shared" si="20"/>
        <v>0</v>
      </c>
      <c r="AX58" s="3479" t="s">
        <v>3241</v>
      </c>
      <c r="AY58" s="3480">
        <f t="shared" si="12"/>
        <v>53</v>
      </c>
      <c r="AZ58" s="3480"/>
      <c r="BC58" s="3619"/>
      <c r="BD58" s="3549" t="s">
        <v>3389</v>
      </c>
      <c r="BE58" s="3635">
        <f t="shared" ref="BE58:CB58" si="38">BE49/(BE31+BE30)</f>
        <v>134.70096080292541</v>
      </c>
      <c r="BF58" s="3635">
        <f t="shared" si="38"/>
        <v>115.67460852979984</v>
      </c>
      <c r="BG58" s="3635">
        <f t="shared" si="38"/>
        <v>87.673857266622747</v>
      </c>
      <c r="BH58" s="3635">
        <f t="shared" si="38"/>
        <v>55.202167833424163</v>
      </c>
      <c r="BI58" s="3635">
        <f t="shared" si="38"/>
        <v>26.832091508697395</v>
      </c>
      <c r="BJ58" s="3635">
        <f t="shared" si="38"/>
        <v>18.466434381235828</v>
      </c>
      <c r="BK58" s="3635">
        <f t="shared" si="38"/>
        <v>13.280808698470883</v>
      </c>
      <c r="BL58" s="3635">
        <f t="shared" si="38"/>
        <v>11.736149241293477</v>
      </c>
      <c r="BM58" s="3635">
        <f t="shared" si="38"/>
        <v>17.436525284266402</v>
      </c>
      <c r="BN58" s="3635">
        <f t="shared" si="38"/>
        <v>49.923478981765328</v>
      </c>
      <c r="BO58" s="3635">
        <f t="shared" si="38"/>
        <v>100.49403931654129</v>
      </c>
      <c r="BP58" s="3635">
        <f t="shared" si="38"/>
        <v>141.05256702572532</v>
      </c>
      <c r="BQ58" s="3635">
        <f t="shared" si="38"/>
        <v>133.74303520035431</v>
      </c>
      <c r="BR58" s="3635">
        <f t="shared" si="38"/>
        <v>114.44317859054433</v>
      </c>
      <c r="BS58" s="3635">
        <f t="shared" si="38"/>
        <v>88.06947142812875</v>
      </c>
      <c r="BT58" s="3635">
        <f t="shared" si="38"/>
        <v>54.499065710118877</v>
      </c>
      <c r="BU58" s="3635">
        <f t="shared" si="38"/>
        <v>27.343446812394227</v>
      </c>
      <c r="BV58" s="3635">
        <f t="shared" si="38"/>
        <v>18.323627091149813</v>
      </c>
      <c r="BW58" s="3635">
        <f t="shared" si="38"/>
        <v>13.185272513225682</v>
      </c>
      <c r="BX58" s="3635">
        <f t="shared" si="38"/>
        <v>12.047723817476877</v>
      </c>
      <c r="BY58" s="3635">
        <f t="shared" si="38"/>
        <v>17.713602857255552</v>
      </c>
      <c r="BZ58" s="3635">
        <f t="shared" si="38"/>
        <v>48.92239692403011</v>
      </c>
      <c r="CA58" s="3635">
        <f t="shared" si="38"/>
        <v>101.76015497737272</v>
      </c>
      <c r="CB58" s="3634">
        <f t="shared" si="38"/>
        <v>140.1971350126833</v>
      </c>
    </row>
    <row r="59" spans="18:80" ht="29">
      <c r="R59" s="3469">
        <f t="shared" si="11"/>
        <v>54</v>
      </c>
      <c r="S59" s="3470" t="s">
        <v>3111</v>
      </c>
      <c r="T59" s="3471" t="s">
        <v>3242</v>
      </c>
      <c r="U59" s="3472">
        <v>3999996</v>
      </c>
      <c r="V59" s="3472">
        <v>3999996</v>
      </c>
      <c r="W59" s="3472">
        <v>3000000</v>
      </c>
      <c r="X59" s="3495" t="s">
        <v>3106</v>
      </c>
      <c r="Y59" s="3495" t="s">
        <v>3106</v>
      </c>
      <c r="Z59" s="3495" t="s">
        <v>3106</v>
      </c>
      <c r="AA59" s="3486">
        <v>0</v>
      </c>
      <c r="AB59" s="3486">
        <v>0</v>
      </c>
      <c r="AC59" s="3486">
        <v>0</v>
      </c>
      <c r="AD59" s="3487">
        <v>0</v>
      </c>
      <c r="AE59" s="3487">
        <v>0</v>
      </c>
      <c r="AF59" s="3487">
        <v>0</v>
      </c>
      <c r="AG59" s="3487">
        <v>0</v>
      </c>
      <c r="AH59" s="3487">
        <v>0</v>
      </c>
      <c r="AI59" s="3487">
        <v>0</v>
      </c>
      <c r="AJ59" s="3488" t="s">
        <v>3243</v>
      </c>
      <c r="AK59" s="3477" t="s">
        <v>3123</v>
      </c>
      <c r="AL59" s="3477" t="s">
        <v>3088</v>
      </c>
      <c r="AM59" s="3477" t="s">
        <v>3108</v>
      </c>
      <c r="AN59" s="3478">
        <f t="shared" si="30"/>
        <v>0</v>
      </c>
      <c r="AO59" s="3478">
        <f t="shared" si="31"/>
        <v>0</v>
      </c>
      <c r="AP59" s="3478">
        <f t="shared" si="32"/>
        <v>0</v>
      </c>
      <c r="AQ59" s="3478">
        <f t="shared" si="33"/>
        <v>0</v>
      </c>
      <c r="AR59" s="3478">
        <f t="shared" si="34"/>
        <v>0</v>
      </c>
      <c r="AS59" s="3478">
        <f t="shared" si="35"/>
        <v>0</v>
      </c>
      <c r="AT59" s="3478">
        <f t="shared" si="17"/>
        <v>0</v>
      </c>
      <c r="AU59" s="3478">
        <f t="shared" si="18"/>
        <v>0</v>
      </c>
      <c r="AV59" s="3478">
        <f t="shared" si="19"/>
        <v>0</v>
      </c>
      <c r="AW59" s="3478">
        <f t="shared" si="20"/>
        <v>0</v>
      </c>
      <c r="AX59" s="3498" t="s">
        <v>3244</v>
      </c>
      <c r="AY59" s="3480">
        <f t="shared" si="12"/>
        <v>54</v>
      </c>
      <c r="AZ59" s="3480"/>
      <c r="BC59" s="3619"/>
      <c r="BD59" s="3549" t="s">
        <v>3384</v>
      </c>
      <c r="BE59" s="3635">
        <f t="shared" ref="BE59:CB59" si="39">BE50/BE31</f>
        <v>2630.707006590223</v>
      </c>
      <c r="BF59" s="3635">
        <f t="shared" si="39"/>
        <v>2325.6902309014022</v>
      </c>
      <c r="BG59" s="3635">
        <f t="shared" si="39"/>
        <v>1864.9682862906056</v>
      </c>
      <c r="BH59" s="3635">
        <f t="shared" si="39"/>
        <v>1286.5848240504968</v>
      </c>
      <c r="BI59" s="3635">
        <f t="shared" si="39"/>
        <v>761.30376510257724</v>
      </c>
      <c r="BJ59" s="3635">
        <f t="shared" si="39"/>
        <v>601.62559742142696</v>
      </c>
      <c r="BK59" s="3635">
        <f t="shared" si="39"/>
        <v>506.64011108106297</v>
      </c>
      <c r="BL59" s="3635">
        <f t="shared" si="39"/>
        <v>524.76991154170366</v>
      </c>
      <c r="BM59" s="3635">
        <f t="shared" si="39"/>
        <v>693.27580903995567</v>
      </c>
      <c r="BN59" s="3635">
        <f t="shared" si="39"/>
        <v>1481.0525346679008</v>
      </c>
      <c r="BO59" s="3635">
        <f t="shared" si="39"/>
        <v>2238.5843247003818</v>
      </c>
      <c r="BP59" s="3635">
        <f t="shared" si="39"/>
        <v>2830.9407167069503</v>
      </c>
      <c r="BQ59" s="3635">
        <f t="shared" si="39"/>
        <v>2630.2798470996172</v>
      </c>
      <c r="BR59" s="3635">
        <f t="shared" si="39"/>
        <v>2324.3331525290305</v>
      </c>
      <c r="BS59" s="3635">
        <f t="shared" si="39"/>
        <v>1864.5745029618672</v>
      </c>
      <c r="BT59" s="3635">
        <f t="shared" si="39"/>
        <v>1283.0334256782605</v>
      </c>
      <c r="BU59" s="3635">
        <f t="shared" si="39"/>
        <v>757.69177914746001</v>
      </c>
      <c r="BV59" s="3635">
        <f t="shared" si="39"/>
        <v>597.55473084432504</v>
      </c>
      <c r="BW59" s="3635">
        <f t="shared" si="39"/>
        <v>503.17915757202695</v>
      </c>
      <c r="BX59" s="3635">
        <f t="shared" si="39"/>
        <v>522.62961225387039</v>
      </c>
      <c r="BY59" s="3635">
        <f t="shared" si="39"/>
        <v>693.19629890683609</v>
      </c>
      <c r="BZ59" s="3635">
        <f t="shared" si="39"/>
        <v>1487.8901233511544</v>
      </c>
      <c r="CA59" s="3635">
        <f t="shared" si="39"/>
        <v>2237.7091740092442</v>
      </c>
      <c r="CB59" s="3634">
        <f t="shared" si="39"/>
        <v>2832.6813758353014</v>
      </c>
    </row>
    <row r="60" spans="18:80" ht="72.5">
      <c r="R60" s="3469">
        <f t="shared" si="11"/>
        <v>55</v>
      </c>
      <c r="S60" s="3470" t="s">
        <v>3100</v>
      </c>
      <c r="T60" s="3471" t="s">
        <v>3245</v>
      </c>
      <c r="U60" s="3472">
        <v>4597501</v>
      </c>
      <c r="V60" s="3472">
        <v>1999046</v>
      </c>
      <c r="W60" s="3472">
        <v>1944767</v>
      </c>
      <c r="X60" s="3473">
        <f t="shared" ref="X60:Z65" si="40">U60*$T$4*$T$3</f>
        <v>9299.1129624707628</v>
      </c>
      <c r="Y60" s="3473">
        <f t="shared" si="40"/>
        <v>4043.3606368275564</v>
      </c>
      <c r="Z60" s="3473">
        <f t="shared" si="40"/>
        <v>3933.5734823516905</v>
      </c>
      <c r="AA60" s="3486">
        <v>0</v>
      </c>
      <c r="AB60" s="3486">
        <v>0</v>
      </c>
      <c r="AC60" s="3486">
        <v>0</v>
      </c>
      <c r="AD60" s="3487">
        <v>1000000</v>
      </c>
      <c r="AE60" s="3487">
        <v>1000000</v>
      </c>
      <c r="AF60" s="3487">
        <v>0</v>
      </c>
      <c r="AG60" s="3487">
        <v>0</v>
      </c>
      <c r="AH60" s="3487">
        <v>0</v>
      </c>
      <c r="AI60" s="3487">
        <v>0</v>
      </c>
      <c r="AJ60" s="3488" t="s">
        <v>3246</v>
      </c>
      <c r="AK60" s="3477"/>
      <c r="AL60" s="3477" t="s">
        <v>839</v>
      </c>
      <c r="AM60" s="3477" t="s">
        <v>839</v>
      </c>
      <c r="AN60" s="3478">
        <f t="shared" si="30"/>
        <v>4364.5457511400846</v>
      </c>
      <c r="AO60" s="3478">
        <f t="shared" si="31"/>
        <v>1381.584247640119</v>
      </c>
      <c r="AP60" s="3478">
        <f t="shared" si="32"/>
        <v>1897.7543943184744</v>
      </c>
      <c r="AQ60" s="3478">
        <f t="shared" si="33"/>
        <v>600.72862711894766</v>
      </c>
      <c r="AR60" s="3478">
        <f t="shared" si="34"/>
        <v>1846.2257097513298</v>
      </c>
      <c r="AS60" s="3478">
        <f t="shared" si="35"/>
        <v>584.41737207459687</v>
      </c>
      <c r="AT60" s="3478">
        <f t="shared" si="17"/>
        <v>469350.76159999997</v>
      </c>
      <c r="AU60" s="3478">
        <f t="shared" si="18"/>
        <v>148571.61679999999</v>
      </c>
      <c r="AV60" s="3478">
        <f t="shared" si="19"/>
        <v>469350.76159999997</v>
      </c>
      <c r="AW60" s="3478">
        <f t="shared" si="20"/>
        <v>148571.61679999999</v>
      </c>
      <c r="AX60" s="3479" t="s">
        <v>3247</v>
      </c>
      <c r="AY60" s="3480">
        <f t="shared" si="12"/>
        <v>55</v>
      </c>
      <c r="AZ60" s="3480"/>
      <c r="BC60" s="3619"/>
      <c r="BD60" s="3549" t="s">
        <v>3388</v>
      </c>
      <c r="BE60" s="3635">
        <f t="shared" ref="BE60:CB60" si="41">BE51/BE32</f>
        <v>219649.32622716183</v>
      </c>
      <c r="BF60" s="3635">
        <f t="shared" si="41"/>
        <v>198615.61905182412</v>
      </c>
      <c r="BG60" s="3635">
        <f t="shared" si="41"/>
        <v>178796.90688031417</v>
      </c>
      <c r="BH60" s="3635">
        <f t="shared" si="41"/>
        <v>124429.97172159312</v>
      </c>
      <c r="BI60" s="3635">
        <f t="shared" si="41"/>
        <v>80349.868640946443</v>
      </c>
      <c r="BJ60" s="3635">
        <f t="shared" si="41"/>
        <v>50749.905903426101</v>
      </c>
      <c r="BK60" s="3635">
        <f t="shared" si="41"/>
        <v>27363.410346946268</v>
      </c>
      <c r="BL60" s="3635">
        <f t="shared" si="41"/>
        <v>15730.597321249019</v>
      </c>
      <c r="BM60" s="3635">
        <f t="shared" si="41"/>
        <v>25805.434260621667</v>
      </c>
      <c r="BN60" s="3635">
        <f t="shared" si="41"/>
        <v>78921.155986457496</v>
      </c>
      <c r="BO60" s="3635">
        <f t="shared" si="41"/>
        <v>164074.70551398798</v>
      </c>
      <c r="BP60" s="3635">
        <f t="shared" si="41"/>
        <v>231084.09665655074</v>
      </c>
      <c r="BQ60" s="3635">
        <f t="shared" si="41"/>
        <v>219646.23092300261</v>
      </c>
      <c r="BR60" s="3635">
        <f t="shared" si="41"/>
        <v>198499.2009331093</v>
      </c>
      <c r="BS60" s="3635">
        <f t="shared" si="41"/>
        <v>178776.8222853507</v>
      </c>
      <c r="BT60" s="3635">
        <f t="shared" si="41"/>
        <v>124127.25967407774</v>
      </c>
      <c r="BU60" s="3635">
        <f t="shared" si="41"/>
        <v>80042.506870114477</v>
      </c>
      <c r="BV60" s="3635">
        <f t="shared" si="41"/>
        <v>50522.781688194533</v>
      </c>
      <c r="BW60" s="3635">
        <f t="shared" si="41"/>
        <v>27269.863992802875</v>
      </c>
      <c r="BX60" s="3635">
        <f t="shared" si="41"/>
        <v>15741.141074604011</v>
      </c>
      <c r="BY60" s="3635">
        <f t="shared" si="41"/>
        <v>25868.096009478439</v>
      </c>
      <c r="BZ60" s="3635">
        <f t="shared" si="41"/>
        <v>79427.915261303438</v>
      </c>
      <c r="CA60" s="3635">
        <f t="shared" si="41"/>
        <v>164050.6591458238</v>
      </c>
      <c r="CB60" s="3634">
        <f t="shared" si="41"/>
        <v>231237.74602246843</v>
      </c>
    </row>
    <row r="61" spans="18:80">
      <c r="R61" s="3469">
        <f t="shared" si="11"/>
        <v>56</v>
      </c>
      <c r="S61" s="3470" t="s">
        <v>3111</v>
      </c>
      <c r="T61" s="3471" t="s">
        <v>3248</v>
      </c>
      <c r="U61" s="3472">
        <v>200003</v>
      </c>
      <c r="V61" s="3472">
        <v>199999</v>
      </c>
      <c r="W61" s="3472">
        <v>199999</v>
      </c>
      <c r="X61" s="3473">
        <f t="shared" si="40"/>
        <v>404.5350919625771</v>
      </c>
      <c r="Y61" s="3473">
        <f t="shared" si="40"/>
        <v>404.5270013820965</v>
      </c>
      <c r="Z61" s="3473">
        <f t="shared" si="40"/>
        <v>404.5270013820965</v>
      </c>
      <c r="AA61" s="3486">
        <v>0</v>
      </c>
      <c r="AB61" s="3486">
        <v>0</v>
      </c>
      <c r="AC61" s="3486">
        <v>0</v>
      </c>
      <c r="AD61" s="3487">
        <v>0</v>
      </c>
      <c r="AE61" s="3487">
        <v>0</v>
      </c>
      <c r="AF61" s="3487">
        <v>0</v>
      </c>
      <c r="AG61" s="3487">
        <v>0</v>
      </c>
      <c r="AH61" s="3487">
        <v>0</v>
      </c>
      <c r="AI61" s="3487">
        <v>0</v>
      </c>
      <c r="AJ61" s="3488"/>
      <c r="AK61" s="3477" t="s">
        <v>3123</v>
      </c>
      <c r="AL61" s="3477" t="s">
        <v>3088</v>
      </c>
      <c r="AM61" s="3477" t="s">
        <v>3151</v>
      </c>
      <c r="AN61" s="3478">
        <f t="shared" si="30"/>
        <v>270.80792661250797</v>
      </c>
      <c r="AO61" s="3478">
        <f t="shared" si="31"/>
        <v>0</v>
      </c>
      <c r="AP61" s="3478">
        <f t="shared" si="32"/>
        <v>270.80251053521687</v>
      </c>
      <c r="AQ61" s="3478">
        <f t="shared" si="33"/>
        <v>0</v>
      </c>
      <c r="AR61" s="3478">
        <f t="shared" si="34"/>
        <v>270.80251053521687</v>
      </c>
      <c r="AS61" s="3478">
        <f t="shared" si="35"/>
        <v>0</v>
      </c>
      <c r="AT61" s="3478">
        <f t="shared" si="17"/>
        <v>0</v>
      </c>
      <c r="AU61" s="3478">
        <f t="shared" si="18"/>
        <v>0</v>
      </c>
      <c r="AV61" s="3478">
        <f t="shared" si="19"/>
        <v>0</v>
      </c>
      <c r="AW61" s="3478">
        <f t="shared" si="20"/>
        <v>0</v>
      </c>
      <c r="AX61" s="3479" t="s">
        <v>3249</v>
      </c>
      <c r="AY61" s="3480">
        <f t="shared" si="12"/>
        <v>56</v>
      </c>
      <c r="AZ61" s="3480"/>
      <c r="BC61" s="3619"/>
      <c r="BD61" s="3549" t="s">
        <v>3390</v>
      </c>
      <c r="BE61" s="3635">
        <v>0</v>
      </c>
      <c r="BF61" s="3635">
        <v>0</v>
      </c>
      <c r="BG61" s="3635">
        <v>0</v>
      </c>
      <c r="BH61" s="3635">
        <v>0</v>
      </c>
      <c r="BI61" s="3635">
        <v>0</v>
      </c>
      <c r="BJ61" s="3635">
        <v>0</v>
      </c>
      <c r="BK61" s="3635">
        <v>0</v>
      </c>
      <c r="BL61" s="3635">
        <v>0</v>
      </c>
      <c r="BM61" s="3635">
        <v>0</v>
      </c>
      <c r="BN61" s="3635">
        <v>0</v>
      </c>
      <c r="BO61" s="3635">
        <v>0</v>
      </c>
      <c r="BP61" s="3635">
        <v>0</v>
      </c>
      <c r="BQ61" s="3635">
        <v>0</v>
      </c>
      <c r="BR61" s="3635">
        <v>0</v>
      </c>
      <c r="BS61" s="3635">
        <v>0</v>
      </c>
      <c r="BT61" s="3635">
        <v>0</v>
      </c>
      <c r="BU61" s="3635">
        <v>0</v>
      </c>
      <c r="BV61" s="3635">
        <v>0</v>
      </c>
      <c r="BW61" s="3635">
        <v>0</v>
      </c>
      <c r="BX61" s="3635">
        <v>0</v>
      </c>
      <c r="BY61" s="3635">
        <v>0</v>
      </c>
      <c r="BZ61" s="3635">
        <v>0</v>
      </c>
      <c r="CA61" s="3635">
        <v>0</v>
      </c>
      <c r="CB61" s="3634">
        <v>0</v>
      </c>
    </row>
    <row r="62" spans="18:80" ht="43.5">
      <c r="R62" s="3469">
        <f t="shared" si="11"/>
        <v>57</v>
      </c>
      <c r="S62" s="3470" t="s">
        <v>3100</v>
      </c>
      <c r="T62" s="3471" t="s">
        <v>3250</v>
      </c>
      <c r="U62" s="3472">
        <v>465000</v>
      </c>
      <c r="V62" s="3472">
        <v>420000</v>
      </c>
      <c r="W62" s="3472">
        <v>405500</v>
      </c>
      <c r="X62" s="3473">
        <f t="shared" si="40"/>
        <v>940.52998086327864</v>
      </c>
      <c r="Y62" s="3473">
        <f t="shared" si="40"/>
        <v>849.51095045715499</v>
      </c>
      <c r="Z62" s="3473">
        <f t="shared" si="40"/>
        <v>820.18259621518166</v>
      </c>
      <c r="AA62" s="3486">
        <v>0</v>
      </c>
      <c r="AB62" s="3486">
        <v>0</v>
      </c>
      <c r="AC62" s="3486">
        <v>0</v>
      </c>
      <c r="AD62" s="3487">
        <v>135000</v>
      </c>
      <c r="AE62" s="3487">
        <v>135000</v>
      </c>
      <c r="AF62" s="3487">
        <v>0</v>
      </c>
      <c r="AG62" s="3487">
        <v>0</v>
      </c>
      <c r="AH62" s="3487">
        <v>0</v>
      </c>
      <c r="AI62" s="3487">
        <v>0</v>
      </c>
      <c r="AJ62" s="3488"/>
      <c r="AK62" s="3477" t="s">
        <v>3123</v>
      </c>
      <c r="AL62" s="3477" t="s">
        <v>839</v>
      </c>
      <c r="AM62" s="3477" t="s">
        <v>839</v>
      </c>
      <c r="AN62" s="3478">
        <f t="shared" si="30"/>
        <v>441.43846282581319</v>
      </c>
      <c r="AO62" s="3478">
        <f t="shared" si="31"/>
        <v>139.73605990573037</v>
      </c>
      <c r="AP62" s="3478">
        <f t="shared" si="32"/>
        <v>398.71861158460553</v>
      </c>
      <c r="AQ62" s="3478">
        <f t="shared" si="33"/>
        <v>126.21321539872422</v>
      </c>
      <c r="AR62" s="3478">
        <f t="shared" si="34"/>
        <v>384.95332618466074</v>
      </c>
      <c r="AS62" s="3478">
        <f t="shared" si="35"/>
        <v>121.85585439091111</v>
      </c>
      <c r="AT62" s="3478">
        <f t="shared" si="17"/>
        <v>63362.352815999991</v>
      </c>
      <c r="AU62" s="3478">
        <f t="shared" si="18"/>
        <v>20057.168268000001</v>
      </c>
      <c r="AV62" s="3478">
        <f t="shared" si="19"/>
        <v>63362.352815999991</v>
      </c>
      <c r="AW62" s="3478">
        <f t="shared" si="20"/>
        <v>20057.168268000001</v>
      </c>
      <c r="AX62" s="3479" t="s">
        <v>3251</v>
      </c>
      <c r="AY62" s="3480">
        <f t="shared" si="12"/>
        <v>57</v>
      </c>
      <c r="AZ62" s="3480"/>
      <c r="BC62" s="3619"/>
      <c r="BD62" s="3549" t="s">
        <v>3387</v>
      </c>
      <c r="BE62" s="3635">
        <f t="shared" ref="BE62:CB62" si="42">BE53/BE34</f>
        <v>78027.402113485979</v>
      </c>
      <c r="BF62" s="3635">
        <f t="shared" si="42"/>
        <v>67249.730775696953</v>
      </c>
      <c r="BG62" s="3635">
        <f t="shared" si="42"/>
        <v>58055.487296528278</v>
      </c>
      <c r="BH62" s="3635">
        <f t="shared" si="42"/>
        <v>45980.656676947503</v>
      </c>
      <c r="BI62" s="3635">
        <f t="shared" si="42"/>
        <v>32219.050648388213</v>
      </c>
      <c r="BJ62" s="3635">
        <f t="shared" si="42"/>
        <v>31369.517933782186</v>
      </c>
      <c r="BK62" s="3635">
        <f t="shared" si="42"/>
        <v>31285.903474133145</v>
      </c>
      <c r="BL62" s="3635">
        <f t="shared" si="42"/>
        <v>33342.428042326283</v>
      </c>
      <c r="BM62" s="3635">
        <f t="shared" si="42"/>
        <v>41817.490915951501</v>
      </c>
      <c r="BN62" s="3635">
        <f t="shared" si="42"/>
        <v>71884.601892581952</v>
      </c>
      <c r="BO62" s="3635">
        <f t="shared" si="42"/>
        <v>87109.822772055879</v>
      </c>
      <c r="BP62" s="3635">
        <f t="shared" si="42"/>
        <v>85550.627277657331</v>
      </c>
      <c r="BQ62" s="3635">
        <f t="shared" si="42"/>
        <v>78026.302549255837</v>
      </c>
      <c r="BR62" s="3635">
        <f t="shared" si="42"/>
        <v>67210.312490375989</v>
      </c>
      <c r="BS62" s="3635">
        <f t="shared" si="42"/>
        <v>58048.965813757117</v>
      </c>
      <c r="BT62" s="3635">
        <f t="shared" si="42"/>
        <v>45868.795374270972</v>
      </c>
      <c r="BU62" s="3635">
        <f t="shared" si="42"/>
        <v>32095.803347187688</v>
      </c>
      <c r="BV62" s="3635">
        <f t="shared" si="42"/>
        <v>31229.127976085303</v>
      </c>
      <c r="BW62" s="3635">
        <f t="shared" si="42"/>
        <v>31178.947427025741</v>
      </c>
      <c r="BX62" s="3635">
        <f t="shared" si="42"/>
        <v>33364.776484051377</v>
      </c>
      <c r="BY62" s="3635">
        <f t="shared" si="42"/>
        <v>41919.033757165926</v>
      </c>
      <c r="BZ62" s="3635">
        <f t="shared" si="42"/>
        <v>72346.178871179742</v>
      </c>
      <c r="CA62" s="3635">
        <f t="shared" si="42"/>
        <v>87097.056179773848</v>
      </c>
      <c r="CB62" s="3634">
        <f t="shared" si="42"/>
        <v>85607.510463585131</v>
      </c>
    </row>
    <row r="63" spans="18:80" ht="58">
      <c r="R63" s="3469">
        <f t="shared" si="11"/>
        <v>58</v>
      </c>
      <c r="S63" s="3470" t="s">
        <v>3086</v>
      </c>
      <c r="T63" s="3471" t="s">
        <v>3252</v>
      </c>
      <c r="U63" s="3472">
        <v>500000</v>
      </c>
      <c r="V63" s="3472">
        <v>1500000</v>
      </c>
      <c r="W63" s="3472">
        <v>45000000</v>
      </c>
      <c r="X63" s="3473">
        <f t="shared" si="40"/>
        <v>1011.3225600680416</v>
      </c>
      <c r="Y63" s="3473">
        <f t="shared" si="40"/>
        <v>3033.9676802041249</v>
      </c>
      <c r="Z63" s="3473">
        <f t="shared" si="40"/>
        <v>91019.03040612374</v>
      </c>
      <c r="AA63" s="3486">
        <v>0</v>
      </c>
      <c r="AB63" s="3486">
        <v>50000</v>
      </c>
      <c r="AC63" s="3486">
        <v>100000</v>
      </c>
      <c r="AD63" s="3487">
        <v>100000</v>
      </c>
      <c r="AE63" s="3487">
        <v>150000</v>
      </c>
      <c r="AF63" s="3487">
        <v>50000</v>
      </c>
      <c r="AG63" s="3487">
        <v>100000</v>
      </c>
      <c r="AH63" s="3487">
        <v>0</v>
      </c>
      <c r="AI63" s="3487">
        <v>250000</v>
      </c>
      <c r="AK63" s="3477"/>
      <c r="AL63" s="3400" t="s">
        <v>3088</v>
      </c>
      <c r="AM63" s="3400" t="s">
        <v>3089</v>
      </c>
      <c r="AN63" s="3478">
        <f t="shared" si="30"/>
        <v>651.29172868381886</v>
      </c>
      <c r="AO63" s="3478">
        <f t="shared" si="31"/>
        <v>0</v>
      </c>
      <c r="AP63" s="3478">
        <f t="shared" si="32"/>
        <v>32200</v>
      </c>
      <c r="AQ63" s="3478">
        <f t="shared" si="33"/>
        <v>0</v>
      </c>
      <c r="AR63" s="3478">
        <f t="shared" si="34"/>
        <v>64400</v>
      </c>
      <c r="AS63" s="3478">
        <f t="shared" si="35"/>
        <v>0</v>
      </c>
      <c r="AT63" s="3478">
        <f t="shared" si="17"/>
        <v>64400</v>
      </c>
      <c r="AU63" s="3478">
        <f t="shared" si="18"/>
        <v>0</v>
      </c>
      <c r="AV63" s="3478">
        <f t="shared" si="19"/>
        <v>96600</v>
      </c>
      <c r="AW63" s="3478">
        <f t="shared" si="20"/>
        <v>0</v>
      </c>
      <c r="AX63" s="3479" t="s">
        <v>3253</v>
      </c>
      <c r="AY63" s="3480">
        <f t="shared" si="12"/>
        <v>58</v>
      </c>
      <c r="AZ63" s="3480"/>
      <c r="BC63" s="3619"/>
      <c r="BD63" s="3549" t="s">
        <v>3386</v>
      </c>
      <c r="BE63" s="3635">
        <f t="shared" ref="BE63:CB63" si="43">BE54/BE35</f>
        <v>80651.831578947371</v>
      </c>
      <c r="BF63" s="3635">
        <f t="shared" si="43"/>
        <v>90908.88596491229</v>
      </c>
      <c r="BG63" s="3635">
        <f t="shared" si="43"/>
        <v>90267.486842105267</v>
      </c>
      <c r="BH63" s="3635">
        <f t="shared" si="43"/>
        <v>85421.355263157893</v>
      </c>
      <c r="BI63" s="3635">
        <f t="shared" si="43"/>
        <v>76248.714912280702</v>
      </c>
      <c r="BJ63" s="3635">
        <f t="shared" si="43"/>
        <v>68511.377192982458</v>
      </c>
      <c r="BK63" s="3635">
        <f t="shared" si="43"/>
        <v>59792.324561403511</v>
      </c>
      <c r="BL63" s="3635">
        <f t="shared" si="43"/>
        <v>55720.785087719305</v>
      </c>
      <c r="BM63" s="3635">
        <f t="shared" si="43"/>
        <v>52664.438596491222</v>
      </c>
      <c r="BN63" s="3635">
        <f t="shared" si="43"/>
        <v>54620.618421052633</v>
      </c>
      <c r="BO63" s="3635">
        <f t="shared" si="43"/>
        <v>62610.587719298252</v>
      </c>
      <c r="BP63" s="3635">
        <f t="shared" si="43"/>
        <v>74183.60970175438</v>
      </c>
      <c r="BQ63" s="3635">
        <f t="shared" si="43"/>
        <v>80974.542105263157</v>
      </c>
      <c r="BR63" s="3635">
        <f t="shared" si="43"/>
        <v>90705.991228070183</v>
      </c>
      <c r="BS63" s="3635">
        <f t="shared" si="43"/>
        <v>89773.171052631573</v>
      </c>
      <c r="BT63" s="3635">
        <f t="shared" si="43"/>
        <v>84749.039473684214</v>
      </c>
      <c r="BU63" s="3635">
        <f t="shared" si="43"/>
        <v>76856.899122807023</v>
      </c>
      <c r="BV63" s="3635">
        <f t="shared" si="43"/>
        <v>70668.745614035099</v>
      </c>
      <c r="BW63" s="3635">
        <f t="shared" si="43"/>
        <v>62073.324561403511</v>
      </c>
      <c r="BX63" s="3635">
        <f t="shared" si="43"/>
        <v>56865.890350877198</v>
      </c>
      <c r="BY63" s="3635">
        <f t="shared" si="43"/>
        <v>54207.175438596489</v>
      </c>
      <c r="BZ63" s="3635">
        <f t="shared" si="43"/>
        <v>55779.618421052633</v>
      </c>
      <c r="CA63" s="3635">
        <f t="shared" si="43"/>
        <v>62478.087719298252</v>
      </c>
      <c r="CB63" s="3634">
        <f t="shared" si="43"/>
        <v>75134.714964912273</v>
      </c>
    </row>
    <row r="64" spans="18:80" ht="58.5" thickBot="1">
      <c r="R64" s="3469">
        <f t="shared" si="11"/>
        <v>59</v>
      </c>
      <c r="S64" s="3470" t="s">
        <v>3086</v>
      </c>
      <c r="T64" s="3471" t="s">
        <v>3254</v>
      </c>
      <c r="U64" s="3472">
        <v>747811</v>
      </c>
      <c r="V64" s="3472">
        <v>0</v>
      </c>
      <c r="W64" s="3472">
        <v>0</v>
      </c>
      <c r="X64" s="3473">
        <f t="shared" si="40"/>
        <v>1512.5562699340846</v>
      </c>
      <c r="Y64" s="3473">
        <f t="shared" si="40"/>
        <v>0</v>
      </c>
      <c r="Z64" s="3473">
        <f t="shared" si="40"/>
        <v>0</v>
      </c>
      <c r="AA64" s="3486"/>
      <c r="AB64" s="3486"/>
      <c r="AC64" s="3486"/>
      <c r="AD64" s="3487">
        <v>300000</v>
      </c>
      <c r="AE64" s="3487"/>
      <c r="AF64" s="3487"/>
      <c r="AG64" s="3487"/>
      <c r="AH64" s="3487"/>
      <c r="AI64" s="3487"/>
      <c r="AJ64" s="3488"/>
      <c r="AK64" s="3477" t="s">
        <v>2819</v>
      </c>
      <c r="AL64" s="3477" t="s">
        <v>3088</v>
      </c>
      <c r="AM64" s="3477" t="s">
        <v>3089</v>
      </c>
      <c r="AN64" s="3478">
        <f t="shared" si="30"/>
        <v>974.08623783755058</v>
      </c>
      <c r="AO64" s="3478">
        <f t="shared" si="31"/>
        <v>0</v>
      </c>
      <c r="AP64" s="3478">
        <f t="shared" si="32"/>
        <v>0</v>
      </c>
      <c r="AQ64" s="3478">
        <f t="shared" si="33"/>
        <v>0</v>
      </c>
      <c r="AR64" s="3478">
        <f t="shared" si="34"/>
        <v>0</v>
      </c>
      <c r="AS64" s="3478">
        <f t="shared" si="35"/>
        <v>0</v>
      </c>
      <c r="AT64" s="3510">
        <f t="shared" si="17"/>
        <v>193200</v>
      </c>
      <c r="AU64" s="3510">
        <f t="shared" si="18"/>
        <v>0</v>
      </c>
      <c r="AV64" s="3510">
        <f t="shared" si="19"/>
        <v>0</v>
      </c>
      <c r="AW64" s="3510">
        <f t="shared" si="20"/>
        <v>0</v>
      </c>
      <c r="AX64" s="3479" t="s">
        <v>3255</v>
      </c>
      <c r="AY64" s="3480">
        <f t="shared" si="12"/>
        <v>59</v>
      </c>
      <c r="AZ64" s="3480"/>
      <c r="BC64" s="3617"/>
      <c r="BD64" s="3556"/>
      <c r="BE64" s="3655"/>
      <c r="BF64" s="3655"/>
      <c r="BG64" s="3655"/>
      <c r="BH64" s="3655"/>
      <c r="BI64" s="3655"/>
      <c r="BJ64" s="3655"/>
      <c r="BK64" s="3655"/>
      <c r="BL64" s="3655"/>
      <c r="BM64" s="3655"/>
      <c r="BN64" s="3655"/>
      <c r="BO64" s="3655"/>
      <c r="BP64" s="3655"/>
      <c r="BQ64" s="3655"/>
      <c r="BR64" s="3655"/>
      <c r="BS64" s="3655"/>
      <c r="BT64" s="3655"/>
      <c r="BU64" s="3655"/>
      <c r="BV64" s="3655"/>
      <c r="BW64" s="3655"/>
      <c r="BX64" s="3655"/>
      <c r="BY64" s="3655"/>
      <c r="BZ64" s="3655"/>
      <c r="CA64" s="3655"/>
      <c r="CB64" s="3654"/>
    </row>
    <row r="65" spans="18:80" ht="25">
      <c r="R65" s="3469">
        <f t="shared" si="11"/>
        <v>60</v>
      </c>
      <c r="S65" s="3470" t="s">
        <v>3100</v>
      </c>
      <c r="T65" s="3471" t="s">
        <v>3256</v>
      </c>
      <c r="U65" s="3472">
        <v>4188193</v>
      </c>
      <c r="V65" s="3472">
        <v>3140876</v>
      </c>
      <c r="W65" s="3472">
        <v>1844292</v>
      </c>
      <c r="X65" s="3473">
        <f t="shared" si="40"/>
        <v>8471.2281336381038</v>
      </c>
      <c r="Y65" s="3473">
        <f t="shared" si="40"/>
        <v>6352.8775143525399</v>
      </c>
      <c r="Z65" s="3473">
        <f t="shared" si="40"/>
        <v>3730.348213906017</v>
      </c>
      <c r="AA65" s="3486">
        <v>0</v>
      </c>
      <c r="AB65" s="3486">
        <v>0</v>
      </c>
      <c r="AC65" s="3486">
        <v>0</v>
      </c>
      <c r="AD65" s="3487">
        <v>0</v>
      </c>
      <c r="AE65" s="3487">
        <v>0</v>
      </c>
      <c r="AF65" s="3487">
        <v>0</v>
      </c>
      <c r="AG65" s="3487">
        <v>0</v>
      </c>
      <c r="AH65" s="3487">
        <v>0</v>
      </c>
      <c r="AI65" s="3487">
        <v>0</v>
      </c>
      <c r="AJ65" s="3488" t="s">
        <v>3120</v>
      </c>
      <c r="AK65" s="3477"/>
      <c r="AL65" s="3477" t="s">
        <v>839</v>
      </c>
      <c r="AM65" s="3477" t="s">
        <v>839</v>
      </c>
      <c r="AN65" s="3478">
        <f t="shared" si="30"/>
        <v>3975.97737621039</v>
      </c>
      <c r="AO65" s="3478">
        <f t="shared" si="31"/>
        <v>1258.5840600962595</v>
      </c>
      <c r="AP65" s="3478">
        <f t="shared" si="32"/>
        <v>2981.7278997128792</v>
      </c>
      <c r="AQ65" s="3478">
        <f t="shared" si="33"/>
        <v>943.85728363972203</v>
      </c>
      <c r="AR65" s="3478">
        <f t="shared" si="34"/>
        <v>1750.8417752299886</v>
      </c>
      <c r="AS65" s="3478">
        <f t="shared" si="35"/>
        <v>554.22386536700924</v>
      </c>
      <c r="AT65" s="3478">
        <f t="shared" si="17"/>
        <v>0</v>
      </c>
      <c r="AU65" s="3478">
        <f t="shared" si="18"/>
        <v>0</v>
      </c>
      <c r="AV65" s="3478">
        <f t="shared" si="19"/>
        <v>0</v>
      </c>
      <c r="AW65" s="3478">
        <f t="shared" si="20"/>
        <v>0</v>
      </c>
      <c r="AX65" s="3479" t="s">
        <v>3090</v>
      </c>
      <c r="AY65" s="3480">
        <f t="shared" si="12"/>
        <v>60</v>
      </c>
      <c r="AZ65" s="3480"/>
      <c r="BC65" s="3647">
        <v>3</v>
      </c>
      <c r="BD65" s="3653" t="s">
        <v>3283</v>
      </c>
      <c r="BE65" s="3645"/>
      <c r="BF65" s="3645"/>
      <c r="BG65" s="3645"/>
      <c r="BH65" s="3645"/>
      <c r="BI65" s="3645"/>
      <c r="BJ65" s="3645"/>
      <c r="BK65" s="3645"/>
      <c r="BL65" s="3645"/>
      <c r="BM65" s="3645"/>
      <c r="BN65" s="3645"/>
      <c r="BO65" s="3645"/>
      <c r="BP65" s="3645"/>
      <c r="BQ65" s="3645"/>
      <c r="BR65" s="3645"/>
      <c r="BS65" s="3645"/>
      <c r="BT65" s="3645"/>
      <c r="BU65" s="3645"/>
      <c r="BV65" s="3645"/>
      <c r="BW65" s="3645"/>
      <c r="BX65" s="3645"/>
      <c r="BY65" s="3645"/>
      <c r="BZ65" s="3645"/>
      <c r="CA65" s="3645"/>
      <c r="CB65" s="3652"/>
    </row>
    <row r="66" spans="18:80">
      <c r="R66" s="3469">
        <f t="shared" si="11"/>
        <v>61</v>
      </c>
      <c r="S66" s="3470" t="s">
        <v>3111</v>
      </c>
      <c r="T66" s="3470" t="s">
        <v>3257</v>
      </c>
      <c r="U66" s="3472">
        <v>78505094</v>
      </c>
      <c r="V66" s="3472">
        <v>73745609</v>
      </c>
      <c r="W66" s="3472">
        <v>75985327</v>
      </c>
      <c r="X66" s="4062" t="s">
        <v>3258</v>
      </c>
      <c r="Y66" s="4062"/>
      <c r="Z66" s="4062"/>
      <c r="AA66" s="3552">
        <v>0</v>
      </c>
      <c r="AB66" s="3552">
        <v>0</v>
      </c>
      <c r="AC66" s="3552">
        <v>0</v>
      </c>
      <c r="AD66" s="3487">
        <v>0</v>
      </c>
      <c r="AE66" s="3487">
        <v>0</v>
      </c>
      <c r="AF66" s="3487">
        <v>0</v>
      </c>
      <c r="AG66" s="3487">
        <v>0</v>
      </c>
      <c r="AH66" s="3487">
        <v>0</v>
      </c>
      <c r="AI66" s="3487">
        <v>0</v>
      </c>
      <c r="AJ66" s="3488" t="s">
        <v>3107</v>
      </c>
      <c r="AK66" s="3477"/>
      <c r="AL66" s="3477"/>
      <c r="AM66" s="3477" t="s">
        <v>3108</v>
      </c>
      <c r="AN66" s="3478">
        <f t="shared" si="30"/>
        <v>0</v>
      </c>
      <c r="AO66" s="3478">
        <f t="shared" si="31"/>
        <v>0</v>
      </c>
      <c r="AP66" s="3478">
        <f t="shared" si="32"/>
        <v>0</v>
      </c>
      <c r="AQ66" s="3478">
        <f t="shared" si="33"/>
        <v>0</v>
      </c>
      <c r="AR66" s="3478">
        <f t="shared" si="34"/>
        <v>0</v>
      </c>
      <c r="AS66" s="3478">
        <f t="shared" si="35"/>
        <v>0</v>
      </c>
      <c r="AT66" s="3478">
        <f t="shared" si="17"/>
        <v>0</v>
      </c>
      <c r="AU66" s="3478">
        <f t="shared" si="18"/>
        <v>0</v>
      </c>
      <c r="AV66" s="3478">
        <f t="shared" si="19"/>
        <v>0</v>
      </c>
      <c r="AW66" s="3478">
        <f t="shared" si="20"/>
        <v>0</v>
      </c>
      <c r="AX66" s="2128" t="s">
        <v>3259</v>
      </c>
      <c r="AY66" s="3480">
        <f t="shared" si="12"/>
        <v>61</v>
      </c>
      <c r="AZ66" s="3480"/>
      <c r="BC66" s="3619"/>
      <c r="BE66" s="3637">
        <v>45688</v>
      </c>
      <c r="BF66" s="3637">
        <f t="shared" ref="BF66:CB66" si="44">EOMONTH(BE66,1)</f>
        <v>45716</v>
      </c>
      <c r="BG66" s="3637">
        <f t="shared" si="44"/>
        <v>45747</v>
      </c>
      <c r="BH66" s="3637">
        <f t="shared" si="44"/>
        <v>45777</v>
      </c>
      <c r="BI66" s="3637">
        <f t="shared" si="44"/>
        <v>45808</v>
      </c>
      <c r="BJ66" s="3637">
        <f t="shared" si="44"/>
        <v>45838</v>
      </c>
      <c r="BK66" s="3637">
        <f t="shared" si="44"/>
        <v>45869</v>
      </c>
      <c r="BL66" s="3637">
        <f t="shared" si="44"/>
        <v>45900</v>
      </c>
      <c r="BM66" s="3637">
        <f t="shared" si="44"/>
        <v>45930</v>
      </c>
      <c r="BN66" s="3637">
        <f t="shared" si="44"/>
        <v>45961</v>
      </c>
      <c r="BO66" s="3637">
        <f t="shared" si="44"/>
        <v>45991</v>
      </c>
      <c r="BP66" s="3637">
        <f t="shared" si="44"/>
        <v>46022</v>
      </c>
      <c r="BQ66" s="3637">
        <f t="shared" si="44"/>
        <v>46053</v>
      </c>
      <c r="BR66" s="3637">
        <f t="shared" si="44"/>
        <v>46081</v>
      </c>
      <c r="BS66" s="3637">
        <f t="shared" si="44"/>
        <v>46112</v>
      </c>
      <c r="BT66" s="3637">
        <f t="shared" si="44"/>
        <v>46142</v>
      </c>
      <c r="BU66" s="3637">
        <f t="shared" si="44"/>
        <v>46173</v>
      </c>
      <c r="BV66" s="3637">
        <f t="shared" si="44"/>
        <v>46203</v>
      </c>
      <c r="BW66" s="3637">
        <f t="shared" si="44"/>
        <v>46234</v>
      </c>
      <c r="BX66" s="3637">
        <f t="shared" si="44"/>
        <v>46265</v>
      </c>
      <c r="BY66" s="3637">
        <f t="shared" si="44"/>
        <v>46295</v>
      </c>
      <c r="BZ66" s="3637">
        <f t="shared" si="44"/>
        <v>46326</v>
      </c>
      <c r="CA66" s="3637">
        <f t="shared" si="44"/>
        <v>46356</v>
      </c>
      <c r="CB66" s="3636">
        <f t="shared" si="44"/>
        <v>46387</v>
      </c>
    </row>
    <row r="67" spans="18:80">
      <c r="R67" s="3469">
        <f t="shared" si="11"/>
        <v>62</v>
      </c>
      <c r="S67" s="3470" t="s">
        <v>3086</v>
      </c>
      <c r="T67" s="3471" t="s">
        <v>3260</v>
      </c>
      <c r="U67" s="3472">
        <v>0</v>
      </c>
      <c r="V67" s="3472">
        <v>5292874</v>
      </c>
      <c r="W67" s="3472">
        <v>0</v>
      </c>
      <c r="X67" s="3473">
        <f t="shared" ref="X67:Z73" si="45">U67*$T$4*$T$3</f>
        <v>0</v>
      </c>
      <c r="Y67" s="3473">
        <f t="shared" si="45"/>
        <v>10705.605767595151</v>
      </c>
      <c r="Z67" s="3473">
        <f t="shared" si="45"/>
        <v>0</v>
      </c>
      <c r="AA67" s="3486">
        <v>0</v>
      </c>
      <c r="AB67" s="3486">
        <v>0</v>
      </c>
      <c r="AC67" s="3486">
        <v>0</v>
      </c>
      <c r="AD67" s="3487">
        <v>0</v>
      </c>
      <c r="AE67" s="3487">
        <v>0</v>
      </c>
      <c r="AF67" s="3487">
        <v>0</v>
      </c>
      <c r="AG67" s="3487">
        <v>0</v>
      </c>
      <c r="AH67" s="3487">
        <v>0</v>
      </c>
      <c r="AI67" s="3487">
        <v>0</v>
      </c>
      <c r="AJ67" s="3488"/>
      <c r="AK67" s="3477" t="s">
        <v>2819</v>
      </c>
      <c r="AL67" s="3477" t="s">
        <v>3088</v>
      </c>
      <c r="AM67" s="3477" t="s">
        <v>3089</v>
      </c>
      <c r="AN67" s="3478">
        <f t="shared" si="30"/>
        <v>0</v>
      </c>
      <c r="AO67" s="3478">
        <f t="shared" si="31"/>
        <v>0</v>
      </c>
      <c r="AP67" s="3478">
        <f t="shared" si="32"/>
        <v>6894.4101143312773</v>
      </c>
      <c r="AQ67" s="3478">
        <f t="shared" si="33"/>
        <v>0</v>
      </c>
      <c r="AR67" s="3478">
        <f t="shared" si="34"/>
        <v>0</v>
      </c>
      <c r="AS67" s="3478">
        <f t="shared" si="35"/>
        <v>0</v>
      </c>
      <c r="AT67" s="3478">
        <f t="shared" si="17"/>
        <v>0</v>
      </c>
      <c r="AU67" s="3478">
        <f t="shared" si="18"/>
        <v>0</v>
      </c>
      <c r="AV67" s="3478">
        <f t="shared" si="19"/>
        <v>0</v>
      </c>
      <c r="AW67" s="3478">
        <f t="shared" si="20"/>
        <v>0</v>
      </c>
      <c r="AX67" s="3479" t="s">
        <v>3090</v>
      </c>
      <c r="AY67" s="3480">
        <f t="shared" si="12"/>
        <v>62</v>
      </c>
      <c r="AZ67" s="3480"/>
      <c r="BC67" s="3619"/>
      <c r="BD67" s="3549" t="s">
        <v>3389</v>
      </c>
      <c r="BE67" s="3635">
        <f t="shared" ref="BE67:CB67" si="46">BE58*BE39</f>
        <v>64409.50942393086</v>
      </c>
      <c r="BF67" s="3635">
        <f t="shared" si="46"/>
        <v>55196.067370135032</v>
      </c>
      <c r="BG67" s="3635">
        <f t="shared" si="46"/>
        <v>41747.368368456016</v>
      </c>
      <c r="BH67" s="3635">
        <f t="shared" si="46"/>
        <v>26230.230082181512</v>
      </c>
      <c r="BI67" s="3635">
        <f t="shared" si="46"/>
        <v>12722.883390373754</v>
      </c>
      <c r="BJ67" s="3635">
        <f t="shared" si="46"/>
        <v>8737.7012013879066</v>
      </c>
      <c r="BK67" s="3635">
        <f t="shared" si="46"/>
        <v>6270.7551737945396</v>
      </c>
      <c r="BL67" s="3635">
        <f t="shared" si="46"/>
        <v>5529.6823175226627</v>
      </c>
      <c r="BM67" s="3635">
        <f t="shared" si="46"/>
        <v>8198.0729711524182</v>
      </c>
      <c r="BN67" s="3635">
        <f t="shared" si="46"/>
        <v>23422.432222277748</v>
      </c>
      <c r="BO67" s="3635">
        <f t="shared" si="46"/>
        <v>47047.959406693102</v>
      </c>
      <c r="BP67" s="3635">
        <f t="shared" si="46"/>
        <v>65895.057562183312</v>
      </c>
      <c r="BQ67" s="3635">
        <f t="shared" si="46"/>
        <v>62212.801874030185</v>
      </c>
      <c r="BR67" s="3635">
        <f t="shared" si="46"/>
        <v>53120.708729109887</v>
      </c>
      <c r="BS67" s="3635">
        <f t="shared" si="46"/>
        <v>40790.84351646078</v>
      </c>
      <c r="BT67" s="3635">
        <f t="shared" si="46"/>
        <v>25187.651535692745</v>
      </c>
      <c r="BU67" s="3635">
        <f t="shared" si="46"/>
        <v>12609.886221648872</v>
      </c>
      <c r="BV67" s="3635">
        <f t="shared" si="46"/>
        <v>8431.9223997772606</v>
      </c>
      <c r="BW67" s="3635">
        <f t="shared" si="46"/>
        <v>6054.2376289893309</v>
      </c>
      <c r="BX67" s="3635">
        <f t="shared" si="46"/>
        <v>5519.8654623738721</v>
      </c>
      <c r="BY67" s="3635">
        <f t="shared" si="46"/>
        <v>8098.0687729084912</v>
      </c>
      <c r="BZ67" s="3635">
        <f t="shared" si="46"/>
        <v>22316.766730177926</v>
      </c>
      <c r="CA67" s="3635">
        <f t="shared" si="46"/>
        <v>46317.830540533163</v>
      </c>
      <c r="CB67" s="3634">
        <f t="shared" si="46"/>
        <v>63672.865484925642</v>
      </c>
    </row>
    <row r="68" spans="18:80">
      <c r="R68" s="3469">
        <f t="shared" si="11"/>
        <v>63</v>
      </c>
      <c r="S68" s="3470" t="s">
        <v>3111</v>
      </c>
      <c r="T68" s="3471" t="s">
        <v>3262</v>
      </c>
      <c r="U68" s="3472">
        <v>169614</v>
      </c>
      <c r="V68" s="3472">
        <v>0</v>
      </c>
      <c r="W68" s="3472">
        <v>0</v>
      </c>
      <c r="X68" s="3473">
        <f t="shared" si="45"/>
        <v>343.06892940676158</v>
      </c>
      <c r="Y68" s="3473">
        <f t="shared" si="45"/>
        <v>0</v>
      </c>
      <c r="Z68" s="3473">
        <f t="shared" si="45"/>
        <v>0</v>
      </c>
      <c r="AA68" s="3486">
        <v>0</v>
      </c>
      <c r="AB68" s="3486">
        <v>0</v>
      </c>
      <c r="AC68" s="3486">
        <v>0</v>
      </c>
      <c r="AD68" s="3487">
        <v>0</v>
      </c>
      <c r="AE68" s="3487">
        <v>0</v>
      </c>
      <c r="AF68" s="3487">
        <v>0</v>
      </c>
      <c r="AG68" s="3487">
        <v>0</v>
      </c>
      <c r="AH68" s="3487">
        <v>0</v>
      </c>
      <c r="AI68" s="3487">
        <v>0</v>
      </c>
      <c r="AJ68" s="3488"/>
      <c r="AK68" s="3477" t="s">
        <v>3123</v>
      </c>
      <c r="AL68" s="3477" t="s">
        <v>839</v>
      </c>
      <c r="AM68" s="3477" t="s">
        <v>839</v>
      </c>
      <c r="AN68" s="3478">
        <f t="shared" si="30"/>
        <v>161.01966329836017</v>
      </c>
      <c r="AO68" s="3478">
        <f t="shared" si="31"/>
        <v>50.970305515807631</v>
      </c>
      <c r="AP68" s="3478">
        <f t="shared" si="32"/>
        <v>0</v>
      </c>
      <c r="AQ68" s="3478">
        <f t="shared" si="33"/>
        <v>0</v>
      </c>
      <c r="AR68" s="3478">
        <f t="shared" si="34"/>
        <v>0</v>
      </c>
      <c r="AS68" s="3478">
        <f t="shared" si="35"/>
        <v>0</v>
      </c>
      <c r="AT68" s="3478">
        <f t="shared" si="17"/>
        <v>0</v>
      </c>
      <c r="AU68" s="3478">
        <f t="shared" si="18"/>
        <v>0</v>
      </c>
      <c r="AV68" s="3478">
        <f t="shared" si="19"/>
        <v>0</v>
      </c>
      <c r="AW68" s="3478">
        <f t="shared" si="20"/>
        <v>0</v>
      </c>
      <c r="AX68" s="3479" t="s">
        <v>3263</v>
      </c>
      <c r="AY68" s="3480">
        <f t="shared" si="12"/>
        <v>63</v>
      </c>
      <c r="AZ68" s="3480"/>
      <c r="BC68" s="3619"/>
      <c r="BD68" s="3549" t="s">
        <v>3384</v>
      </c>
      <c r="BE68" s="3635">
        <f t="shared" ref="BE68:CB68" si="47">BE59*BE40</f>
        <v>0</v>
      </c>
      <c r="BF68" s="3635">
        <f t="shared" si="47"/>
        <v>0</v>
      </c>
      <c r="BG68" s="3635">
        <f t="shared" si="47"/>
        <v>0</v>
      </c>
      <c r="BH68" s="3635">
        <f t="shared" si="47"/>
        <v>0</v>
      </c>
      <c r="BI68" s="3635">
        <f t="shared" si="47"/>
        <v>0</v>
      </c>
      <c r="BJ68" s="3635">
        <f t="shared" si="47"/>
        <v>0</v>
      </c>
      <c r="BK68" s="3635">
        <f t="shared" si="47"/>
        <v>0</v>
      </c>
      <c r="BL68" s="3635">
        <f t="shared" si="47"/>
        <v>0</v>
      </c>
      <c r="BM68" s="3635">
        <f t="shared" si="47"/>
        <v>0</v>
      </c>
      <c r="BN68" s="3635">
        <f t="shared" si="47"/>
        <v>0</v>
      </c>
      <c r="BO68" s="3635">
        <f t="shared" si="47"/>
        <v>0</v>
      </c>
      <c r="BP68" s="3635">
        <f t="shared" si="47"/>
        <v>0</v>
      </c>
      <c r="BQ68" s="3635">
        <f t="shared" si="47"/>
        <v>0</v>
      </c>
      <c r="BR68" s="3635">
        <f t="shared" si="47"/>
        <v>0</v>
      </c>
      <c r="BS68" s="3635">
        <f t="shared" si="47"/>
        <v>0</v>
      </c>
      <c r="BT68" s="3635">
        <f t="shared" si="47"/>
        <v>0</v>
      </c>
      <c r="BU68" s="3635">
        <f t="shared" si="47"/>
        <v>0</v>
      </c>
      <c r="BV68" s="3635">
        <f t="shared" si="47"/>
        <v>0</v>
      </c>
      <c r="BW68" s="3635">
        <f t="shared" si="47"/>
        <v>0</v>
      </c>
      <c r="BX68" s="3635">
        <f t="shared" si="47"/>
        <v>0</v>
      </c>
      <c r="BY68" s="3635">
        <f t="shared" si="47"/>
        <v>0</v>
      </c>
      <c r="BZ68" s="3635">
        <f t="shared" si="47"/>
        <v>0</v>
      </c>
      <c r="CA68" s="3635">
        <f t="shared" si="47"/>
        <v>0</v>
      </c>
      <c r="CB68" s="3634">
        <f t="shared" si="47"/>
        <v>0</v>
      </c>
    </row>
    <row r="69" spans="18:80" ht="37.5">
      <c r="R69" s="3469">
        <f t="shared" si="11"/>
        <v>64</v>
      </c>
      <c r="S69" s="3470" t="s">
        <v>3100</v>
      </c>
      <c r="T69" s="3471" t="s">
        <v>3264</v>
      </c>
      <c r="U69" s="3472">
        <v>1364878</v>
      </c>
      <c r="V69" s="3472">
        <v>24099250</v>
      </c>
      <c r="W69" s="3472">
        <v>700000</v>
      </c>
      <c r="X69" s="3473">
        <f t="shared" si="45"/>
        <v>2760.663826281097</v>
      </c>
      <c r="Y69" s="3473">
        <f t="shared" si="45"/>
        <v>48744.230411439501</v>
      </c>
      <c r="Z69" s="3473">
        <f t="shared" si="45"/>
        <v>1415.8515840952582</v>
      </c>
      <c r="AA69" s="3486">
        <v>0</v>
      </c>
      <c r="AB69" s="3486">
        <v>0</v>
      </c>
      <c r="AC69" s="3486">
        <v>0</v>
      </c>
      <c r="AD69" s="3487">
        <v>0</v>
      </c>
      <c r="AE69" s="3487">
        <f>80000+120000+85000</f>
        <v>285000</v>
      </c>
      <c r="AF69" s="3487">
        <v>0</v>
      </c>
      <c r="AG69" s="3487">
        <v>0</v>
      </c>
      <c r="AH69" s="3487">
        <v>0</v>
      </c>
      <c r="AI69" s="3487">
        <v>255000</v>
      </c>
      <c r="AJ69" s="3488"/>
      <c r="AK69" s="3477"/>
      <c r="AL69" s="3477" t="s">
        <v>3088</v>
      </c>
      <c r="AM69" s="3477" t="s">
        <v>3151</v>
      </c>
      <c r="AN69" s="3478">
        <f t="shared" si="30"/>
        <v>1848.0711852273548</v>
      </c>
      <c r="AO69" s="3478">
        <f t="shared" si="31"/>
        <v>0</v>
      </c>
      <c r="AP69" s="3478">
        <f t="shared" si="32"/>
        <v>32630.850164329942</v>
      </c>
      <c r="AQ69" s="3478">
        <f t="shared" si="33"/>
        <v>0</v>
      </c>
      <c r="AR69" s="3478">
        <f t="shared" si="34"/>
        <v>947.81352594088867</v>
      </c>
      <c r="AS69" s="3478">
        <f t="shared" si="35"/>
        <v>0</v>
      </c>
      <c r="AT69" s="3478">
        <f t="shared" si="17"/>
        <v>0</v>
      </c>
      <c r="AU69" s="3478">
        <f t="shared" si="18"/>
        <v>0</v>
      </c>
      <c r="AV69" s="3478">
        <f t="shared" si="19"/>
        <v>190787.55</v>
      </c>
      <c r="AW69" s="3478">
        <f t="shared" si="20"/>
        <v>0</v>
      </c>
      <c r="AX69" s="3479" t="s">
        <v>3265</v>
      </c>
      <c r="AY69" s="3480">
        <f t="shared" si="12"/>
        <v>64</v>
      </c>
      <c r="AZ69" s="3480"/>
      <c r="BC69" s="3619"/>
      <c r="BD69" s="3549" t="s">
        <v>3388</v>
      </c>
      <c r="BE69" s="3635">
        <f t="shared" ref="BE69:CB69" si="48">BE60*BE41</f>
        <v>-439298.65245432366</v>
      </c>
      <c r="BF69" s="3635">
        <f t="shared" si="48"/>
        <v>-397231.23810364824</v>
      </c>
      <c r="BG69" s="3635">
        <f t="shared" si="48"/>
        <v>-357593.81376062834</v>
      </c>
      <c r="BH69" s="3635">
        <f t="shared" si="48"/>
        <v>-248859.94344318623</v>
      </c>
      <c r="BI69" s="3635">
        <f t="shared" si="48"/>
        <v>-160699.73728189289</v>
      </c>
      <c r="BJ69" s="3635">
        <f t="shared" si="48"/>
        <v>-101499.8118068522</v>
      </c>
      <c r="BK69" s="3635">
        <f t="shared" si="48"/>
        <v>-54726.820693892536</v>
      </c>
      <c r="BL69" s="3635">
        <f t="shared" si="48"/>
        <v>-31461.194642498038</v>
      </c>
      <c r="BM69" s="3635">
        <f t="shared" si="48"/>
        <v>-51610.868521243334</v>
      </c>
      <c r="BN69" s="3635">
        <f t="shared" si="48"/>
        <v>-157842.31197291499</v>
      </c>
      <c r="BO69" s="3635">
        <f t="shared" si="48"/>
        <v>-328149.41102797596</v>
      </c>
      <c r="BP69" s="3635">
        <f t="shared" si="48"/>
        <v>-462168.19331310148</v>
      </c>
      <c r="BQ69" s="3635">
        <f t="shared" si="48"/>
        <v>-439292.46184600523</v>
      </c>
      <c r="BR69" s="3635">
        <f t="shared" si="48"/>
        <v>-396998.4018662186</v>
      </c>
      <c r="BS69" s="3635">
        <f t="shared" si="48"/>
        <v>-357553.64457070141</v>
      </c>
      <c r="BT69" s="3635">
        <f t="shared" si="48"/>
        <v>-248254.51934815547</v>
      </c>
      <c r="BU69" s="3635">
        <f t="shared" si="48"/>
        <v>-160085.01374022895</v>
      </c>
      <c r="BV69" s="3635">
        <f t="shared" si="48"/>
        <v>-101045.56337638907</v>
      </c>
      <c r="BW69" s="3635">
        <f t="shared" si="48"/>
        <v>-54539.72798560575</v>
      </c>
      <c r="BX69" s="3635">
        <f t="shared" si="48"/>
        <v>-31482.282149208022</v>
      </c>
      <c r="BY69" s="3635">
        <f t="shared" si="48"/>
        <v>-51736.192018956877</v>
      </c>
      <c r="BZ69" s="3635">
        <f t="shared" si="48"/>
        <v>-158855.83052260688</v>
      </c>
      <c r="CA69" s="3635">
        <f t="shared" si="48"/>
        <v>-328101.31829164759</v>
      </c>
      <c r="CB69" s="3634">
        <f t="shared" si="48"/>
        <v>-462475.49204493687</v>
      </c>
    </row>
    <row r="70" spans="18:80">
      <c r="R70" s="3469">
        <f t="shared" si="11"/>
        <v>65</v>
      </c>
      <c r="S70" s="3470" t="s">
        <v>3086</v>
      </c>
      <c r="T70" s="3471" t="s">
        <v>3266</v>
      </c>
      <c r="U70" s="3472">
        <v>285728</v>
      </c>
      <c r="V70" s="3472">
        <v>0</v>
      </c>
      <c r="W70" s="3472">
        <v>0</v>
      </c>
      <c r="X70" s="3473">
        <f t="shared" si="45"/>
        <v>577.92634488624287</v>
      </c>
      <c r="Y70" s="3473">
        <f t="shared" si="45"/>
        <v>0</v>
      </c>
      <c r="Z70" s="3473">
        <f t="shared" si="45"/>
        <v>0</v>
      </c>
      <c r="AA70" s="3474"/>
      <c r="AB70" s="3474"/>
      <c r="AC70" s="3474"/>
      <c r="AD70" s="3475"/>
      <c r="AE70" s="3475"/>
      <c r="AF70" s="3475"/>
      <c r="AG70" s="3475"/>
      <c r="AH70" s="3475"/>
      <c r="AI70" s="3475"/>
      <c r="AJ70" s="3476"/>
      <c r="AK70" s="3476"/>
      <c r="AL70" s="3476" t="s">
        <v>3088</v>
      </c>
      <c r="AM70" s="3476" t="s">
        <v>3089</v>
      </c>
      <c r="AN70" s="3478">
        <f t="shared" si="30"/>
        <v>372.18456610674042</v>
      </c>
      <c r="AO70" s="3478">
        <f t="shared" si="31"/>
        <v>0</v>
      </c>
      <c r="AP70" s="3478">
        <f t="shared" si="32"/>
        <v>0</v>
      </c>
      <c r="AQ70" s="3478">
        <f t="shared" si="33"/>
        <v>0</v>
      </c>
      <c r="AR70" s="3478">
        <f t="shared" si="34"/>
        <v>0</v>
      </c>
      <c r="AS70" s="3478">
        <f t="shared" si="35"/>
        <v>0</v>
      </c>
      <c r="AT70" s="2036"/>
      <c r="AU70" s="2036"/>
      <c r="AV70" s="2036"/>
      <c r="AW70" s="2036"/>
      <c r="AX70" s="3479" t="s">
        <v>3090</v>
      </c>
      <c r="AY70" s="3480">
        <f t="shared" si="12"/>
        <v>65</v>
      </c>
      <c r="AZ70" s="3480"/>
      <c r="BC70" s="3619"/>
      <c r="BD70" s="3549" t="s">
        <v>3390</v>
      </c>
      <c r="BE70" s="3635">
        <f t="shared" ref="BE70:CB70" si="49">BE61*BE42</f>
        <v>0</v>
      </c>
      <c r="BF70" s="3635">
        <f t="shared" si="49"/>
        <v>0</v>
      </c>
      <c r="BG70" s="3635">
        <f t="shared" si="49"/>
        <v>0</v>
      </c>
      <c r="BH70" s="3635">
        <f t="shared" si="49"/>
        <v>0</v>
      </c>
      <c r="BI70" s="3635">
        <f t="shared" si="49"/>
        <v>0</v>
      </c>
      <c r="BJ70" s="3635">
        <f t="shared" si="49"/>
        <v>0</v>
      </c>
      <c r="BK70" s="3635">
        <f t="shared" si="49"/>
        <v>0</v>
      </c>
      <c r="BL70" s="3635">
        <f t="shared" si="49"/>
        <v>0</v>
      </c>
      <c r="BM70" s="3635">
        <f t="shared" si="49"/>
        <v>0</v>
      </c>
      <c r="BN70" s="3635">
        <f t="shared" si="49"/>
        <v>0</v>
      </c>
      <c r="BO70" s="3635">
        <f t="shared" si="49"/>
        <v>0</v>
      </c>
      <c r="BP70" s="3635">
        <f t="shared" si="49"/>
        <v>0</v>
      </c>
      <c r="BQ70" s="3635">
        <f t="shared" si="49"/>
        <v>0</v>
      </c>
      <c r="BR70" s="3635">
        <f t="shared" si="49"/>
        <v>0</v>
      </c>
      <c r="BS70" s="3635">
        <f t="shared" si="49"/>
        <v>0</v>
      </c>
      <c r="BT70" s="3635">
        <f t="shared" si="49"/>
        <v>0</v>
      </c>
      <c r="BU70" s="3635">
        <f t="shared" si="49"/>
        <v>0</v>
      </c>
      <c r="BV70" s="3635">
        <f t="shared" si="49"/>
        <v>0</v>
      </c>
      <c r="BW70" s="3635">
        <f t="shared" si="49"/>
        <v>0</v>
      </c>
      <c r="BX70" s="3635">
        <f t="shared" si="49"/>
        <v>0</v>
      </c>
      <c r="BY70" s="3635">
        <f t="shared" si="49"/>
        <v>0</v>
      </c>
      <c r="BZ70" s="3635">
        <f t="shared" si="49"/>
        <v>0</v>
      </c>
      <c r="CA70" s="3635">
        <f t="shared" si="49"/>
        <v>0</v>
      </c>
      <c r="CB70" s="3634">
        <f t="shared" si="49"/>
        <v>0</v>
      </c>
    </row>
    <row r="71" spans="18:80" ht="25">
      <c r="R71" s="3469">
        <f t="shared" ref="R71:R122" si="50">R70+1</f>
        <v>66</v>
      </c>
      <c r="S71" s="3470" t="s">
        <v>3086</v>
      </c>
      <c r="T71" s="3471" t="s">
        <v>3267</v>
      </c>
      <c r="U71" s="3472">
        <v>0</v>
      </c>
      <c r="V71" s="3472">
        <v>5000000</v>
      </c>
      <c r="W71" s="3472">
        <v>25800000</v>
      </c>
      <c r="X71" s="3473">
        <f t="shared" si="45"/>
        <v>0</v>
      </c>
      <c r="Y71" s="3473">
        <f t="shared" si="45"/>
        <v>10113.225600680416</v>
      </c>
      <c r="Z71" s="3473">
        <f t="shared" si="45"/>
        <v>52184.24409951095</v>
      </c>
      <c r="AA71" s="3486">
        <v>0</v>
      </c>
      <c r="AB71" s="3486">
        <v>0</v>
      </c>
      <c r="AC71" s="3486">
        <v>0</v>
      </c>
      <c r="AD71" s="3487">
        <v>0</v>
      </c>
      <c r="AE71" s="3487">
        <v>0</v>
      </c>
      <c r="AF71" s="3487">
        <v>0</v>
      </c>
      <c r="AG71" s="3487">
        <v>0</v>
      </c>
      <c r="AH71" s="3487">
        <v>0</v>
      </c>
      <c r="AI71" s="3487">
        <v>0</v>
      </c>
      <c r="AJ71" s="3488"/>
      <c r="AK71" s="3477"/>
      <c r="AL71" s="3477" t="s">
        <v>3088</v>
      </c>
      <c r="AM71" s="3477" t="s">
        <v>3089</v>
      </c>
      <c r="AN71" s="3478">
        <f t="shared" si="30"/>
        <v>0</v>
      </c>
      <c r="AO71" s="3478">
        <f t="shared" si="31"/>
        <v>0</v>
      </c>
      <c r="AP71" s="3478">
        <f t="shared" si="32"/>
        <v>6512.9172868381884</v>
      </c>
      <c r="AQ71" s="3478">
        <f t="shared" si="33"/>
        <v>0</v>
      </c>
      <c r="AR71" s="3478">
        <f t="shared" si="34"/>
        <v>33606.653200085049</v>
      </c>
      <c r="AS71" s="3478">
        <f t="shared" si="35"/>
        <v>0</v>
      </c>
      <c r="AT71" s="3478">
        <f>IF($AM71=$AG$129,(AD71)*$AH$129,IF($AM71=$AG$130,(AD71)*$AH$130,IF($AM71=$AG$131,(AD71)*$AH$131,IF($AM71=$AG$134,(AD71)*$AH$134,IF($AM71=$AG$135,(AD71)*$AH$135,IF($AM71=$AG$136,(AD71)*$AH$136,IF(AM71=$AM$10,0,0)))))))</f>
        <v>0</v>
      </c>
      <c r="AU71" s="3478">
        <f>IF($AM71=$AG$129,(AD71)*$AI$129,IF($AM71=$AG$130,(AD71)*$AI$130,IF($AM71=$AG$131,(AD71)*$AI$131,IF($AM71=$AG$134,(AD71)*$AI$134,IF($AM71=$AG$135,(AD71)*$AI$135,IF($AM71=$AG$136,(AD71)*$AI$136,IF(AM71=$AM$10,0,0)))))))</f>
        <v>0</v>
      </c>
      <c r="AV71" s="3478">
        <f>IF($AM71=$AG$129,(AE71)*$AH$129,IF($AM71=$AG$130,(AE71)*$AH$130,IF($AM71=$AG$131,(AE71)*$AH$131,IF($AM71=$AG$134,(AE71)*$AH$134,IF($AM71=$AG$135,(AE71)*$AH$135,IF($AM71=$AG$136,(AE71)*$AH$136,IF(AM71=$AM$10,0,0)))))))</f>
        <v>0</v>
      </c>
      <c r="AW71" s="3478">
        <f>IF($AM71=$AG$129,(AE71)*$AI$129,IF($AM71=$AG$130,(AE71)*$AI$130,IF($AM71=$AG$131,(AE71)*$AI$131,IF($AM71=$AG$134,(AE71)*$AI$134,IF($AM71=$AG$135,(AE71)*$AI$135,IF($AM71=$AG$136,(AE71)*$AI$136,IF(AM71=$AM$10,0,0)))))))</f>
        <v>0</v>
      </c>
      <c r="AX71" s="3479" t="s">
        <v>3090</v>
      </c>
      <c r="AY71" s="3480">
        <f t="shared" ref="AY71:AY122" si="51">AY70+1</f>
        <v>66</v>
      </c>
      <c r="AZ71" s="3480"/>
      <c r="BC71" s="3619"/>
      <c r="BD71" s="3549" t="s">
        <v>3387</v>
      </c>
      <c r="BE71" s="3635">
        <f t="shared" ref="BE71:CB71" si="52">BE62*BE43</f>
        <v>-6002.1078548835503</v>
      </c>
      <c r="BF71" s="3635">
        <f t="shared" si="52"/>
        <v>-5173.0562135151613</v>
      </c>
      <c r="BG71" s="3635">
        <f t="shared" si="52"/>
        <v>-4465.8067151175701</v>
      </c>
      <c r="BH71" s="3635">
        <f t="shared" si="52"/>
        <v>-3536.973590534431</v>
      </c>
      <c r="BI71" s="3635">
        <f t="shared" si="52"/>
        <v>-2478.3885114144832</v>
      </c>
      <c r="BJ71" s="3635">
        <f t="shared" si="52"/>
        <v>-2413.0398410601733</v>
      </c>
      <c r="BK71" s="3635">
        <f t="shared" si="52"/>
        <v>-2406.607959548709</v>
      </c>
      <c r="BL71" s="3635">
        <f t="shared" si="52"/>
        <v>-2564.8021571020276</v>
      </c>
      <c r="BM71" s="3635">
        <f t="shared" si="52"/>
        <v>-3216.7300704578147</v>
      </c>
      <c r="BN71" s="3635">
        <f t="shared" si="52"/>
        <v>-5529.5847609678549</v>
      </c>
      <c r="BO71" s="3635">
        <f t="shared" si="52"/>
        <v>-6700.755597850467</v>
      </c>
      <c r="BP71" s="3635">
        <f t="shared" si="52"/>
        <v>-6580.8174828967321</v>
      </c>
      <c r="BQ71" s="3635">
        <f t="shared" si="52"/>
        <v>-6002.0232730196931</v>
      </c>
      <c r="BR71" s="3635">
        <f t="shared" si="52"/>
        <v>-5170.0240377212413</v>
      </c>
      <c r="BS71" s="3635">
        <f t="shared" si="52"/>
        <v>-4465.3050625967117</v>
      </c>
      <c r="BT71" s="3635">
        <f t="shared" si="52"/>
        <v>-3528.3688749439289</v>
      </c>
      <c r="BU71" s="3635">
        <f t="shared" si="52"/>
        <v>-2468.9079497836738</v>
      </c>
      <c r="BV71" s="3635">
        <f t="shared" si="52"/>
        <v>-2402.2406135450287</v>
      </c>
      <c r="BW71" s="3635">
        <f t="shared" si="52"/>
        <v>-2398.3805713096776</v>
      </c>
      <c r="BX71" s="3635">
        <f t="shared" si="52"/>
        <v>-2566.5212680039576</v>
      </c>
      <c r="BY71" s="3635">
        <f t="shared" si="52"/>
        <v>-3224.5410582435397</v>
      </c>
      <c r="BZ71" s="3635">
        <f t="shared" si="52"/>
        <v>-5565.0906823984542</v>
      </c>
      <c r="CA71" s="3635">
        <f t="shared" si="52"/>
        <v>-6699.7735522903113</v>
      </c>
      <c r="CB71" s="3634">
        <f t="shared" si="52"/>
        <v>-6585.1931125834863</v>
      </c>
    </row>
    <row r="72" spans="18:80">
      <c r="R72" s="3469">
        <f t="shared" si="50"/>
        <v>67</v>
      </c>
      <c r="S72" s="3470" t="s">
        <v>3086</v>
      </c>
      <c r="T72" s="3471" t="s">
        <v>3268</v>
      </c>
      <c r="U72" s="3472">
        <v>703845</v>
      </c>
      <c r="V72" s="3472">
        <v>0</v>
      </c>
      <c r="W72" s="3472">
        <v>0</v>
      </c>
      <c r="X72" s="3473">
        <f t="shared" si="45"/>
        <v>1423.6286545821815</v>
      </c>
      <c r="Y72" s="3473">
        <f t="shared" si="45"/>
        <v>0</v>
      </c>
      <c r="Z72" s="3473">
        <f t="shared" si="45"/>
        <v>0</v>
      </c>
      <c r="AA72" s="3474"/>
      <c r="AB72" s="3474"/>
      <c r="AC72" s="3474"/>
      <c r="AD72" s="3475"/>
      <c r="AE72" s="3475"/>
      <c r="AF72" s="3475"/>
      <c r="AG72" s="3475"/>
      <c r="AH72" s="3475"/>
      <c r="AI72" s="3475"/>
      <c r="AJ72" s="3476"/>
      <c r="AK72" s="3476"/>
      <c r="AL72" s="3476" t="s">
        <v>3088</v>
      </c>
      <c r="AM72" s="3477" t="s">
        <v>3089</v>
      </c>
      <c r="AN72" s="3478">
        <f t="shared" si="30"/>
        <v>916.81685355092498</v>
      </c>
      <c r="AO72" s="3478">
        <f t="shared" si="31"/>
        <v>0</v>
      </c>
      <c r="AP72" s="3478">
        <f t="shared" si="32"/>
        <v>0</v>
      </c>
      <c r="AQ72" s="3478">
        <f t="shared" si="33"/>
        <v>0</v>
      </c>
      <c r="AR72" s="3478">
        <f t="shared" si="34"/>
        <v>0</v>
      </c>
      <c r="AS72" s="3478">
        <f t="shared" si="35"/>
        <v>0</v>
      </c>
      <c r="AT72" s="2036"/>
      <c r="AU72" s="2036"/>
      <c r="AV72" s="2036"/>
      <c r="AW72" s="2036"/>
      <c r="AX72" s="3479" t="s">
        <v>3090</v>
      </c>
      <c r="AY72" s="3480">
        <f t="shared" si="51"/>
        <v>67</v>
      </c>
      <c r="AZ72" s="3480"/>
      <c r="BC72" s="3619"/>
      <c r="BD72" s="3549" t="s">
        <v>3386</v>
      </c>
      <c r="BE72" s="3635">
        <f t="shared" ref="BE72:CB72" si="53">BE63*BE44</f>
        <v>241955.49473684211</v>
      </c>
      <c r="BF72" s="3635">
        <f t="shared" si="53"/>
        <v>272726.65789473685</v>
      </c>
      <c r="BG72" s="3635">
        <f t="shared" si="53"/>
        <v>270802.46052631579</v>
      </c>
      <c r="BH72" s="3635">
        <f t="shared" si="53"/>
        <v>256264.06578947368</v>
      </c>
      <c r="BI72" s="3635">
        <f t="shared" si="53"/>
        <v>228746.14473684211</v>
      </c>
      <c r="BJ72" s="3635">
        <f t="shared" si="53"/>
        <v>205534.13157894736</v>
      </c>
      <c r="BK72" s="3635">
        <f t="shared" si="53"/>
        <v>179376.97368421053</v>
      </c>
      <c r="BL72" s="3635">
        <f t="shared" si="53"/>
        <v>167162.35526315792</v>
      </c>
      <c r="BM72" s="3635">
        <f t="shared" si="53"/>
        <v>157993.31578947365</v>
      </c>
      <c r="BN72" s="3635">
        <f t="shared" si="53"/>
        <v>163861.85526315789</v>
      </c>
      <c r="BO72" s="3635">
        <f t="shared" si="53"/>
        <v>187831.76315789475</v>
      </c>
      <c r="BP72" s="3635">
        <f t="shared" si="53"/>
        <v>222550.82910526314</v>
      </c>
      <c r="BQ72" s="3635">
        <f t="shared" si="53"/>
        <v>242923.62631578947</v>
      </c>
      <c r="BR72" s="3635">
        <f t="shared" si="53"/>
        <v>272117.97368421056</v>
      </c>
      <c r="BS72" s="3635">
        <f t="shared" si="53"/>
        <v>269319.51315789472</v>
      </c>
      <c r="BT72" s="3635">
        <f t="shared" si="53"/>
        <v>254247.11842105264</v>
      </c>
      <c r="BU72" s="3635">
        <f t="shared" si="53"/>
        <v>230570.69736842107</v>
      </c>
      <c r="BV72" s="3635">
        <f t="shared" si="53"/>
        <v>212006.23684210528</v>
      </c>
      <c r="BW72" s="3635">
        <f t="shared" si="53"/>
        <v>186219.97368421053</v>
      </c>
      <c r="BX72" s="3635">
        <f t="shared" si="53"/>
        <v>170597.6710526316</v>
      </c>
      <c r="BY72" s="3635">
        <f t="shared" si="53"/>
        <v>162621.52631578947</v>
      </c>
      <c r="BZ72" s="3635">
        <f t="shared" si="53"/>
        <v>167338.85526315789</v>
      </c>
      <c r="CA72" s="3635">
        <f t="shared" si="53"/>
        <v>187434.26315789475</v>
      </c>
      <c r="CB72" s="3634">
        <f t="shared" si="53"/>
        <v>225404.14489473682</v>
      </c>
    </row>
    <row r="73" spans="18:80" ht="44" thickBot="1">
      <c r="R73" s="3469">
        <f t="shared" si="50"/>
        <v>68</v>
      </c>
      <c r="S73" s="3470" t="s">
        <v>3111</v>
      </c>
      <c r="T73" s="3471" t="s">
        <v>3269</v>
      </c>
      <c r="U73" s="3472">
        <v>716783</v>
      </c>
      <c r="V73" s="3472">
        <v>0</v>
      </c>
      <c r="W73" s="3472">
        <v>0</v>
      </c>
      <c r="X73" s="3473">
        <f t="shared" si="45"/>
        <v>1449.7976371465022</v>
      </c>
      <c r="Y73" s="3473">
        <f t="shared" si="45"/>
        <v>0</v>
      </c>
      <c r="Z73" s="3473">
        <f t="shared" si="45"/>
        <v>0</v>
      </c>
      <c r="AA73" s="3486">
        <v>0</v>
      </c>
      <c r="AB73" s="3486">
        <v>0</v>
      </c>
      <c r="AC73" s="3486">
        <v>0</v>
      </c>
      <c r="AD73" s="3487">
        <v>8000</v>
      </c>
      <c r="AE73" s="3487">
        <v>8000</v>
      </c>
      <c r="AF73" s="3487">
        <v>0</v>
      </c>
      <c r="AG73" s="3487">
        <v>0</v>
      </c>
      <c r="AH73" s="3487">
        <v>0</v>
      </c>
      <c r="AI73" s="3487">
        <v>0</v>
      </c>
      <c r="AJ73" s="3488" t="s">
        <v>3166</v>
      </c>
      <c r="AK73" s="3477" t="s">
        <v>3123</v>
      </c>
      <c r="AL73" s="3477" t="s">
        <v>3088</v>
      </c>
      <c r="AM73" s="3477" t="s">
        <v>3151</v>
      </c>
      <c r="AN73" s="3478">
        <f t="shared" si="30"/>
        <v>970.53803223498289</v>
      </c>
      <c r="AO73" s="3478">
        <f t="shared" si="31"/>
        <v>0</v>
      </c>
      <c r="AP73" s="3478">
        <f t="shared" si="32"/>
        <v>0</v>
      </c>
      <c r="AQ73" s="3478">
        <f t="shared" si="33"/>
        <v>0</v>
      </c>
      <c r="AR73" s="3478">
        <f t="shared" si="34"/>
        <v>0</v>
      </c>
      <c r="AS73" s="3478">
        <f t="shared" si="35"/>
        <v>0</v>
      </c>
      <c r="AT73" s="3478">
        <f t="shared" ref="AT73:AT88" si="54">IF($AM73=$AG$129,(AD73)*$AH$129,IF($AM73=$AG$130,(AD73)*$AH$130,IF($AM73=$AG$131,(AD73)*$AH$131,IF($AM73=$AG$134,(AD73)*$AH$134,IF($AM73=$AG$135,(AD73)*$AH$135,IF($AM73=$AG$136,(AD73)*$AH$136,IF(AM73=$AM$10,0,0)))))))</f>
        <v>5355.44</v>
      </c>
      <c r="AU73" s="3478">
        <f t="shared" ref="AU73:AU88" si="55">IF($AM73=$AG$129,(AD73)*$AI$129,IF($AM73=$AG$130,(AD73)*$AI$130,IF($AM73=$AG$131,(AD73)*$AI$131,IF($AM73=$AG$134,(AD73)*$AI$134,IF($AM73=$AG$135,(AD73)*$AI$135,IF($AM73=$AG$136,(AD73)*$AI$136,IF(AM73=$AM$10,0,0)))))))</f>
        <v>0</v>
      </c>
      <c r="AV73" s="3478">
        <f t="shared" ref="AV73:AV122" si="56">IF($AM73=$AG$129,(AE73)*$AH$129,IF($AM73=$AG$130,(AE73)*$AH$130,IF($AM73=$AG$131,(AE73)*$AH$131,IF($AM73=$AG$134,(AE73)*$AH$134,IF($AM73=$AG$135,(AE73)*$AH$135,IF($AM73=$AG$136,(AE73)*$AH$136,IF(AM73=$AM$10,0,0)))))))</f>
        <v>5355.44</v>
      </c>
      <c r="AW73" s="3478">
        <f t="shared" ref="AW73:AW122" si="57">IF($AM73=$AG$129,(AE73)*$AI$129,IF($AM73=$AG$130,(AE73)*$AI$130,IF($AM73=$AG$131,(AE73)*$AI$131,IF($AM73=$AG$134,(AE73)*$AI$134,IF($AM73=$AG$135,(AE73)*$AI$135,IF($AM73=$AG$136,(AE73)*$AI$136,IF(AM73=$AM$10,0,0)))))))</f>
        <v>0</v>
      </c>
      <c r="AX73" s="3498" t="s">
        <v>3270</v>
      </c>
      <c r="AY73" s="3480">
        <f t="shared" si="51"/>
        <v>68</v>
      </c>
      <c r="AZ73" s="3480"/>
      <c r="BC73" s="3617"/>
      <c r="BD73" s="3556"/>
      <c r="BE73" s="3655"/>
      <c r="BF73" s="3655"/>
      <c r="BG73" s="3655"/>
      <c r="BH73" s="3655"/>
      <c r="BI73" s="3655"/>
      <c r="BJ73" s="3655"/>
      <c r="BK73" s="3655"/>
      <c r="BL73" s="3655"/>
      <c r="BM73" s="3655"/>
      <c r="BN73" s="3655"/>
      <c r="BO73" s="3655"/>
      <c r="BP73" s="3655"/>
      <c r="BQ73" s="3655"/>
      <c r="BR73" s="3655"/>
      <c r="BS73" s="3655"/>
      <c r="BT73" s="3655"/>
      <c r="BU73" s="3655"/>
      <c r="BV73" s="3655"/>
      <c r="BW73" s="3655"/>
      <c r="BX73" s="3655"/>
      <c r="BY73" s="3655"/>
      <c r="BZ73" s="3655"/>
      <c r="CA73" s="3655"/>
      <c r="CB73" s="3654"/>
    </row>
    <row r="74" spans="18:80" ht="29">
      <c r="R74" s="3469">
        <f t="shared" si="50"/>
        <v>69</v>
      </c>
      <c r="S74" s="3470" t="s">
        <v>3111</v>
      </c>
      <c r="T74" s="3471" t="s">
        <v>3271</v>
      </c>
      <c r="U74" s="3472">
        <v>700000</v>
      </c>
      <c r="V74" s="3472">
        <v>700000</v>
      </c>
      <c r="W74" s="3472">
        <v>701014</v>
      </c>
      <c r="X74" s="3495" t="s">
        <v>3106</v>
      </c>
      <c r="Y74" s="3495" t="s">
        <v>3106</v>
      </c>
      <c r="Z74" s="3495" t="s">
        <v>3106</v>
      </c>
      <c r="AA74" s="3486">
        <v>0</v>
      </c>
      <c r="AB74" s="3486">
        <v>0</v>
      </c>
      <c r="AC74" s="3486">
        <v>0</v>
      </c>
      <c r="AD74" s="3487">
        <v>0</v>
      </c>
      <c r="AE74" s="3487">
        <v>0</v>
      </c>
      <c r="AF74" s="3487">
        <v>0</v>
      </c>
      <c r="AG74" s="3487">
        <v>0</v>
      </c>
      <c r="AH74" s="3487">
        <v>0</v>
      </c>
      <c r="AI74" s="3487">
        <v>0</v>
      </c>
      <c r="AJ74" s="3488" t="s">
        <v>3117</v>
      </c>
      <c r="AK74" s="3477"/>
      <c r="AL74" s="3477" t="s">
        <v>839</v>
      </c>
      <c r="AM74" s="3477" t="s">
        <v>3108</v>
      </c>
      <c r="AN74" s="3478">
        <f t="shared" si="30"/>
        <v>0</v>
      </c>
      <c r="AO74" s="3478">
        <f t="shared" si="31"/>
        <v>0</v>
      </c>
      <c r="AP74" s="3478">
        <f t="shared" si="32"/>
        <v>0</v>
      </c>
      <c r="AQ74" s="3478">
        <f t="shared" si="33"/>
        <v>0</v>
      </c>
      <c r="AR74" s="3478">
        <f t="shared" si="34"/>
        <v>0</v>
      </c>
      <c r="AS74" s="3478">
        <f t="shared" si="35"/>
        <v>0</v>
      </c>
      <c r="AT74" s="3478">
        <f t="shared" si="54"/>
        <v>0</v>
      </c>
      <c r="AU74" s="3478">
        <f t="shared" si="55"/>
        <v>0</v>
      </c>
      <c r="AV74" s="3478">
        <f t="shared" si="56"/>
        <v>0</v>
      </c>
      <c r="AW74" s="3478">
        <f t="shared" si="57"/>
        <v>0</v>
      </c>
      <c r="AX74" s="3498" t="s">
        <v>3272</v>
      </c>
      <c r="AY74" s="3480">
        <f t="shared" si="51"/>
        <v>69</v>
      </c>
      <c r="AZ74" s="3480"/>
      <c r="BC74" s="3647">
        <v>4</v>
      </c>
      <c r="BD74" s="3653" t="s">
        <v>3307</v>
      </c>
      <c r="BE74" s="3645"/>
      <c r="BF74" s="3645"/>
      <c r="BG74" s="3645"/>
      <c r="BH74" s="3645"/>
      <c r="BI74" s="3645"/>
      <c r="BJ74" s="3645"/>
      <c r="BK74" s="3645"/>
      <c r="BL74" s="3645"/>
      <c r="BM74" s="3645"/>
      <c r="BN74" s="3645"/>
      <c r="BO74" s="3645"/>
      <c r="BP74" s="3645"/>
      <c r="BQ74" s="3645"/>
      <c r="BR74" s="3645"/>
      <c r="BS74" s="3645"/>
      <c r="BT74" s="3645"/>
      <c r="BU74" s="3645"/>
      <c r="BV74" s="3645"/>
      <c r="BW74" s="3645"/>
      <c r="BX74" s="3645"/>
      <c r="BY74" s="3645"/>
      <c r="BZ74" s="3645"/>
      <c r="CA74" s="3645"/>
      <c r="CB74" s="3652"/>
    </row>
    <row r="75" spans="18:80" ht="43.5">
      <c r="R75" s="3469">
        <f t="shared" si="50"/>
        <v>70</v>
      </c>
      <c r="S75" s="3470" t="s">
        <v>3100</v>
      </c>
      <c r="T75" s="3471" t="s">
        <v>3273</v>
      </c>
      <c r="U75" s="3472">
        <v>99683</v>
      </c>
      <c r="V75" s="3472">
        <v>100106</v>
      </c>
      <c r="W75" s="3472">
        <v>101654</v>
      </c>
      <c r="X75" s="3495" t="s">
        <v>3106</v>
      </c>
      <c r="Y75" s="3495" t="s">
        <v>3106</v>
      </c>
      <c r="Z75" s="3495" t="s">
        <v>3106</v>
      </c>
      <c r="AA75" s="3486">
        <v>0</v>
      </c>
      <c r="AB75" s="3486">
        <v>0</v>
      </c>
      <c r="AC75" s="3486">
        <v>0</v>
      </c>
      <c r="AD75" s="3487">
        <f>936000+6000+942000</f>
        <v>1884000</v>
      </c>
      <c r="AE75" s="3487">
        <f>936000+6000+942000</f>
        <v>1884000</v>
      </c>
      <c r="AF75" s="3487">
        <v>0</v>
      </c>
      <c r="AG75" s="3487">
        <v>0</v>
      </c>
      <c r="AH75" s="3487">
        <f>104000+594000+698000</f>
        <v>1396000</v>
      </c>
      <c r="AI75" s="3487">
        <f>104000+594000+698000</f>
        <v>1396000</v>
      </c>
      <c r="AJ75" s="3488" t="s">
        <v>3107</v>
      </c>
      <c r="AK75" s="3477"/>
      <c r="AL75" s="3477" t="s">
        <v>839</v>
      </c>
      <c r="AM75" s="3477" t="s">
        <v>3108</v>
      </c>
      <c r="AN75" s="3478">
        <f t="shared" si="30"/>
        <v>0</v>
      </c>
      <c r="AO75" s="3478">
        <f t="shared" si="31"/>
        <v>0</v>
      </c>
      <c r="AP75" s="3478">
        <f t="shared" si="32"/>
        <v>0</v>
      </c>
      <c r="AQ75" s="3478">
        <f t="shared" si="33"/>
        <v>0</v>
      </c>
      <c r="AR75" s="3478">
        <f t="shared" si="34"/>
        <v>0</v>
      </c>
      <c r="AS75" s="3478">
        <f t="shared" si="35"/>
        <v>0</v>
      </c>
      <c r="AT75" s="3478">
        <f t="shared" si="54"/>
        <v>0</v>
      </c>
      <c r="AU75" s="3478">
        <f t="shared" si="55"/>
        <v>0</v>
      </c>
      <c r="AV75" s="3478">
        <f t="shared" si="56"/>
        <v>0</v>
      </c>
      <c r="AW75" s="3478">
        <f t="shared" si="57"/>
        <v>0</v>
      </c>
      <c r="AX75" s="3479" t="s">
        <v>3274</v>
      </c>
      <c r="AY75" s="3480">
        <f t="shared" si="51"/>
        <v>70</v>
      </c>
      <c r="AZ75" s="3480"/>
      <c r="BC75" s="3619"/>
      <c r="BD75" s="3549" t="s">
        <v>3389</v>
      </c>
      <c r="CB75" s="3618"/>
    </row>
    <row r="76" spans="18:80" ht="43.5">
      <c r="R76" s="3469">
        <f t="shared" si="50"/>
        <v>71</v>
      </c>
      <c r="S76" s="3470" t="s">
        <v>3086</v>
      </c>
      <c r="T76" s="3471" t="s">
        <v>3275</v>
      </c>
      <c r="U76" s="3472">
        <v>838800</v>
      </c>
      <c r="V76" s="3472">
        <v>954600</v>
      </c>
      <c r="W76" s="3472">
        <v>909600</v>
      </c>
      <c r="X76" s="3495" t="s">
        <v>3106</v>
      </c>
      <c r="Y76" s="3495" t="s">
        <v>3106</v>
      </c>
      <c r="Z76" s="3495" t="s">
        <v>3106</v>
      </c>
      <c r="AA76" s="3486">
        <v>0</v>
      </c>
      <c r="AB76" s="3486">
        <v>0</v>
      </c>
      <c r="AC76" s="3486">
        <v>0</v>
      </c>
      <c r="AD76" s="3487">
        <v>0</v>
      </c>
      <c r="AE76" s="3487">
        <v>0</v>
      </c>
      <c r="AF76" s="3487">
        <v>0</v>
      </c>
      <c r="AG76" s="3487">
        <v>0</v>
      </c>
      <c r="AH76" s="3487">
        <v>0</v>
      </c>
      <c r="AI76" s="3487">
        <v>0</v>
      </c>
      <c r="AJ76" s="3488" t="s">
        <v>3107</v>
      </c>
      <c r="AK76" s="3477"/>
      <c r="AL76" s="3477" t="s">
        <v>3088</v>
      </c>
      <c r="AM76" s="3477" t="s">
        <v>3108</v>
      </c>
      <c r="AN76" s="3478">
        <f t="shared" si="30"/>
        <v>0</v>
      </c>
      <c r="AO76" s="3478">
        <f t="shared" si="31"/>
        <v>0</v>
      </c>
      <c r="AP76" s="3478">
        <f t="shared" si="32"/>
        <v>0</v>
      </c>
      <c r="AQ76" s="3478">
        <f t="shared" si="33"/>
        <v>0</v>
      </c>
      <c r="AR76" s="3478">
        <f t="shared" si="34"/>
        <v>0</v>
      </c>
      <c r="AS76" s="3478">
        <f t="shared" si="35"/>
        <v>0</v>
      </c>
      <c r="AT76" s="3478">
        <f t="shared" si="54"/>
        <v>0</v>
      </c>
      <c r="AU76" s="3478">
        <f t="shared" si="55"/>
        <v>0</v>
      </c>
      <c r="AV76" s="3478">
        <f t="shared" si="56"/>
        <v>0</v>
      </c>
      <c r="AW76" s="3478">
        <f t="shared" si="57"/>
        <v>0</v>
      </c>
      <c r="AX76" s="3498" t="s">
        <v>3276</v>
      </c>
      <c r="AY76" s="3480">
        <f t="shared" si="51"/>
        <v>71</v>
      </c>
      <c r="AZ76" s="3480"/>
      <c r="BC76" s="3619"/>
      <c r="BD76" s="3549" t="s">
        <v>1522</v>
      </c>
      <c r="BE76" s="3651">
        <v>0.50068184018358375</v>
      </c>
      <c r="BF76" s="3651">
        <v>0.4780881241925608</v>
      </c>
      <c r="BG76" s="3651">
        <v>0.54631407566538637</v>
      </c>
      <c r="BH76" s="3651">
        <v>0.71703415972879792</v>
      </c>
      <c r="BI76" s="3651">
        <v>0.90054534904853789</v>
      </c>
      <c r="BJ76" s="3651">
        <v>0.93359983875447006</v>
      </c>
      <c r="BK76" s="3651">
        <v>0.92288071042120834</v>
      </c>
      <c r="BL76" s="3651">
        <v>0.93511751833144474</v>
      </c>
      <c r="BM76" s="3651">
        <v>0.92189105317830922</v>
      </c>
      <c r="BN76" s="3651">
        <v>0.91070459116489522</v>
      </c>
      <c r="BO76" s="3651">
        <v>0.76087277839720979</v>
      </c>
      <c r="BP76" s="3651">
        <v>0.54691355662496777</v>
      </c>
      <c r="BQ76" s="3651">
        <v>0.50068184018358375</v>
      </c>
      <c r="BR76" s="3651">
        <v>0.4780881241925608</v>
      </c>
      <c r="BS76" s="3651">
        <v>0.54631407566538637</v>
      </c>
      <c r="BT76" s="3651">
        <v>0.71703415972879792</v>
      </c>
      <c r="BU76" s="3651">
        <v>0.90054534904853789</v>
      </c>
      <c r="BV76" s="3651">
        <v>0.93359983875447006</v>
      </c>
      <c r="BW76" s="3651">
        <v>0.92288071042120834</v>
      </c>
      <c r="BX76" s="3651">
        <v>0.93511751833144474</v>
      </c>
      <c r="BY76" s="3651">
        <v>0.92189105317830922</v>
      </c>
      <c r="BZ76" s="3651">
        <v>0.91070459116489522</v>
      </c>
      <c r="CA76" s="3651">
        <v>0.76087277839720979</v>
      </c>
      <c r="CB76" s="3650">
        <v>0.54691355662496777</v>
      </c>
    </row>
    <row r="77" spans="18:80" ht="43.5">
      <c r="R77" s="3469">
        <f t="shared" si="50"/>
        <v>72</v>
      </c>
      <c r="S77" s="3470" t="s">
        <v>3111</v>
      </c>
      <c r="T77" s="3471" t="s">
        <v>3277</v>
      </c>
      <c r="U77" s="3472">
        <v>5348646</v>
      </c>
      <c r="V77" s="3472">
        <v>4238511</v>
      </c>
      <c r="W77" s="3472">
        <v>4399224</v>
      </c>
      <c r="X77" s="3473">
        <f t="shared" ref="X77:Z80" si="58">U77*$T$4*$T$3</f>
        <v>10818.412731235381</v>
      </c>
      <c r="Y77" s="3473">
        <f t="shared" si="58"/>
        <v>8573.0035907931106</v>
      </c>
      <c r="Z77" s="3473">
        <f t="shared" si="58"/>
        <v>8898.06895598554</v>
      </c>
      <c r="AA77" s="3486">
        <v>11000</v>
      </c>
      <c r="AB77" s="3486">
        <v>11330</v>
      </c>
      <c r="AC77" s="3486">
        <v>11670</v>
      </c>
      <c r="AD77" s="3487">
        <v>292958</v>
      </c>
      <c r="AE77" s="3487">
        <v>301746</v>
      </c>
      <c r="AF77" s="3487">
        <v>20000</v>
      </c>
      <c r="AG77" s="3487">
        <v>20600</v>
      </c>
      <c r="AH77" s="3487">
        <v>0</v>
      </c>
      <c r="AI77" s="3487">
        <v>0</v>
      </c>
      <c r="AJ77" s="3488"/>
      <c r="AK77" s="3477" t="s">
        <v>3123</v>
      </c>
      <c r="AL77" s="3477" t="s">
        <v>839</v>
      </c>
      <c r="AM77" s="3477" t="s">
        <v>839</v>
      </c>
      <c r="AN77" s="3478">
        <f t="shared" si="30"/>
        <v>5162.8583775999996</v>
      </c>
      <c r="AO77" s="3478">
        <f t="shared" si="31"/>
        <v>1634.2877848000001</v>
      </c>
      <c r="AP77" s="3478">
        <f t="shared" si="32"/>
        <v>5317.7441289279996</v>
      </c>
      <c r="AQ77" s="3478">
        <f t="shared" si="33"/>
        <v>1683.3164183440001</v>
      </c>
      <c r="AR77" s="3478">
        <f t="shared" si="34"/>
        <v>5477.3233878719993</v>
      </c>
      <c r="AS77" s="3478">
        <f t="shared" si="35"/>
        <v>1733.8307680559999</v>
      </c>
      <c r="AT77" s="3478">
        <f t="shared" si="54"/>
        <v>137500.06041681278</v>
      </c>
      <c r="AU77" s="3478">
        <f t="shared" si="55"/>
        <v>43525.243714494398</v>
      </c>
      <c r="AV77" s="3478">
        <f t="shared" si="56"/>
        <v>141624.71490975359</v>
      </c>
      <c r="AW77" s="3478">
        <f t="shared" si="57"/>
        <v>44830.891082932802</v>
      </c>
      <c r="AX77" s="3479" t="s">
        <v>3278</v>
      </c>
      <c r="AY77" s="3480">
        <f t="shared" si="51"/>
        <v>72</v>
      </c>
      <c r="AZ77" s="3480"/>
      <c r="BC77" s="3619"/>
      <c r="BD77" s="3549" t="s">
        <v>1521</v>
      </c>
      <c r="BE77" s="3651">
        <v>0.49931815981641625</v>
      </c>
      <c r="BF77" s="3651">
        <v>0.52191187580743914</v>
      </c>
      <c r="BG77" s="3651">
        <v>0.45368592433461374</v>
      </c>
      <c r="BH77" s="3651">
        <v>0.28296584027120203</v>
      </c>
      <c r="BI77" s="3651">
        <v>9.9454650951462109E-2</v>
      </c>
      <c r="BJ77" s="3651">
        <v>6.6400161245529998E-2</v>
      </c>
      <c r="BK77" s="3651">
        <v>7.7119289578791661E-2</v>
      </c>
      <c r="BL77" s="3651">
        <v>6.4882481668555286E-2</v>
      </c>
      <c r="BM77" s="3651">
        <v>7.8108946821690811E-2</v>
      </c>
      <c r="BN77" s="3651">
        <v>8.9295408835104756E-2</v>
      </c>
      <c r="BO77" s="3651">
        <v>0.23912722160279024</v>
      </c>
      <c r="BP77" s="3651">
        <v>0.45308644337503229</v>
      </c>
      <c r="BQ77" s="3651">
        <v>0.49931815981641625</v>
      </c>
      <c r="BR77" s="3651">
        <v>0.52191187580743914</v>
      </c>
      <c r="BS77" s="3651">
        <v>0.45368592433461374</v>
      </c>
      <c r="BT77" s="3651">
        <v>0.28296584027120203</v>
      </c>
      <c r="BU77" s="3651">
        <v>9.9454650951462109E-2</v>
      </c>
      <c r="BV77" s="3651">
        <v>6.6400161245529998E-2</v>
      </c>
      <c r="BW77" s="3651">
        <v>7.7119289578791661E-2</v>
      </c>
      <c r="BX77" s="3651">
        <v>6.4882481668555286E-2</v>
      </c>
      <c r="BY77" s="3651">
        <v>7.8108946821690811E-2</v>
      </c>
      <c r="BZ77" s="3651">
        <v>8.9295408835104756E-2</v>
      </c>
      <c r="CA77" s="3651">
        <v>0.23912722160279024</v>
      </c>
      <c r="CB77" s="3650">
        <v>0.45308644337503229</v>
      </c>
    </row>
    <row r="78" spans="18:80" ht="58">
      <c r="R78" s="3469">
        <f t="shared" si="50"/>
        <v>73</v>
      </c>
      <c r="S78" s="3470" t="s">
        <v>3100</v>
      </c>
      <c r="T78" s="3471" t="s">
        <v>3279</v>
      </c>
      <c r="U78" s="3472">
        <v>659782</v>
      </c>
      <c r="V78" s="3472">
        <v>660002</v>
      </c>
      <c r="W78" s="3472">
        <v>660004</v>
      </c>
      <c r="X78" s="3473">
        <f t="shared" si="58"/>
        <v>1334.5048426536252</v>
      </c>
      <c r="Y78" s="3473">
        <f t="shared" si="58"/>
        <v>1334.9498245800551</v>
      </c>
      <c r="Z78" s="3473">
        <f t="shared" si="58"/>
        <v>1334.9538698702954</v>
      </c>
      <c r="AA78" s="3486">
        <v>0</v>
      </c>
      <c r="AB78" s="3486">
        <v>0</v>
      </c>
      <c r="AC78" s="3486">
        <v>0</v>
      </c>
      <c r="AD78" s="3487">
        <v>1000000</v>
      </c>
      <c r="AE78" s="3487">
        <v>1000000</v>
      </c>
      <c r="AF78" s="3487">
        <v>0</v>
      </c>
      <c r="AG78" s="3487">
        <v>0</v>
      </c>
      <c r="AH78" s="3487">
        <v>0</v>
      </c>
      <c r="AI78" s="3487">
        <v>0</v>
      </c>
      <c r="AJ78" s="3488"/>
      <c r="AK78" s="3477"/>
      <c r="AL78" s="3477" t="s">
        <v>839</v>
      </c>
      <c r="AM78" s="3477" t="s">
        <v>839</v>
      </c>
      <c r="AN78" s="3478">
        <f t="shared" si="30"/>
        <v>626.3508642583671</v>
      </c>
      <c r="AO78" s="3478">
        <f t="shared" si="31"/>
        <v>198.2695421004787</v>
      </c>
      <c r="AP78" s="3478">
        <f t="shared" si="32"/>
        <v>626.55971686443513</v>
      </c>
      <c r="AQ78" s="3478">
        <f t="shared" si="33"/>
        <v>198.33565378473517</v>
      </c>
      <c r="AR78" s="3478">
        <f t="shared" si="34"/>
        <v>626.56161552449032</v>
      </c>
      <c r="AS78" s="3478">
        <f t="shared" si="35"/>
        <v>198.33625480004659</v>
      </c>
      <c r="AT78" s="3478">
        <f t="shared" si="54"/>
        <v>469350.76159999997</v>
      </c>
      <c r="AU78" s="3478">
        <f t="shared" si="55"/>
        <v>148571.61679999999</v>
      </c>
      <c r="AV78" s="3478">
        <f t="shared" si="56"/>
        <v>469350.76159999997</v>
      </c>
      <c r="AW78" s="3478">
        <f t="shared" si="57"/>
        <v>148571.61679999999</v>
      </c>
      <c r="AX78" s="3479" t="s">
        <v>3280</v>
      </c>
      <c r="AY78" s="3480">
        <f t="shared" si="51"/>
        <v>73</v>
      </c>
      <c r="AZ78" s="3480"/>
      <c r="BC78" s="3619"/>
      <c r="CB78" s="3618"/>
    </row>
    <row r="79" spans="18:80" ht="43.5">
      <c r="R79" s="3469">
        <f t="shared" si="50"/>
        <v>74</v>
      </c>
      <c r="S79" s="3470" t="s">
        <v>3111</v>
      </c>
      <c r="T79" s="3471" t="s">
        <v>3281</v>
      </c>
      <c r="U79" s="3472">
        <v>3343420</v>
      </c>
      <c r="V79" s="3472">
        <v>3343420</v>
      </c>
      <c r="W79" s="3472">
        <v>3343419</v>
      </c>
      <c r="X79" s="3473">
        <f t="shared" si="58"/>
        <v>6762.5521475653832</v>
      </c>
      <c r="Y79" s="3473">
        <f t="shared" si="58"/>
        <v>6762.5521475653832</v>
      </c>
      <c r="Z79" s="3473">
        <f t="shared" si="58"/>
        <v>6762.5501249202634</v>
      </c>
      <c r="AA79" s="3486">
        <v>0</v>
      </c>
      <c r="AB79" s="3486">
        <v>0</v>
      </c>
      <c r="AC79" s="3486">
        <v>0</v>
      </c>
      <c r="AD79" s="3487">
        <v>2720</v>
      </c>
      <c r="AE79" s="3487">
        <v>2720</v>
      </c>
      <c r="AF79" s="3487">
        <v>0</v>
      </c>
      <c r="AG79" s="3487">
        <v>0</v>
      </c>
      <c r="AH79" s="3487">
        <v>0</v>
      </c>
      <c r="AI79" s="3487">
        <v>0</v>
      </c>
      <c r="AJ79" s="3488"/>
      <c r="AK79" s="3477"/>
      <c r="AL79" s="3488" t="s">
        <v>3088</v>
      </c>
      <c r="AM79" s="3488" t="s">
        <v>3089</v>
      </c>
      <c r="AN79" s="3478">
        <f t="shared" si="30"/>
        <v>4355.0835830321066</v>
      </c>
      <c r="AO79" s="3478">
        <f t="shared" si="31"/>
        <v>0</v>
      </c>
      <c r="AP79" s="3478">
        <f t="shared" si="32"/>
        <v>4355.0835830321066</v>
      </c>
      <c r="AQ79" s="3478">
        <f t="shared" si="33"/>
        <v>0</v>
      </c>
      <c r="AR79" s="3478">
        <f t="shared" si="34"/>
        <v>4355.0822804486497</v>
      </c>
      <c r="AS79" s="3478">
        <f t="shared" si="35"/>
        <v>0</v>
      </c>
      <c r="AT79" s="3478">
        <f t="shared" si="54"/>
        <v>1751.68</v>
      </c>
      <c r="AU79" s="3478">
        <f t="shared" si="55"/>
        <v>0</v>
      </c>
      <c r="AV79" s="3478">
        <f t="shared" si="56"/>
        <v>1751.68</v>
      </c>
      <c r="AW79" s="3478">
        <f t="shared" si="57"/>
        <v>0</v>
      </c>
      <c r="AX79" s="3479" t="s">
        <v>3282</v>
      </c>
      <c r="AY79" s="3480">
        <f t="shared" si="51"/>
        <v>74</v>
      </c>
      <c r="AZ79" s="3480"/>
      <c r="BC79" s="3619"/>
      <c r="BD79" s="3549" t="s">
        <v>3384</v>
      </c>
      <c r="CB79" s="3618"/>
    </row>
    <row r="80" spans="18:80">
      <c r="R80" s="3469">
        <f t="shared" si="50"/>
        <v>75</v>
      </c>
      <c r="S80" s="3470" t="s">
        <v>3111</v>
      </c>
      <c r="T80" s="3471" t="s">
        <v>3284</v>
      </c>
      <c r="U80" s="3472">
        <v>100000</v>
      </c>
      <c r="V80" s="3472">
        <v>1400000</v>
      </c>
      <c r="W80" s="3472">
        <v>500000</v>
      </c>
      <c r="X80" s="3473">
        <f t="shared" si="58"/>
        <v>202.26451201360834</v>
      </c>
      <c r="Y80" s="3473">
        <f t="shared" si="58"/>
        <v>2831.7031681905164</v>
      </c>
      <c r="Z80" s="3473">
        <f t="shared" si="58"/>
        <v>1011.3225600680416</v>
      </c>
      <c r="AA80" s="3486">
        <v>0</v>
      </c>
      <c r="AB80" s="3486">
        <v>0</v>
      </c>
      <c r="AC80" s="3486">
        <v>0</v>
      </c>
      <c r="AD80" s="3487">
        <v>0</v>
      </c>
      <c r="AE80" s="3487">
        <v>0</v>
      </c>
      <c r="AF80" s="3487">
        <v>0</v>
      </c>
      <c r="AG80" s="3487">
        <v>0</v>
      </c>
      <c r="AH80" s="3487">
        <v>0</v>
      </c>
      <c r="AI80" s="3487">
        <v>0</v>
      </c>
      <c r="AJ80" s="3488"/>
      <c r="AK80" s="3477"/>
      <c r="AL80" s="3488" t="s">
        <v>3088</v>
      </c>
      <c r="AM80" s="3488" t="s">
        <v>3089</v>
      </c>
      <c r="AN80" s="3478">
        <f t="shared" si="30"/>
        <v>130.25834573676377</v>
      </c>
      <c r="AO80" s="3478">
        <f t="shared" si="31"/>
        <v>0</v>
      </c>
      <c r="AP80" s="3478">
        <f t="shared" si="32"/>
        <v>1823.6168403146926</v>
      </c>
      <c r="AQ80" s="3478">
        <f t="shared" si="33"/>
        <v>0</v>
      </c>
      <c r="AR80" s="3478">
        <f t="shared" si="34"/>
        <v>651.29172868381886</v>
      </c>
      <c r="AS80" s="3478">
        <f t="shared" si="35"/>
        <v>0</v>
      </c>
      <c r="AT80" s="3478">
        <f t="shared" si="54"/>
        <v>0</v>
      </c>
      <c r="AU80" s="3478">
        <f t="shared" si="55"/>
        <v>0</v>
      </c>
      <c r="AV80" s="3478">
        <f t="shared" si="56"/>
        <v>0</v>
      </c>
      <c r="AW80" s="3478">
        <f t="shared" si="57"/>
        <v>0</v>
      </c>
      <c r="AX80" s="3479" t="s">
        <v>3090</v>
      </c>
      <c r="AY80" s="3480">
        <f t="shared" si="51"/>
        <v>75</v>
      </c>
      <c r="AZ80" s="3480"/>
      <c r="BC80" s="3619"/>
      <c r="BD80" s="3549" t="s">
        <v>1522</v>
      </c>
      <c r="BE80" s="3651">
        <v>7.2460905986869925E-2</v>
      </c>
      <c r="BF80" s="3651">
        <v>8.8252530227728915E-2</v>
      </c>
      <c r="BG80" s="3651">
        <v>8.6818134533904537E-2</v>
      </c>
      <c r="BH80" s="3651">
        <v>0.112972975898062</v>
      </c>
      <c r="BI80" s="3651">
        <v>0.16818966777574407</v>
      </c>
      <c r="BJ80" s="3651">
        <v>0.22451562646695636</v>
      </c>
      <c r="BK80" s="3651">
        <v>0.23768402596931945</v>
      </c>
      <c r="BL80" s="3651">
        <v>0.23235777901240171</v>
      </c>
      <c r="BM80" s="3651">
        <v>0.23092674089537843</v>
      </c>
      <c r="BN80" s="3651">
        <v>0.19903319604706293</v>
      </c>
      <c r="BO80" s="3651">
        <v>0.13102712734310781</v>
      </c>
      <c r="BP80" s="3651">
        <v>8.348100615458294E-2</v>
      </c>
      <c r="BQ80" s="3651">
        <v>7.2460905986869925E-2</v>
      </c>
      <c r="BR80" s="3651">
        <v>8.8252530227728915E-2</v>
      </c>
      <c r="BS80" s="3651">
        <v>8.6818134533904537E-2</v>
      </c>
      <c r="BT80" s="3651">
        <v>0.112972975898062</v>
      </c>
      <c r="BU80" s="3651">
        <v>0.16818966777574407</v>
      </c>
      <c r="BV80" s="3651">
        <v>0.22451562646695636</v>
      </c>
      <c r="BW80" s="3651">
        <v>0.23768402596931945</v>
      </c>
      <c r="BX80" s="3651">
        <v>0.23235777901240171</v>
      </c>
      <c r="BY80" s="3651">
        <v>0.23092674089537843</v>
      </c>
      <c r="BZ80" s="3651">
        <v>0.19903319604706293</v>
      </c>
      <c r="CA80" s="3651">
        <v>0.13102712734310781</v>
      </c>
      <c r="CB80" s="3650">
        <v>8.348100615458294E-2</v>
      </c>
    </row>
    <row r="81" spans="18:80" ht="29">
      <c r="R81" s="3469">
        <f t="shared" si="50"/>
        <v>76</v>
      </c>
      <c r="S81" s="3470" t="s">
        <v>3111</v>
      </c>
      <c r="T81" s="3471" t="s">
        <v>3285</v>
      </c>
      <c r="U81" s="3472">
        <v>500000</v>
      </c>
      <c r="V81" s="3472">
        <v>500000</v>
      </c>
      <c r="W81" s="3472">
        <v>250000</v>
      </c>
      <c r="X81" s="3495" t="s">
        <v>3106</v>
      </c>
      <c r="Y81" s="3495" t="s">
        <v>3106</v>
      </c>
      <c r="Z81" s="3495" t="s">
        <v>3106</v>
      </c>
      <c r="AA81" s="3486">
        <v>0</v>
      </c>
      <c r="AB81" s="3486">
        <v>0</v>
      </c>
      <c r="AC81" s="3486">
        <v>0</v>
      </c>
      <c r="AD81" s="3487">
        <v>0</v>
      </c>
      <c r="AE81" s="3487">
        <v>0</v>
      </c>
      <c r="AF81" s="3487">
        <v>5000</v>
      </c>
      <c r="AG81" s="3487">
        <v>5000</v>
      </c>
      <c r="AH81" s="3487">
        <v>0</v>
      </c>
      <c r="AI81" s="3487">
        <v>0</v>
      </c>
      <c r="AJ81" s="3488" t="s">
        <v>3117</v>
      </c>
      <c r="AK81" s="3477"/>
      <c r="AL81" s="3477" t="s">
        <v>839</v>
      </c>
      <c r="AM81" s="3477" t="s">
        <v>3108</v>
      </c>
      <c r="AN81" s="3478"/>
      <c r="AO81" s="3478"/>
      <c r="AP81" s="3478"/>
      <c r="AQ81" s="3478"/>
      <c r="AR81" s="3478"/>
      <c r="AS81" s="3478"/>
      <c r="AT81" s="3478">
        <f t="shared" si="54"/>
        <v>0</v>
      </c>
      <c r="AU81" s="3478">
        <f t="shared" si="55"/>
        <v>0</v>
      </c>
      <c r="AV81" s="3478">
        <f t="shared" si="56"/>
        <v>0</v>
      </c>
      <c r="AW81" s="3478">
        <f t="shared" si="57"/>
        <v>0</v>
      </c>
      <c r="AX81" s="3479" t="s">
        <v>3286</v>
      </c>
      <c r="AY81" s="3480">
        <f t="shared" si="51"/>
        <v>76</v>
      </c>
      <c r="AZ81" s="3480"/>
      <c r="BC81" s="3619"/>
      <c r="BD81" s="3549" t="s">
        <v>1521</v>
      </c>
      <c r="BE81" s="3651">
        <v>0.25607046185482796</v>
      </c>
      <c r="BF81" s="3651">
        <v>0.29690561454943304</v>
      </c>
      <c r="BG81" s="3651">
        <v>0.29306720915724416</v>
      </c>
      <c r="BH81" s="3651">
        <v>0.3402110190736054</v>
      </c>
      <c r="BI81" s="3651">
        <v>0.36627773363360583</v>
      </c>
      <c r="BJ81" s="3651">
        <v>0.36080384702603835</v>
      </c>
      <c r="BK81" s="3651">
        <v>0.36561032100943597</v>
      </c>
      <c r="BL81" s="3651">
        <v>0.35275261649924727</v>
      </c>
      <c r="BM81" s="3651">
        <v>0.36650197082970848</v>
      </c>
      <c r="BN81" s="3651">
        <v>0.37436577508317115</v>
      </c>
      <c r="BO81" s="3651">
        <v>0.35592108910663278</v>
      </c>
      <c r="BP81" s="3651">
        <v>0.28414947083560765</v>
      </c>
      <c r="BQ81" s="3651">
        <v>0.25607046185482796</v>
      </c>
      <c r="BR81" s="3651">
        <v>0.29690561454943304</v>
      </c>
      <c r="BS81" s="3651">
        <v>0.29306720915724416</v>
      </c>
      <c r="BT81" s="3651">
        <v>0.3402110190736054</v>
      </c>
      <c r="BU81" s="3651">
        <v>0.36627773363360583</v>
      </c>
      <c r="BV81" s="3651">
        <v>0.36080384702603835</v>
      </c>
      <c r="BW81" s="3651">
        <v>0.36561032100943597</v>
      </c>
      <c r="BX81" s="3651">
        <v>0.35275261649924727</v>
      </c>
      <c r="BY81" s="3651">
        <v>0.36650197082970848</v>
      </c>
      <c r="BZ81" s="3651">
        <v>0.37436577508317115</v>
      </c>
      <c r="CA81" s="3651">
        <v>0.35592108910663278</v>
      </c>
      <c r="CB81" s="3650">
        <v>0.28414947083560765</v>
      </c>
    </row>
    <row r="82" spans="18:80" ht="43.5">
      <c r="R82" s="3469">
        <f t="shared" si="50"/>
        <v>77</v>
      </c>
      <c r="S82" s="3470" t="s">
        <v>3111</v>
      </c>
      <c r="T82" s="3471" t="s">
        <v>3287</v>
      </c>
      <c r="U82" s="3472">
        <v>8250000</v>
      </c>
      <c r="V82" s="3472">
        <v>9040634</v>
      </c>
      <c r="W82" s="3472">
        <v>10000000</v>
      </c>
      <c r="X82" s="3473">
        <f>U82*$T$4*$T$3</f>
        <v>16686.822241122685</v>
      </c>
      <c r="Y82" s="3473">
        <f>V82*$T$4*$T$3</f>
        <v>18285.994243036359</v>
      </c>
      <c r="Z82" s="3473">
        <f>W82*$T$4*$T$3</f>
        <v>20226.451201360833</v>
      </c>
      <c r="AA82" s="3486">
        <v>0</v>
      </c>
      <c r="AB82" s="3486">
        <v>0</v>
      </c>
      <c r="AC82" s="3486">
        <v>10000</v>
      </c>
      <c r="AD82" s="3487">
        <v>0</v>
      </c>
      <c r="AE82" s="3487">
        <v>0</v>
      </c>
      <c r="AF82" s="3487">
        <v>0</v>
      </c>
      <c r="AG82" s="3487">
        <v>0</v>
      </c>
      <c r="AH82" s="3487">
        <v>0</v>
      </c>
      <c r="AI82" s="3487">
        <v>0</v>
      </c>
      <c r="AJ82" s="3488"/>
      <c r="AK82" s="3477" t="s">
        <v>3123</v>
      </c>
      <c r="AL82" s="3488" t="s">
        <v>3088</v>
      </c>
      <c r="AM82" s="3477" t="s">
        <v>3151</v>
      </c>
      <c r="AN82" s="3478">
        <f t="shared" ref="AN82:AN88" si="59">IF(AA82&gt;0,AA82*(VLOOKUP($AM82,$AG$129:$AI$137,2,FALSE)),IF($AM82=$AG$137,$AH$137,X82*(VLOOKUP($AM82,$AG$129:$AI$137,2,FALSE))))</f>
        <v>11170.659412874758</v>
      </c>
      <c r="AO82" s="3478">
        <f t="shared" ref="AO82:AO88" si="60">IF(AA82&gt;0,AA82*(VLOOKUP($AM82,$AG$129:$AI$137,3,FALSE)),IF($AM82=$AG$137,$AH$137,X82*(VLOOKUP($AM82,$AG$129:$AI$137,3,FALSE))))</f>
        <v>0</v>
      </c>
      <c r="AP82" s="3478">
        <f t="shared" ref="AP82:AP88" si="61">IF(AB82&gt;0,AB82*(VLOOKUP($AM82,$AG$129:$AI$137,2,FALSE)),IF($AM82=$AG$137,$AH$137,Y82*(VLOOKUP($AM82,$AG$129:$AI$137,2,FALSE))))</f>
        <v>12241.19312611583</v>
      </c>
      <c r="AQ82" s="3478">
        <f t="shared" ref="AQ82:AQ88" si="62">IF(AB82&gt;0,AB82*(VLOOKUP($AM82,$AG$129:$AI$137,3,FALSE)),IF($AM82=$AG$137,$AH$137,Y82*(VLOOKUP($AM82,$AG$129:$AI$137,3,FALSE))))</f>
        <v>0</v>
      </c>
      <c r="AR82" s="3478">
        <f t="shared" ref="AR82:AR88" si="63">IF(AC82&gt;0,AC82*(VLOOKUP($AM82,$AG$129:$AI$137,2,FALSE)),IF($AM82=$AG$137,$AH$137,Z82*(VLOOKUP($AM82,$AG$129:$AI$137,2,FALSE))))</f>
        <v>6694.2999999999993</v>
      </c>
      <c r="AS82" s="3478">
        <f t="shared" ref="AS82:AS88" si="64">IF(AC82&gt;0,AC82*(VLOOKUP($AM82,$AG$129:$AI$137,3,FALSE)),IF($AM82=$AG$137,$AH$137,Z82*(VLOOKUP($AM82,$AG$129:$AI$137,3,FALSE))))</f>
        <v>0</v>
      </c>
      <c r="AT82" s="3478">
        <f t="shared" si="54"/>
        <v>0</v>
      </c>
      <c r="AU82" s="3478">
        <f t="shared" si="55"/>
        <v>0</v>
      </c>
      <c r="AV82" s="3478">
        <f t="shared" si="56"/>
        <v>0</v>
      </c>
      <c r="AW82" s="3478">
        <f t="shared" si="57"/>
        <v>0</v>
      </c>
      <c r="AX82" s="3479" t="s">
        <v>3288</v>
      </c>
      <c r="AY82" s="3480">
        <f t="shared" si="51"/>
        <v>77</v>
      </c>
      <c r="AZ82" s="3480"/>
      <c r="BC82" s="3619"/>
      <c r="BD82" s="3549" t="s">
        <v>1520</v>
      </c>
      <c r="BE82" s="3651">
        <v>0.6594270522479182</v>
      </c>
      <c r="BF82" s="3651">
        <v>0.60310404320843358</v>
      </c>
      <c r="BG82" s="3651">
        <v>0.60549936060600251</v>
      </c>
      <c r="BH82" s="3651">
        <v>0.53711124215639705</v>
      </c>
      <c r="BI82" s="3651">
        <v>0.44693350382138564</v>
      </c>
      <c r="BJ82" s="3651">
        <v>0.39542635896636746</v>
      </c>
      <c r="BK82" s="3651">
        <v>0.38304187690831931</v>
      </c>
      <c r="BL82" s="3651">
        <v>0.39328090680424438</v>
      </c>
      <c r="BM82" s="3651">
        <v>0.3788746561080279</v>
      </c>
      <c r="BN82" s="3651">
        <v>0.40495334406423711</v>
      </c>
      <c r="BO82" s="3651">
        <v>0.49422715503935838</v>
      </c>
      <c r="BP82" s="3651">
        <v>0.62972410083281249</v>
      </c>
      <c r="BQ82" s="3651">
        <v>0.6594270522479182</v>
      </c>
      <c r="BR82" s="3651">
        <v>0.60310404320843358</v>
      </c>
      <c r="BS82" s="3651">
        <v>0.60549936060600251</v>
      </c>
      <c r="BT82" s="3651">
        <v>0.53711124215639705</v>
      </c>
      <c r="BU82" s="3651">
        <v>0.44693350382138564</v>
      </c>
      <c r="BV82" s="3651">
        <v>0.39542635896636746</v>
      </c>
      <c r="BW82" s="3651">
        <v>0.38304187690831931</v>
      </c>
      <c r="BX82" s="3651">
        <v>0.39328090680424438</v>
      </c>
      <c r="BY82" s="3651">
        <v>0.3788746561080279</v>
      </c>
      <c r="BZ82" s="3651">
        <v>0.40495334406423711</v>
      </c>
      <c r="CA82" s="3651">
        <v>0.49422715503935838</v>
      </c>
      <c r="CB82" s="3650">
        <v>0.62972410083281249</v>
      </c>
    </row>
    <row r="83" spans="18:80" ht="58">
      <c r="R83" s="3469">
        <f t="shared" si="50"/>
        <v>78</v>
      </c>
      <c r="S83" s="3470" t="s">
        <v>3111</v>
      </c>
      <c r="T83" s="3471" t="s">
        <v>3289</v>
      </c>
      <c r="U83" s="3472">
        <v>1133452</v>
      </c>
      <c r="V83" s="3472">
        <v>0</v>
      </c>
      <c r="W83" s="3472">
        <v>0</v>
      </c>
      <c r="X83" s="3495" t="s">
        <v>3106</v>
      </c>
      <c r="Y83" s="3495" t="s">
        <v>3106</v>
      </c>
      <c r="Z83" s="3495" t="s">
        <v>3106</v>
      </c>
      <c r="AA83" s="3486">
        <v>0</v>
      </c>
      <c r="AB83" s="3486">
        <v>0</v>
      </c>
      <c r="AC83" s="3486">
        <v>0</v>
      </c>
      <c r="AD83" s="3487">
        <v>0</v>
      </c>
      <c r="AE83" s="3487">
        <v>0</v>
      </c>
      <c r="AF83" s="3487">
        <v>0</v>
      </c>
      <c r="AG83" s="3487">
        <v>0</v>
      </c>
      <c r="AH83" s="3487">
        <v>0</v>
      </c>
      <c r="AI83" s="3487">
        <v>0</v>
      </c>
      <c r="AJ83" s="3488" t="s">
        <v>3107</v>
      </c>
      <c r="AK83" s="3477"/>
      <c r="AL83" s="3488" t="s">
        <v>3088</v>
      </c>
      <c r="AM83" s="3477" t="s">
        <v>3108</v>
      </c>
      <c r="AN83" s="3478">
        <f t="shared" si="59"/>
        <v>0</v>
      </c>
      <c r="AO83" s="3478">
        <f t="shared" si="60"/>
        <v>0</v>
      </c>
      <c r="AP83" s="3478">
        <f t="shared" si="61"/>
        <v>0</v>
      </c>
      <c r="AQ83" s="3478">
        <f t="shared" si="62"/>
        <v>0</v>
      </c>
      <c r="AR83" s="3478">
        <f t="shared" si="63"/>
        <v>0</v>
      </c>
      <c r="AS83" s="3478">
        <f t="shared" si="64"/>
        <v>0</v>
      </c>
      <c r="AT83" s="3478">
        <f t="shared" si="54"/>
        <v>0</v>
      </c>
      <c r="AU83" s="3478">
        <f t="shared" si="55"/>
        <v>0</v>
      </c>
      <c r="AV83" s="3478">
        <f t="shared" si="56"/>
        <v>0</v>
      </c>
      <c r="AW83" s="3478">
        <f t="shared" si="57"/>
        <v>0</v>
      </c>
      <c r="AX83" s="3479" t="s">
        <v>3290</v>
      </c>
      <c r="AY83" s="3480">
        <f t="shared" si="51"/>
        <v>78</v>
      </c>
      <c r="AZ83" s="3480"/>
      <c r="BC83" s="3619"/>
      <c r="BD83" s="3549" t="s">
        <v>1519</v>
      </c>
      <c r="BE83" s="3651">
        <v>1.2041579910383998E-2</v>
      </c>
      <c r="BF83" s="3651">
        <v>1.1737812014404443E-2</v>
      </c>
      <c r="BG83" s="3651">
        <v>1.4615295702848915E-2</v>
      </c>
      <c r="BH83" s="3651">
        <v>9.7047628719357185E-3</v>
      </c>
      <c r="BI83" s="3651">
        <v>1.8599094769264381E-2</v>
      </c>
      <c r="BJ83" s="3651">
        <v>1.9254167540637818E-2</v>
      </c>
      <c r="BK83" s="3651">
        <v>1.3663776112925258E-2</v>
      </c>
      <c r="BL83" s="3651">
        <v>2.160869768410657E-2</v>
      </c>
      <c r="BM83" s="3651">
        <v>2.3696632166885268E-2</v>
      </c>
      <c r="BN83" s="3651">
        <v>2.1647684805528807E-2</v>
      </c>
      <c r="BO83" s="3651">
        <v>1.8824628510901026E-2</v>
      </c>
      <c r="BP83" s="3651">
        <v>2.6454221769969853E-3</v>
      </c>
      <c r="BQ83" s="3651">
        <v>1.2041579910383998E-2</v>
      </c>
      <c r="BR83" s="3651">
        <v>1.1737812014404443E-2</v>
      </c>
      <c r="BS83" s="3651">
        <v>1.4615295702848915E-2</v>
      </c>
      <c r="BT83" s="3651">
        <v>9.7047628719357185E-3</v>
      </c>
      <c r="BU83" s="3651">
        <v>1.8599094769264381E-2</v>
      </c>
      <c r="BV83" s="3651">
        <v>1.9254167540637818E-2</v>
      </c>
      <c r="BW83" s="3651">
        <v>1.3663776112925258E-2</v>
      </c>
      <c r="BX83" s="3651">
        <v>2.160869768410657E-2</v>
      </c>
      <c r="BY83" s="3651">
        <v>2.3696632166885268E-2</v>
      </c>
      <c r="BZ83" s="3651">
        <v>2.1647684805528807E-2</v>
      </c>
      <c r="CA83" s="3651">
        <v>1.8824628510901026E-2</v>
      </c>
      <c r="CB83" s="3650">
        <v>2.6454221769969853E-3</v>
      </c>
    </row>
    <row r="84" spans="18:80" ht="58">
      <c r="R84" s="3469">
        <f t="shared" si="50"/>
        <v>79</v>
      </c>
      <c r="S84" s="3470" t="s">
        <v>3086</v>
      </c>
      <c r="T84" s="3471" t="s">
        <v>3291</v>
      </c>
      <c r="U84" s="3472">
        <v>185540</v>
      </c>
      <c r="V84" s="3472">
        <v>0</v>
      </c>
      <c r="W84" s="3472">
        <v>0</v>
      </c>
      <c r="X84" s="3473">
        <f>U84*$T$4*$T$3</f>
        <v>375.28157559004887</v>
      </c>
      <c r="Y84" s="3473">
        <f>V84*$T$4*$T$3</f>
        <v>0</v>
      </c>
      <c r="Z84" s="3473">
        <f>W84*$T$4*$T$3</f>
        <v>0</v>
      </c>
      <c r="AA84" s="3486"/>
      <c r="AB84" s="3486"/>
      <c r="AC84" s="3486"/>
      <c r="AD84" s="3487">
        <v>30000</v>
      </c>
      <c r="AE84" s="3487">
        <v>30000</v>
      </c>
      <c r="AF84" s="3487"/>
      <c r="AG84" s="3487"/>
      <c r="AH84" s="3487"/>
      <c r="AI84" s="3487"/>
      <c r="AJ84" s="3488"/>
      <c r="AK84" s="3477" t="s">
        <v>2819</v>
      </c>
      <c r="AL84" s="3477" t="s">
        <v>3088</v>
      </c>
      <c r="AM84" s="3477" t="s">
        <v>3089</v>
      </c>
      <c r="AN84" s="3478">
        <f t="shared" si="59"/>
        <v>241.68133467999149</v>
      </c>
      <c r="AO84" s="3478">
        <f t="shared" si="60"/>
        <v>0</v>
      </c>
      <c r="AP84" s="3478">
        <f t="shared" si="61"/>
        <v>0</v>
      </c>
      <c r="AQ84" s="3478">
        <f t="shared" si="62"/>
        <v>0</v>
      </c>
      <c r="AR84" s="3478">
        <f t="shared" si="63"/>
        <v>0</v>
      </c>
      <c r="AS84" s="3478">
        <f t="shared" si="64"/>
        <v>0</v>
      </c>
      <c r="AT84" s="3478">
        <f t="shared" si="54"/>
        <v>19320</v>
      </c>
      <c r="AU84" s="3478">
        <f t="shared" si="55"/>
        <v>0</v>
      </c>
      <c r="AV84" s="3478">
        <f t="shared" si="56"/>
        <v>19320</v>
      </c>
      <c r="AW84" s="3478">
        <f t="shared" si="57"/>
        <v>0</v>
      </c>
      <c r="AX84" s="3479" t="s">
        <v>3292</v>
      </c>
      <c r="AY84" s="3480">
        <f t="shared" si="51"/>
        <v>79</v>
      </c>
      <c r="AZ84" s="3480"/>
      <c r="BC84" s="3619"/>
      <c r="BD84" s="3549" t="s">
        <v>1518</v>
      </c>
      <c r="BE84" s="3651">
        <v>0</v>
      </c>
      <c r="BF84" s="3651">
        <v>0</v>
      </c>
      <c r="BG84" s="3651">
        <v>0</v>
      </c>
      <c r="BH84" s="3651">
        <v>0</v>
      </c>
      <c r="BI84" s="3651">
        <v>0</v>
      </c>
      <c r="BJ84" s="3651">
        <v>0</v>
      </c>
      <c r="BK84" s="3651">
        <v>0</v>
      </c>
      <c r="BL84" s="3651">
        <v>0</v>
      </c>
      <c r="BM84" s="3651">
        <v>0</v>
      </c>
      <c r="BN84" s="3651">
        <v>0</v>
      </c>
      <c r="BO84" s="3651">
        <v>0</v>
      </c>
      <c r="BP84" s="3651">
        <v>0</v>
      </c>
      <c r="BQ84" s="3651">
        <v>0</v>
      </c>
      <c r="BR84" s="3651">
        <v>0</v>
      </c>
      <c r="BS84" s="3651">
        <v>0</v>
      </c>
      <c r="BT84" s="3651">
        <v>0</v>
      </c>
      <c r="BU84" s="3651">
        <v>0</v>
      </c>
      <c r="BV84" s="3651">
        <v>0</v>
      </c>
      <c r="BW84" s="3651">
        <v>0</v>
      </c>
      <c r="BX84" s="3651">
        <v>0</v>
      </c>
      <c r="BY84" s="3651">
        <v>0</v>
      </c>
      <c r="BZ84" s="3651">
        <v>0</v>
      </c>
      <c r="CA84" s="3651">
        <v>0</v>
      </c>
      <c r="CB84" s="3650">
        <v>0</v>
      </c>
    </row>
    <row r="85" spans="18:80" ht="29">
      <c r="R85" s="3469">
        <f t="shared" si="50"/>
        <v>80</v>
      </c>
      <c r="S85" s="3470" t="s">
        <v>3086</v>
      </c>
      <c r="T85" s="3471" t="s">
        <v>3293</v>
      </c>
      <c r="U85" s="3472">
        <v>250002</v>
      </c>
      <c r="V85" s="3472">
        <v>250000</v>
      </c>
      <c r="W85" s="3472">
        <v>249996</v>
      </c>
      <c r="X85" s="3495" t="s">
        <v>3106</v>
      </c>
      <c r="Y85" s="3495" t="s">
        <v>3106</v>
      </c>
      <c r="Z85" s="3495" t="s">
        <v>3106</v>
      </c>
      <c r="AA85" s="3486">
        <v>0</v>
      </c>
      <c r="AB85" s="3486">
        <v>0</v>
      </c>
      <c r="AC85" s="3486">
        <v>0</v>
      </c>
      <c r="AD85" s="3487">
        <v>0</v>
      </c>
      <c r="AE85" s="3487">
        <v>0</v>
      </c>
      <c r="AF85" s="3487">
        <v>0</v>
      </c>
      <c r="AG85" s="3487">
        <v>0</v>
      </c>
      <c r="AH85" s="3487">
        <v>0</v>
      </c>
      <c r="AI85" s="3487">
        <v>0</v>
      </c>
      <c r="AJ85" s="3488" t="s">
        <v>3107</v>
      </c>
      <c r="AK85" s="3477"/>
      <c r="AL85" s="3477" t="s">
        <v>3088</v>
      </c>
      <c r="AM85" s="3477" t="s">
        <v>3108</v>
      </c>
      <c r="AN85" s="3478">
        <f t="shared" si="59"/>
        <v>0</v>
      </c>
      <c r="AO85" s="3478">
        <f t="shared" si="60"/>
        <v>0</v>
      </c>
      <c r="AP85" s="3478">
        <f t="shared" si="61"/>
        <v>0</v>
      </c>
      <c r="AQ85" s="3478">
        <f t="shared" si="62"/>
        <v>0</v>
      </c>
      <c r="AR85" s="3478">
        <f t="shared" si="63"/>
        <v>0</v>
      </c>
      <c r="AS85" s="3478">
        <f t="shared" si="64"/>
        <v>0</v>
      </c>
      <c r="AT85" s="3478">
        <f t="shared" si="54"/>
        <v>0</v>
      </c>
      <c r="AU85" s="3478">
        <f t="shared" si="55"/>
        <v>0</v>
      </c>
      <c r="AV85" s="3478">
        <f t="shared" si="56"/>
        <v>0</v>
      </c>
      <c r="AW85" s="3478">
        <f t="shared" si="57"/>
        <v>0</v>
      </c>
      <c r="AX85" s="3498" t="s">
        <v>3294</v>
      </c>
      <c r="AY85" s="3480">
        <f t="shared" si="51"/>
        <v>80</v>
      </c>
      <c r="AZ85" s="3480"/>
      <c r="BC85" s="3619"/>
      <c r="CB85" s="3618"/>
    </row>
    <row r="86" spans="18:80" ht="25">
      <c r="R86" s="3469">
        <f t="shared" si="50"/>
        <v>81</v>
      </c>
      <c r="S86" s="3470" t="s">
        <v>3111</v>
      </c>
      <c r="T86" s="3471" t="s">
        <v>3295</v>
      </c>
      <c r="U86" s="3472">
        <v>4717625</v>
      </c>
      <c r="V86" s="3472">
        <v>0</v>
      </c>
      <c r="W86" s="3472">
        <v>0</v>
      </c>
      <c r="X86" s="3473">
        <f t="shared" ref="X86:Z88" si="65">U86*$T$4*$T$3</f>
        <v>9542.0811848819903</v>
      </c>
      <c r="Y86" s="3473">
        <f t="shared" si="65"/>
        <v>0</v>
      </c>
      <c r="Z86" s="3473">
        <f t="shared" si="65"/>
        <v>0</v>
      </c>
      <c r="AA86" s="3486">
        <v>0</v>
      </c>
      <c r="AB86" s="3486">
        <v>0</v>
      </c>
      <c r="AC86" s="3486">
        <v>0</v>
      </c>
      <c r="AD86" s="3487">
        <v>0</v>
      </c>
      <c r="AE86" s="3487">
        <v>0</v>
      </c>
      <c r="AF86" s="3487">
        <v>0</v>
      </c>
      <c r="AG86" s="3487">
        <v>0</v>
      </c>
      <c r="AH86" s="3487">
        <v>0</v>
      </c>
      <c r="AI86" s="3487">
        <v>0</v>
      </c>
      <c r="AJ86" s="3488" t="s">
        <v>3107</v>
      </c>
      <c r="AK86" s="3477"/>
      <c r="AL86" s="3477" t="s">
        <v>3088</v>
      </c>
      <c r="AM86" s="3477" t="s">
        <v>3089</v>
      </c>
      <c r="AN86" s="3478">
        <f t="shared" si="59"/>
        <v>6145.1002830640018</v>
      </c>
      <c r="AO86" s="3478">
        <f t="shared" si="60"/>
        <v>0</v>
      </c>
      <c r="AP86" s="3478">
        <f t="shared" si="61"/>
        <v>0</v>
      </c>
      <c r="AQ86" s="3478">
        <f t="shared" si="62"/>
        <v>0</v>
      </c>
      <c r="AR86" s="3478">
        <f t="shared" si="63"/>
        <v>0</v>
      </c>
      <c r="AS86" s="3478">
        <f t="shared" si="64"/>
        <v>0</v>
      </c>
      <c r="AT86" s="3478">
        <f t="shared" si="54"/>
        <v>0</v>
      </c>
      <c r="AU86" s="3478">
        <f t="shared" si="55"/>
        <v>0</v>
      </c>
      <c r="AV86" s="3478">
        <f t="shared" si="56"/>
        <v>0</v>
      </c>
      <c r="AW86" s="3478">
        <f t="shared" si="57"/>
        <v>0</v>
      </c>
      <c r="AX86" s="3479" t="s">
        <v>3090</v>
      </c>
      <c r="AY86" s="3480">
        <f t="shared" si="51"/>
        <v>81</v>
      </c>
      <c r="AZ86" s="3480"/>
      <c r="BC86" s="3619"/>
      <c r="BD86" s="3549" t="s">
        <v>3388</v>
      </c>
      <c r="CB86" s="3618"/>
    </row>
    <row r="87" spans="18:80" ht="29">
      <c r="R87" s="3469">
        <f t="shared" si="50"/>
        <v>82</v>
      </c>
      <c r="S87" s="3470" t="s">
        <v>3296</v>
      </c>
      <c r="T87" s="3471" t="s">
        <v>3297</v>
      </c>
      <c r="U87" s="3472">
        <v>33749995.571428567</v>
      </c>
      <c r="V87" s="3472">
        <v>35249997</v>
      </c>
      <c r="W87" s="3472">
        <v>60249995</v>
      </c>
      <c r="X87" s="3473">
        <f t="shared" si="65"/>
        <v>68264.263847164417</v>
      </c>
      <c r="Y87" s="3473">
        <f t="shared" si="65"/>
        <v>71298.234416861567</v>
      </c>
      <c r="Z87" s="3473">
        <f t="shared" si="65"/>
        <v>121864.35837497341</v>
      </c>
      <c r="AA87" s="3486">
        <v>0</v>
      </c>
      <c r="AB87" s="3486">
        <v>0</v>
      </c>
      <c r="AC87" s="3486">
        <v>0</v>
      </c>
      <c r="AD87" s="3487">
        <v>53000000</v>
      </c>
      <c r="AE87" s="3487">
        <v>53000000</v>
      </c>
      <c r="AF87" s="3487">
        <v>0</v>
      </c>
      <c r="AG87" s="3487">
        <v>0</v>
      </c>
      <c r="AH87" s="3487">
        <v>0</v>
      </c>
      <c r="AI87" s="3487">
        <v>0</v>
      </c>
      <c r="AJ87" s="3488" t="s">
        <v>3157</v>
      </c>
      <c r="AK87" s="3477" t="s">
        <v>3123</v>
      </c>
      <c r="AL87" s="3477" t="s">
        <v>3088</v>
      </c>
      <c r="AM87" s="3477" t="s">
        <v>3151</v>
      </c>
      <c r="AN87" s="3478">
        <f t="shared" si="59"/>
        <v>45698.146147207277</v>
      </c>
      <c r="AO87" s="3478">
        <f t="shared" si="60"/>
        <v>0</v>
      </c>
      <c r="AP87" s="3478">
        <f t="shared" si="61"/>
        <v>47729.177065679636</v>
      </c>
      <c r="AQ87" s="3478">
        <f t="shared" si="62"/>
        <v>0</v>
      </c>
      <c r="AR87" s="3478">
        <f t="shared" si="63"/>
        <v>81579.657426958453</v>
      </c>
      <c r="AS87" s="3478">
        <f t="shared" si="64"/>
        <v>0</v>
      </c>
      <c r="AT87" s="3510">
        <f t="shared" si="54"/>
        <v>35479790</v>
      </c>
      <c r="AU87" s="3510">
        <f t="shared" si="55"/>
        <v>0</v>
      </c>
      <c r="AV87" s="3510">
        <f t="shared" si="56"/>
        <v>35479790</v>
      </c>
      <c r="AW87" s="3510">
        <f t="shared" si="57"/>
        <v>0</v>
      </c>
      <c r="AX87" s="3479" t="s">
        <v>3298</v>
      </c>
      <c r="AY87" s="3480">
        <f t="shared" si="51"/>
        <v>82</v>
      </c>
      <c r="AZ87" s="3480"/>
      <c r="BC87" s="3619"/>
      <c r="BD87" s="3549" t="s">
        <v>1522</v>
      </c>
      <c r="BE87" s="3651">
        <v>2.8590353070704223E-3</v>
      </c>
      <c r="BF87" s="3651">
        <v>3.5968467164206484E-3</v>
      </c>
      <c r="BG87" s="3651">
        <v>3.6093360530081529E-3</v>
      </c>
      <c r="BH87" s="3651">
        <v>4.1521409781408881E-3</v>
      </c>
      <c r="BI87" s="3651">
        <v>6.2428234192736711E-3</v>
      </c>
      <c r="BJ87" s="3651">
        <v>5.8417261412805109E-3</v>
      </c>
      <c r="BK87" s="3651">
        <v>6.3284120577597547E-3</v>
      </c>
      <c r="BL87" s="3651">
        <v>6.1430607663073107E-3</v>
      </c>
      <c r="BM87" s="3651">
        <v>5.4181027046879731E-3</v>
      </c>
      <c r="BN87" s="3651">
        <v>5.3045708656099533E-3</v>
      </c>
      <c r="BO87" s="3651">
        <v>3.8990951603807013E-3</v>
      </c>
      <c r="BP87" s="3651">
        <v>3.2074949834638273E-3</v>
      </c>
      <c r="BQ87" s="3651">
        <v>2.8590353070704223E-3</v>
      </c>
      <c r="BR87" s="3651">
        <v>3.5968467164206484E-3</v>
      </c>
      <c r="BS87" s="3651">
        <v>3.6093360530081529E-3</v>
      </c>
      <c r="BT87" s="3651">
        <v>4.1521409781408881E-3</v>
      </c>
      <c r="BU87" s="3651">
        <v>6.2428234192736711E-3</v>
      </c>
      <c r="BV87" s="3651">
        <v>5.8417261412805109E-3</v>
      </c>
      <c r="BW87" s="3651">
        <v>6.3284120577597547E-3</v>
      </c>
      <c r="BX87" s="3651">
        <v>6.1430607663073107E-3</v>
      </c>
      <c r="BY87" s="3651">
        <v>5.4181027046879731E-3</v>
      </c>
      <c r="BZ87" s="3651">
        <v>5.3045708656099533E-3</v>
      </c>
      <c r="CA87" s="3651">
        <v>3.8990951603807013E-3</v>
      </c>
      <c r="CB87" s="3650">
        <v>3.2074949834638273E-3</v>
      </c>
    </row>
    <row r="88" spans="18:80" ht="43.5">
      <c r="R88" s="3469">
        <f t="shared" si="50"/>
        <v>83</v>
      </c>
      <c r="S88" s="3470" t="s">
        <v>3111</v>
      </c>
      <c r="T88" s="3471" t="s">
        <v>3299</v>
      </c>
      <c r="U88" s="3472">
        <v>13000004</v>
      </c>
      <c r="V88" s="3472">
        <v>9999994</v>
      </c>
      <c r="W88" s="3472">
        <v>9999994</v>
      </c>
      <c r="X88" s="3473">
        <f t="shared" si="65"/>
        <v>26294.394652349562</v>
      </c>
      <c r="Y88" s="3473">
        <f t="shared" si="65"/>
        <v>20226.439065490111</v>
      </c>
      <c r="Z88" s="3473">
        <f t="shared" si="65"/>
        <v>20226.439065490111</v>
      </c>
      <c r="AA88" s="3486">
        <v>0</v>
      </c>
      <c r="AB88" s="3486">
        <v>0</v>
      </c>
      <c r="AC88" s="3486">
        <v>0</v>
      </c>
      <c r="AD88" s="3487">
        <v>12700000</v>
      </c>
      <c r="AE88" s="3487">
        <v>12700000</v>
      </c>
      <c r="AF88" s="3487">
        <v>0</v>
      </c>
      <c r="AG88" s="3487">
        <v>0</v>
      </c>
      <c r="AH88" s="3487">
        <v>0</v>
      </c>
      <c r="AI88" s="3487">
        <v>0</v>
      </c>
      <c r="AJ88" s="3488"/>
      <c r="AK88" s="3477" t="s">
        <v>3123</v>
      </c>
      <c r="AL88" s="3477" t="s">
        <v>3088</v>
      </c>
      <c r="AM88" s="3477" t="s">
        <v>3151</v>
      </c>
      <c r="AN88" s="3478">
        <f t="shared" si="59"/>
        <v>17602.256612122364</v>
      </c>
      <c r="AO88" s="3478">
        <f t="shared" si="60"/>
        <v>0</v>
      </c>
      <c r="AP88" s="3478">
        <f t="shared" si="61"/>
        <v>13540.185103611044</v>
      </c>
      <c r="AQ88" s="3478">
        <f t="shared" si="62"/>
        <v>0</v>
      </c>
      <c r="AR88" s="3478">
        <f t="shared" si="63"/>
        <v>13540.185103611044</v>
      </c>
      <c r="AS88" s="3478">
        <f t="shared" si="64"/>
        <v>0</v>
      </c>
      <c r="AT88" s="3478">
        <f t="shared" si="54"/>
        <v>8501761</v>
      </c>
      <c r="AU88" s="3478">
        <f t="shared" si="55"/>
        <v>0</v>
      </c>
      <c r="AV88" s="3478">
        <f t="shared" si="56"/>
        <v>8501761</v>
      </c>
      <c r="AW88" s="3478">
        <f t="shared" si="57"/>
        <v>0</v>
      </c>
      <c r="AX88" s="3479" t="s">
        <v>3300</v>
      </c>
      <c r="AY88" s="3480">
        <f t="shared" si="51"/>
        <v>83</v>
      </c>
      <c r="AZ88" s="3480"/>
      <c r="BC88" s="3619"/>
      <c r="BD88" s="3549" t="s">
        <v>1521</v>
      </c>
      <c r="BE88" s="3651">
        <v>1.1436141228281689E-2</v>
      </c>
      <c r="BF88" s="3651">
        <v>1.4387386865682594E-2</v>
      </c>
      <c r="BG88" s="3651">
        <v>1.4437344212032611E-2</v>
      </c>
      <c r="BH88" s="3651">
        <v>1.6608563912563552E-2</v>
      </c>
      <c r="BI88" s="3651">
        <v>2.4971293677094684E-2</v>
      </c>
      <c r="BJ88" s="3651">
        <v>2.3366904565122044E-2</v>
      </c>
      <c r="BK88" s="3651">
        <v>2.5313648231039019E-2</v>
      </c>
      <c r="BL88" s="3651">
        <v>2.4572243065229243E-2</v>
      </c>
      <c r="BM88" s="3651">
        <v>2.1672410818751892E-2</v>
      </c>
      <c r="BN88" s="3651">
        <v>2.1218283462439813E-2</v>
      </c>
      <c r="BO88" s="3651">
        <v>1.5596380641522805E-2</v>
      </c>
      <c r="BP88" s="3651">
        <v>1.2829979933855309E-2</v>
      </c>
      <c r="BQ88" s="3651">
        <v>1.1436141228281689E-2</v>
      </c>
      <c r="BR88" s="3651">
        <v>1.4387386865682594E-2</v>
      </c>
      <c r="BS88" s="3651">
        <v>1.4437344212032611E-2</v>
      </c>
      <c r="BT88" s="3651">
        <v>1.6608563912563552E-2</v>
      </c>
      <c r="BU88" s="3651">
        <v>2.4971293677094684E-2</v>
      </c>
      <c r="BV88" s="3651">
        <v>2.3366904565122044E-2</v>
      </c>
      <c r="BW88" s="3651">
        <v>2.5313648231039019E-2</v>
      </c>
      <c r="BX88" s="3651">
        <v>2.4572243065229243E-2</v>
      </c>
      <c r="BY88" s="3651">
        <v>2.1672410818751892E-2</v>
      </c>
      <c r="BZ88" s="3651">
        <v>2.1218283462439813E-2</v>
      </c>
      <c r="CA88" s="3651">
        <v>1.5596380641522805E-2</v>
      </c>
      <c r="CB88" s="3650">
        <v>1.2829979933855309E-2</v>
      </c>
    </row>
    <row r="89" spans="18:80" ht="29">
      <c r="R89" s="3469">
        <f t="shared" si="50"/>
        <v>84</v>
      </c>
      <c r="S89" s="3470" t="s">
        <v>3111</v>
      </c>
      <c r="T89" s="3471" t="s">
        <v>3301</v>
      </c>
      <c r="U89" s="3472">
        <v>999998</v>
      </c>
      <c r="V89" s="3472">
        <v>999998</v>
      </c>
      <c r="W89" s="3472">
        <v>2000002</v>
      </c>
      <c r="X89" s="3495" t="s">
        <v>3106</v>
      </c>
      <c r="Y89" s="3495" t="s">
        <v>3106</v>
      </c>
      <c r="Z89" s="3495" t="s">
        <v>3106</v>
      </c>
      <c r="AA89" s="3486">
        <v>0</v>
      </c>
      <c r="AB89" s="3486">
        <v>0</v>
      </c>
      <c r="AC89" s="3486">
        <v>0</v>
      </c>
      <c r="AD89" s="3487">
        <v>1058000</v>
      </c>
      <c r="AE89" s="3487">
        <v>949000</v>
      </c>
      <c r="AF89" s="3487">
        <v>0</v>
      </c>
      <c r="AG89" s="3487">
        <v>0</v>
      </c>
      <c r="AH89" s="3487">
        <v>0</v>
      </c>
      <c r="AI89" s="3487">
        <v>0</v>
      </c>
      <c r="AJ89" s="3488" t="s">
        <v>3107</v>
      </c>
      <c r="AK89" s="3477" t="s">
        <v>3123</v>
      </c>
      <c r="AL89" s="3477" t="s">
        <v>880</v>
      </c>
      <c r="AM89" s="3548" t="s">
        <v>880</v>
      </c>
      <c r="AN89" s="3478"/>
      <c r="AO89" s="3478"/>
      <c r="AP89" s="3478"/>
      <c r="AQ89" s="3478"/>
      <c r="AR89" s="3478"/>
      <c r="AS89" s="3478"/>
      <c r="AT89" s="3478">
        <f>AD89</f>
        <v>1058000</v>
      </c>
      <c r="AU89" s="3478">
        <f>AE89</f>
        <v>949000</v>
      </c>
      <c r="AV89" s="3478">
        <f t="shared" si="56"/>
        <v>0</v>
      </c>
      <c r="AW89" s="3478">
        <f t="shared" si="57"/>
        <v>0</v>
      </c>
      <c r="AX89" s="3479" t="s">
        <v>3302</v>
      </c>
      <c r="AY89" s="3480">
        <f t="shared" si="51"/>
        <v>84</v>
      </c>
      <c r="AZ89" s="3480"/>
      <c r="BC89" s="3619"/>
      <c r="BD89" s="3549" t="s">
        <v>1520</v>
      </c>
      <c r="BE89" s="3651">
        <v>0.12865658881816902</v>
      </c>
      <c r="BF89" s="3651">
        <v>0.16185810223892919</v>
      </c>
      <c r="BG89" s="3651">
        <v>0.16242012238536688</v>
      </c>
      <c r="BH89" s="3651">
        <v>0.18684634401633995</v>
      </c>
      <c r="BI89" s="3651">
        <v>0.2809270538673152</v>
      </c>
      <c r="BJ89" s="3651">
        <v>0.26287767635762299</v>
      </c>
      <c r="BK89" s="3651">
        <v>0.28477854259918894</v>
      </c>
      <c r="BL89" s="3651">
        <v>0.27643773448382897</v>
      </c>
      <c r="BM89" s="3651">
        <v>0.2438146217109588</v>
      </c>
      <c r="BN89" s="3651">
        <v>0.23870568895244787</v>
      </c>
      <c r="BO89" s="3651">
        <v>0.17545928221713156</v>
      </c>
      <c r="BP89" s="3651">
        <v>0.14433727425587223</v>
      </c>
      <c r="BQ89" s="3651">
        <v>0.12865658881816902</v>
      </c>
      <c r="BR89" s="3651">
        <v>0.16185810223892919</v>
      </c>
      <c r="BS89" s="3651">
        <v>0.16242012238536688</v>
      </c>
      <c r="BT89" s="3651">
        <v>0.18684634401633995</v>
      </c>
      <c r="BU89" s="3651">
        <v>0.2809270538673152</v>
      </c>
      <c r="BV89" s="3651">
        <v>0.26287767635762299</v>
      </c>
      <c r="BW89" s="3651">
        <v>0.28477854259918894</v>
      </c>
      <c r="BX89" s="3651">
        <v>0.27643773448382897</v>
      </c>
      <c r="BY89" s="3651">
        <v>0.2438146217109588</v>
      </c>
      <c r="BZ89" s="3651">
        <v>0.23870568895244787</v>
      </c>
      <c r="CA89" s="3651">
        <v>0.17545928221713156</v>
      </c>
      <c r="CB89" s="3650">
        <v>0.14433727425587223</v>
      </c>
    </row>
    <row r="90" spans="18:80" ht="58">
      <c r="R90" s="3469">
        <f t="shared" si="50"/>
        <v>85</v>
      </c>
      <c r="S90" s="3470" t="s">
        <v>3086</v>
      </c>
      <c r="T90" s="3471" t="s">
        <v>3303</v>
      </c>
      <c r="U90" s="3472">
        <v>150000</v>
      </c>
      <c r="V90" s="3472">
        <v>149999</v>
      </c>
      <c r="W90" s="3472">
        <v>150000</v>
      </c>
      <c r="X90" s="3495" t="s">
        <v>3106</v>
      </c>
      <c r="Y90" s="3495" t="s">
        <v>3106</v>
      </c>
      <c r="Z90" s="3495" t="s">
        <v>3106</v>
      </c>
      <c r="AA90" s="3553">
        <v>0</v>
      </c>
      <c r="AB90" s="3553">
        <v>0</v>
      </c>
      <c r="AC90" s="3553">
        <v>0</v>
      </c>
      <c r="AD90" s="3554">
        <v>0</v>
      </c>
      <c r="AE90" s="3554">
        <v>0</v>
      </c>
      <c r="AF90" s="3554">
        <v>0</v>
      </c>
      <c r="AG90" s="3554">
        <v>0</v>
      </c>
      <c r="AH90" s="3554">
        <v>0</v>
      </c>
      <c r="AI90" s="3554">
        <v>0</v>
      </c>
      <c r="AJ90" s="3488" t="s">
        <v>3107</v>
      </c>
      <c r="AK90" s="3477"/>
      <c r="AL90" s="3477" t="s">
        <v>880</v>
      </c>
      <c r="AM90" s="3477" t="s">
        <v>3108</v>
      </c>
      <c r="AN90" s="3478">
        <f t="shared" ref="AN90:AN122" si="66">IF(AA90&gt;0,AA90*(VLOOKUP($AM90,$AG$129:$AI$137,2,FALSE)),IF($AM90=$AG$137,$AH$137,X90*(VLOOKUP($AM90,$AG$129:$AI$137,2,FALSE))))</f>
        <v>0</v>
      </c>
      <c r="AO90" s="3478">
        <f t="shared" ref="AO90:AO122" si="67">IF(AA90&gt;0,AA90*(VLOOKUP($AM90,$AG$129:$AI$137,3,FALSE)),IF($AM90=$AG$137,$AH$137,X90*(VLOOKUP($AM90,$AG$129:$AI$137,3,FALSE))))</f>
        <v>0</v>
      </c>
      <c r="AP90" s="3478">
        <f t="shared" ref="AP90:AP122" si="68">IF(AB90&gt;0,AB90*(VLOOKUP($AM90,$AG$129:$AI$137,2,FALSE)),IF($AM90=$AG$137,$AH$137,Y90*(VLOOKUP($AM90,$AG$129:$AI$137,2,FALSE))))</f>
        <v>0</v>
      </c>
      <c r="AQ90" s="3478">
        <f t="shared" ref="AQ90:AQ122" si="69">IF(AB90&gt;0,AB90*(VLOOKUP($AM90,$AG$129:$AI$137,3,FALSE)),IF($AM90=$AG$137,$AH$137,Y90*(VLOOKUP($AM90,$AG$129:$AI$137,3,FALSE))))</f>
        <v>0</v>
      </c>
      <c r="AR90" s="3478">
        <f t="shared" ref="AR90:AR122" si="70">IF(AC90&gt;0,AC90*(VLOOKUP($AM90,$AG$129:$AI$137,2,FALSE)),IF($AM90=$AG$137,$AH$137,Z90*(VLOOKUP($AM90,$AG$129:$AI$137,2,FALSE))))</f>
        <v>0</v>
      </c>
      <c r="AS90" s="3478">
        <f t="shared" ref="AS90:AS122" si="71">IF(AC90&gt;0,AC90*(VLOOKUP($AM90,$AG$129:$AI$137,3,FALSE)),IF($AM90=$AG$137,$AH$137,Z90*(VLOOKUP($AM90,$AG$129:$AI$137,3,FALSE))))</f>
        <v>0</v>
      </c>
      <c r="AT90" s="3555">
        <f t="shared" ref="AT90:AT122" si="72">IF($AM90=$AG$129,(AD90)*$AH$129,IF($AM90=$AG$130,(AD90)*$AH$130,IF($AM90=$AG$131,(AD90)*$AH$131,IF($AM90=$AG$134,(AD90)*$AH$134,IF($AM90=$AG$135,(AD90)*$AH$135,IF($AM90=$AG$136,(AD90)*$AH$136,IF(AM90=$AM$10,0,0)))))))</f>
        <v>0</v>
      </c>
      <c r="AU90" s="3555">
        <f t="shared" ref="AU90:AU122" si="73">IF($AM90=$AG$129,(AD90)*$AI$129,IF($AM90=$AG$130,(AD90)*$AI$130,IF($AM90=$AG$131,(AD90)*$AI$131,IF($AM90=$AG$134,(AD90)*$AI$134,IF($AM90=$AG$135,(AD90)*$AI$135,IF($AM90=$AG$136,(AD90)*$AI$136,IF(AM90=$AM$10,0,0)))))))</f>
        <v>0</v>
      </c>
      <c r="AV90" s="3555">
        <f t="shared" si="56"/>
        <v>0</v>
      </c>
      <c r="AW90" s="3555">
        <f t="shared" si="57"/>
        <v>0</v>
      </c>
      <c r="AX90" s="3479" t="s">
        <v>3304</v>
      </c>
      <c r="AY90" s="3480">
        <f t="shared" si="51"/>
        <v>85</v>
      </c>
      <c r="AZ90" s="3480"/>
      <c r="BC90" s="3619"/>
      <c r="BD90" s="3549" t="s">
        <v>1519</v>
      </c>
      <c r="BE90" s="3651">
        <v>0.21442764803028169</v>
      </c>
      <c r="BF90" s="3651">
        <v>0.26976350373154862</v>
      </c>
      <c r="BG90" s="3651">
        <v>0.27070020397561145</v>
      </c>
      <c r="BH90" s="3651">
        <v>0.3114105733605666</v>
      </c>
      <c r="BI90" s="3651">
        <v>0.46821175644552532</v>
      </c>
      <c r="BJ90" s="3651">
        <v>0.4381294605960383</v>
      </c>
      <c r="BK90" s="3651">
        <v>0.47463090433198157</v>
      </c>
      <c r="BL90" s="3651">
        <v>0.46072955747304828</v>
      </c>
      <c r="BM90" s="3651">
        <v>0.406357702851598</v>
      </c>
      <c r="BN90" s="3651">
        <v>0.39784281492074647</v>
      </c>
      <c r="BO90" s="3651">
        <v>0.29243213702855259</v>
      </c>
      <c r="BP90" s="3651">
        <v>0.24056212375978703</v>
      </c>
      <c r="BQ90" s="3651">
        <v>0.21442764803028169</v>
      </c>
      <c r="BR90" s="3651">
        <v>0.26976350373154862</v>
      </c>
      <c r="BS90" s="3651">
        <v>0.27070020397561145</v>
      </c>
      <c r="BT90" s="3651">
        <v>0.3114105733605666</v>
      </c>
      <c r="BU90" s="3651">
        <v>0.46821175644552532</v>
      </c>
      <c r="BV90" s="3651">
        <v>0.4381294605960383</v>
      </c>
      <c r="BW90" s="3651">
        <v>0.47463090433198157</v>
      </c>
      <c r="BX90" s="3651">
        <v>0.46072955747304828</v>
      </c>
      <c r="BY90" s="3651">
        <v>0.406357702851598</v>
      </c>
      <c r="BZ90" s="3651">
        <v>0.39784281492074647</v>
      </c>
      <c r="CA90" s="3651">
        <v>0.29243213702855259</v>
      </c>
      <c r="CB90" s="3650">
        <v>0.24056212375978703</v>
      </c>
    </row>
    <row r="91" spans="18:80" ht="72.5">
      <c r="R91" s="3469">
        <f t="shared" si="50"/>
        <v>86</v>
      </c>
      <c r="S91" s="3470" t="s">
        <v>3100</v>
      </c>
      <c r="T91" s="3471" t="s">
        <v>3305</v>
      </c>
      <c r="U91" s="3472">
        <v>5798065</v>
      </c>
      <c r="V91" s="3472">
        <v>3168636</v>
      </c>
      <c r="W91" s="3472">
        <v>2704701</v>
      </c>
      <c r="X91" s="3473">
        <f t="shared" ref="X91:Z113" si="74">U91*$T$4*$T$3</f>
        <v>11727.427878481818</v>
      </c>
      <c r="Y91" s="3473">
        <f t="shared" si="74"/>
        <v>6409.0261428875183</v>
      </c>
      <c r="Z91" s="3473">
        <f t="shared" si="74"/>
        <v>5470.6502790771847</v>
      </c>
      <c r="AA91" s="3553">
        <v>10000</v>
      </c>
      <c r="AB91" s="3553">
        <v>20000</v>
      </c>
      <c r="AC91" s="3553">
        <v>20000</v>
      </c>
      <c r="AD91" s="3554">
        <v>0</v>
      </c>
      <c r="AE91" s="3554">
        <v>0</v>
      </c>
      <c r="AF91" s="3554">
        <v>54081</v>
      </c>
      <c r="AG91" s="3554">
        <v>54081</v>
      </c>
      <c r="AH91" s="3554">
        <v>0</v>
      </c>
      <c r="AI91" s="3554">
        <v>0</v>
      </c>
      <c r="AJ91" s="3488"/>
      <c r="AK91" s="3477"/>
      <c r="AL91" s="3477" t="s">
        <v>839</v>
      </c>
      <c r="AM91" s="3477" t="s">
        <v>839</v>
      </c>
      <c r="AN91" s="3478">
        <f t="shared" si="66"/>
        <v>4693.5076159999999</v>
      </c>
      <c r="AO91" s="3478">
        <f t="shared" si="67"/>
        <v>1485.7161679999999</v>
      </c>
      <c r="AP91" s="3478">
        <f t="shared" si="68"/>
        <v>9387.0152319999997</v>
      </c>
      <c r="AQ91" s="3478">
        <f t="shared" si="69"/>
        <v>2971.4323359999999</v>
      </c>
      <c r="AR91" s="3478">
        <f t="shared" si="70"/>
        <v>9387.0152319999997</v>
      </c>
      <c r="AS91" s="3478">
        <f t="shared" si="71"/>
        <v>2971.4323359999999</v>
      </c>
      <c r="AT91" s="3555">
        <f t="shared" si="72"/>
        <v>0</v>
      </c>
      <c r="AU91" s="3555">
        <f t="shared" si="73"/>
        <v>0</v>
      </c>
      <c r="AV91" s="3555">
        <f t="shared" si="56"/>
        <v>0</v>
      </c>
      <c r="AW91" s="3555">
        <f t="shared" si="57"/>
        <v>0</v>
      </c>
      <c r="AX91" s="3479" t="s">
        <v>3306</v>
      </c>
      <c r="AY91" s="3480">
        <f t="shared" si="51"/>
        <v>86</v>
      </c>
      <c r="AZ91" s="3480"/>
      <c r="BC91" s="3619"/>
      <c r="BD91" s="3549" t="s">
        <v>1518</v>
      </c>
      <c r="BE91" s="3651">
        <v>0.64262058661619725</v>
      </c>
      <c r="BF91" s="3651">
        <v>0.55039416044741896</v>
      </c>
      <c r="BG91" s="3651">
        <v>0.54883299337398084</v>
      </c>
      <c r="BH91" s="3651">
        <v>0.480982377732389</v>
      </c>
      <c r="BI91" s="3651">
        <v>0.21964707259079119</v>
      </c>
      <c r="BJ91" s="3651">
        <v>0.26978423233993615</v>
      </c>
      <c r="BK91" s="3651">
        <v>0.20894849278003069</v>
      </c>
      <c r="BL91" s="3651">
        <v>0.23211740421158622</v>
      </c>
      <c r="BM91" s="3651">
        <v>0.32273716191400331</v>
      </c>
      <c r="BN91" s="3651">
        <v>0.33692864179875598</v>
      </c>
      <c r="BO91" s="3651">
        <v>0.5126131049524123</v>
      </c>
      <c r="BP91" s="3651">
        <v>0.59906312706702158</v>
      </c>
      <c r="BQ91" s="3651">
        <v>0.64262058661619725</v>
      </c>
      <c r="BR91" s="3651">
        <v>0.55039416044741896</v>
      </c>
      <c r="BS91" s="3651">
        <v>0.54883299337398084</v>
      </c>
      <c r="BT91" s="3651">
        <v>0.480982377732389</v>
      </c>
      <c r="BU91" s="3651">
        <v>0.21964707259079119</v>
      </c>
      <c r="BV91" s="3651">
        <v>0.26978423233993615</v>
      </c>
      <c r="BW91" s="3651">
        <v>0.20894849278003069</v>
      </c>
      <c r="BX91" s="3651">
        <v>0.23211740421158622</v>
      </c>
      <c r="BY91" s="3651">
        <v>0.32273716191400331</v>
      </c>
      <c r="BZ91" s="3651">
        <v>0.33692864179875598</v>
      </c>
      <c r="CA91" s="3651">
        <v>0.5126131049524123</v>
      </c>
      <c r="CB91" s="3650">
        <v>0.59906312706702158</v>
      </c>
    </row>
    <row r="92" spans="18:80" ht="25">
      <c r="R92" s="3469">
        <f t="shared" si="50"/>
        <v>87</v>
      </c>
      <c r="S92" s="3470" t="s">
        <v>3086</v>
      </c>
      <c r="T92" s="3471" t="s">
        <v>3308</v>
      </c>
      <c r="U92" s="3472">
        <v>0</v>
      </c>
      <c r="V92" s="3472">
        <v>14891744</v>
      </c>
      <c r="W92" s="3472">
        <v>0</v>
      </c>
      <c r="X92" s="3473">
        <f t="shared" si="74"/>
        <v>0</v>
      </c>
      <c r="Y92" s="3473">
        <f t="shared" si="74"/>
        <v>30120.713331915798</v>
      </c>
      <c r="Z92" s="3473">
        <f t="shared" si="74"/>
        <v>0</v>
      </c>
      <c r="AA92" s="3553">
        <v>0</v>
      </c>
      <c r="AB92" s="3553">
        <v>0</v>
      </c>
      <c r="AC92" s="3553">
        <v>0</v>
      </c>
      <c r="AD92" s="3554">
        <v>0</v>
      </c>
      <c r="AE92" s="3554">
        <v>0</v>
      </c>
      <c r="AF92" s="3554">
        <v>0</v>
      </c>
      <c r="AG92" s="3554">
        <v>0</v>
      </c>
      <c r="AH92" s="3554">
        <v>0</v>
      </c>
      <c r="AI92" s="3554">
        <v>0</v>
      </c>
      <c r="AJ92" s="3488"/>
      <c r="AK92" s="3477"/>
      <c r="AL92" s="3477" t="s">
        <v>3088</v>
      </c>
      <c r="AM92" s="3477" t="s">
        <v>3089</v>
      </c>
      <c r="AN92" s="3478">
        <f t="shared" si="66"/>
        <v>0</v>
      </c>
      <c r="AO92" s="3478">
        <f t="shared" si="67"/>
        <v>0</v>
      </c>
      <c r="AP92" s="3478">
        <f t="shared" si="68"/>
        <v>19397.739385753775</v>
      </c>
      <c r="AQ92" s="3478">
        <f t="shared" si="69"/>
        <v>0</v>
      </c>
      <c r="AR92" s="3478">
        <f t="shared" si="70"/>
        <v>0</v>
      </c>
      <c r="AS92" s="3478">
        <f t="shared" si="71"/>
        <v>0</v>
      </c>
      <c r="AT92" s="3555">
        <f t="shared" si="72"/>
        <v>0</v>
      </c>
      <c r="AU92" s="3555">
        <f t="shared" si="73"/>
        <v>0</v>
      </c>
      <c r="AV92" s="3555">
        <f t="shared" si="56"/>
        <v>0</v>
      </c>
      <c r="AW92" s="3555">
        <f t="shared" si="57"/>
        <v>0</v>
      </c>
      <c r="AX92" s="3479" t="s">
        <v>3090</v>
      </c>
      <c r="AY92" s="3480">
        <f t="shared" si="51"/>
        <v>87</v>
      </c>
      <c r="AZ92" s="3480"/>
      <c r="BC92" s="3619"/>
      <c r="CB92" s="3618"/>
    </row>
    <row r="93" spans="18:80">
      <c r="R93" s="3469">
        <f t="shared" si="50"/>
        <v>88</v>
      </c>
      <c r="S93" s="3470" t="s">
        <v>3086</v>
      </c>
      <c r="T93" s="3471" t="s">
        <v>3309</v>
      </c>
      <c r="U93" s="3472">
        <v>868123</v>
      </c>
      <c r="V93" s="3472">
        <v>1813667</v>
      </c>
      <c r="W93" s="3472">
        <v>1450001</v>
      </c>
      <c r="X93" s="3473">
        <f t="shared" si="74"/>
        <v>1755.9047496278968</v>
      </c>
      <c r="Y93" s="3473">
        <f t="shared" si="74"/>
        <v>3668.4047071018495</v>
      </c>
      <c r="Z93" s="3473">
        <f t="shared" si="74"/>
        <v>2932.8374468424408</v>
      </c>
      <c r="AA93" s="3553">
        <v>0</v>
      </c>
      <c r="AB93" s="3553">
        <v>0</v>
      </c>
      <c r="AC93" s="3553">
        <v>0</v>
      </c>
      <c r="AD93" s="3554">
        <v>0</v>
      </c>
      <c r="AE93" s="3554">
        <v>0</v>
      </c>
      <c r="AF93" s="3554">
        <v>0</v>
      </c>
      <c r="AG93" s="3554">
        <v>0</v>
      </c>
      <c r="AH93" s="3554">
        <v>0</v>
      </c>
      <c r="AI93" s="3554">
        <v>0</v>
      </c>
      <c r="AJ93" s="3488"/>
      <c r="AK93" s="3477"/>
      <c r="AL93" s="3477" t="s">
        <v>3088</v>
      </c>
      <c r="AM93" s="3477" t="s">
        <v>3089</v>
      </c>
      <c r="AN93" s="3478">
        <f t="shared" si="66"/>
        <v>1130.8026587603656</v>
      </c>
      <c r="AO93" s="3478">
        <f t="shared" si="67"/>
        <v>0</v>
      </c>
      <c r="AP93" s="3478">
        <f t="shared" si="68"/>
        <v>2362.452631373591</v>
      </c>
      <c r="AQ93" s="3478">
        <f t="shared" si="69"/>
        <v>0</v>
      </c>
      <c r="AR93" s="3478">
        <f t="shared" si="70"/>
        <v>1888.747315766532</v>
      </c>
      <c r="AS93" s="3478">
        <f t="shared" si="71"/>
        <v>0</v>
      </c>
      <c r="AT93" s="3555">
        <f t="shared" si="72"/>
        <v>0</v>
      </c>
      <c r="AU93" s="3555">
        <f t="shared" si="73"/>
        <v>0</v>
      </c>
      <c r="AV93" s="3555">
        <f t="shared" si="56"/>
        <v>0</v>
      </c>
      <c r="AW93" s="3555">
        <f t="shared" si="57"/>
        <v>0</v>
      </c>
      <c r="AX93" s="3479" t="s">
        <v>3090</v>
      </c>
      <c r="AY93" s="3480">
        <f t="shared" si="51"/>
        <v>88</v>
      </c>
      <c r="AZ93" s="3480"/>
      <c r="BC93" s="3619"/>
      <c r="BD93" s="3549" t="s">
        <v>3387</v>
      </c>
      <c r="CB93" s="3618"/>
    </row>
    <row r="94" spans="18:80">
      <c r="R94" s="3469">
        <f t="shared" si="50"/>
        <v>89</v>
      </c>
      <c r="S94" s="3470" t="s">
        <v>3086</v>
      </c>
      <c r="T94" s="3471" t="s">
        <v>3310</v>
      </c>
      <c r="U94" s="3472">
        <v>637698</v>
      </c>
      <c r="V94" s="3472">
        <v>1967828</v>
      </c>
      <c r="W94" s="3472">
        <v>4365255</v>
      </c>
      <c r="X94" s="3473">
        <f t="shared" si="74"/>
        <v>1289.8367478205398</v>
      </c>
      <c r="Y94" s="3473">
        <f t="shared" si="74"/>
        <v>3980.2177014671483</v>
      </c>
      <c r="Z94" s="3473">
        <f t="shared" si="74"/>
        <v>8829.3617238996376</v>
      </c>
      <c r="AA94" s="3553">
        <v>0</v>
      </c>
      <c r="AB94" s="3553">
        <v>0</v>
      </c>
      <c r="AC94" s="3553">
        <v>0</v>
      </c>
      <c r="AD94" s="3554">
        <v>0</v>
      </c>
      <c r="AE94" s="3554">
        <v>0</v>
      </c>
      <c r="AF94" s="3554">
        <v>0</v>
      </c>
      <c r="AG94" s="3554">
        <v>0</v>
      </c>
      <c r="AH94" s="3554">
        <v>0</v>
      </c>
      <c r="AI94" s="3554">
        <v>0</v>
      </c>
      <c r="AJ94" s="3488"/>
      <c r="AK94" s="3477"/>
      <c r="AL94" s="3477" t="s">
        <v>3088</v>
      </c>
      <c r="AM94" s="3477" t="s">
        <v>3089</v>
      </c>
      <c r="AN94" s="3478">
        <f t="shared" si="66"/>
        <v>830.65486559642761</v>
      </c>
      <c r="AO94" s="3478">
        <f t="shared" si="67"/>
        <v>0</v>
      </c>
      <c r="AP94" s="3478">
        <f t="shared" si="68"/>
        <v>2563.2601997448437</v>
      </c>
      <c r="AQ94" s="3478">
        <f t="shared" si="69"/>
        <v>0</v>
      </c>
      <c r="AR94" s="3478">
        <f t="shared" si="70"/>
        <v>5686.1089501913666</v>
      </c>
      <c r="AS94" s="3478">
        <f t="shared" si="71"/>
        <v>0</v>
      </c>
      <c r="AT94" s="3555">
        <f t="shared" si="72"/>
        <v>0</v>
      </c>
      <c r="AU94" s="3555">
        <f t="shared" si="73"/>
        <v>0</v>
      </c>
      <c r="AV94" s="3555">
        <f t="shared" si="56"/>
        <v>0</v>
      </c>
      <c r="AW94" s="3555">
        <f t="shared" si="57"/>
        <v>0</v>
      </c>
      <c r="AX94" s="3479" t="s">
        <v>3090</v>
      </c>
      <c r="AY94" s="3480">
        <f t="shared" si="51"/>
        <v>89</v>
      </c>
      <c r="AZ94" s="3480"/>
      <c r="BC94" s="3619"/>
      <c r="BD94" s="3549" t="s">
        <v>1522</v>
      </c>
      <c r="BE94" s="3651">
        <v>0.14161939139944588</v>
      </c>
      <c r="BF94" s="3651">
        <v>0.14074995319008432</v>
      </c>
      <c r="BG94" s="3651">
        <v>0.1768079648734909</v>
      </c>
      <c r="BH94" s="3651">
        <v>0.21454824164413983</v>
      </c>
      <c r="BI94" s="3651">
        <v>0.27434525755333877</v>
      </c>
      <c r="BJ94" s="3651">
        <v>0.42132241097115136</v>
      </c>
      <c r="BK94" s="3651">
        <v>0.47918816324733166</v>
      </c>
      <c r="BL94" s="3651">
        <v>0.45960702312623047</v>
      </c>
      <c r="BM94" s="3651">
        <v>0.44609248853408484</v>
      </c>
      <c r="BN94" s="3651">
        <v>0.29114628937911879</v>
      </c>
      <c r="BO94" s="3651">
        <v>0.22594116611783113</v>
      </c>
      <c r="BP94" s="3651">
        <v>0.17416868676218009</v>
      </c>
      <c r="BQ94" s="3651">
        <v>0.14161939139944588</v>
      </c>
      <c r="BR94" s="3651">
        <v>0.14074995319008432</v>
      </c>
      <c r="BS94" s="3651">
        <v>0.1768079648734909</v>
      </c>
      <c r="BT94" s="3651">
        <v>0.21454824164413983</v>
      </c>
      <c r="BU94" s="3651">
        <v>0.27434525755333877</v>
      </c>
      <c r="BV94" s="3651">
        <v>0.42132241097115136</v>
      </c>
      <c r="BW94" s="3651">
        <v>0.47918816324733166</v>
      </c>
      <c r="BX94" s="3651">
        <v>0.45960702312623047</v>
      </c>
      <c r="BY94" s="3651">
        <v>0.44609248853408484</v>
      </c>
      <c r="BZ94" s="3651">
        <v>0.29114628937911879</v>
      </c>
      <c r="CA94" s="3651">
        <v>0.22594116611783113</v>
      </c>
      <c r="CB94" s="3650">
        <v>0.17416868676218009</v>
      </c>
    </row>
    <row r="95" spans="18:80">
      <c r="R95" s="3469">
        <f t="shared" si="50"/>
        <v>90</v>
      </c>
      <c r="S95" s="3470" t="s">
        <v>3086</v>
      </c>
      <c r="T95" s="3471" t="s">
        <v>3311</v>
      </c>
      <c r="U95" s="3472">
        <v>7976356</v>
      </c>
      <c r="V95" s="3472">
        <v>6264758</v>
      </c>
      <c r="W95" s="3472">
        <v>8788005</v>
      </c>
      <c r="X95" s="3473">
        <f t="shared" si="74"/>
        <v>16133.337539868169</v>
      </c>
      <c r="Y95" s="3473">
        <f t="shared" si="74"/>
        <v>12671.382197533487</v>
      </c>
      <c r="Z95" s="3473">
        <f t="shared" si="74"/>
        <v>17775.0154289815</v>
      </c>
      <c r="AA95" s="3553">
        <v>0</v>
      </c>
      <c r="AB95" s="3553">
        <v>0</v>
      </c>
      <c r="AC95" s="3553">
        <v>0</v>
      </c>
      <c r="AD95" s="3554">
        <v>0</v>
      </c>
      <c r="AE95" s="3554">
        <v>0</v>
      </c>
      <c r="AF95" s="3554">
        <v>0</v>
      </c>
      <c r="AG95" s="3554">
        <v>0</v>
      </c>
      <c r="AH95" s="3554">
        <v>0</v>
      </c>
      <c r="AI95" s="3554">
        <v>0</v>
      </c>
      <c r="AJ95" s="3488"/>
      <c r="AK95" s="3477"/>
      <c r="AL95" s="3477" t="s">
        <v>3088</v>
      </c>
      <c r="AM95" s="3477" t="s">
        <v>3089</v>
      </c>
      <c r="AN95" s="3478">
        <f t="shared" si="66"/>
        <v>10389.869375675102</v>
      </c>
      <c r="AO95" s="3478">
        <f t="shared" si="67"/>
        <v>0</v>
      </c>
      <c r="AP95" s="3478">
        <f t="shared" si="68"/>
        <v>8160.3701352115659</v>
      </c>
      <c r="AQ95" s="3478">
        <f t="shared" si="69"/>
        <v>0</v>
      </c>
      <c r="AR95" s="3478">
        <f t="shared" si="70"/>
        <v>11447.109936264087</v>
      </c>
      <c r="AS95" s="3478">
        <f t="shared" si="71"/>
        <v>0</v>
      </c>
      <c r="AT95" s="3555">
        <f t="shared" si="72"/>
        <v>0</v>
      </c>
      <c r="AU95" s="3555">
        <f t="shared" si="73"/>
        <v>0</v>
      </c>
      <c r="AV95" s="3555">
        <f t="shared" si="56"/>
        <v>0</v>
      </c>
      <c r="AW95" s="3555">
        <f t="shared" si="57"/>
        <v>0</v>
      </c>
      <c r="AX95" s="3479" t="s">
        <v>3090</v>
      </c>
      <c r="AY95" s="3480">
        <f t="shared" si="51"/>
        <v>90</v>
      </c>
      <c r="AZ95" s="3480"/>
      <c r="BC95" s="3619"/>
      <c r="BD95" s="3549" t="s">
        <v>1521</v>
      </c>
      <c r="BE95" s="3651">
        <v>0.2124290870991688</v>
      </c>
      <c r="BF95" s="3651">
        <v>0.21112492978512648</v>
      </c>
      <c r="BG95" s="3651">
        <v>0.26521194731023634</v>
      </c>
      <c r="BH95" s="3651">
        <v>0.32182236246620971</v>
      </c>
      <c r="BI95" s="3651">
        <v>0.41151788633000819</v>
      </c>
      <c r="BJ95" s="3651">
        <v>0.43048838535243145</v>
      </c>
      <c r="BK95" s="3651">
        <v>0.45798121189465779</v>
      </c>
      <c r="BL95" s="3651">
        <v>0.37359616481838764</v>
      </c>
      <c r="BM95" s="3651">
        <v>0.36664966162100376</v>
      </c>
      <c r="BN95" s="3651">
        <v>0.33096498443262629</v>
      </c>
      <c r="BO95" s="3651">
        <v>0.33891174917674666</v>
      </c>
      <c r="BP95" s="3651">
        <v>0.26125303014327012</v>
      </c>
      <c r="BQ95" s="3651">
        <v>0.2124290870991688</v>
      </c>
      <c r="BR95" s="3651">
        <v>0.21112492978512648</v>
      </c>
      <c r="BS95" s="3651">
        <v>0.26521194731023634</v>
      </c>
      <c r="BT95" s="3651">
        <v>0.32182236246620971</v>
      </c>
      <c r="BU95" s="3651">
        <v>0.41151788633000819</v>
      </c>
      <c r="BV95" s="3651">
        <v>0.43048838535243145</v>
      </c>
      <c r="BW95" s="3651">
        <v>0.45798121189465779</v>
      </c>
      <c r="BX95" s="3651">
        <v>0.37359616481838764</v>
      </c>
      <c r="BY95" s="3651">
        <v>0.36664966162100376</v>
      </c>
      <c r="BZ95" s="3651">
        <v>0.33096498443262629</v>
      </c>
      <c r="CA95" s="3651">
        <v>0.33891174917674666</v>
      </c>
      <c r="CB95" s="3650">
        <v>0.26125303014327012</v>
      </c>
    </row>
    <row r="96" spans="18:80">
      <c r="R96" s="3469">
        <f t="shared" si="50"/>
        <v>91</v>
      </c>
      <c r="S96" s="3470" t="s">
        <v>3086</v>
      </c>
      <c r="T96" s="3471" t="s">
        <v>3312</v>
      </c>
      <c r="U96" s="3472">
        <v>1000000</v>
      </c>
      <c r="V96" s="3472">
        <v>0</v>
      </c>
      <c r="W96" s="3472">
        <v>0</v>
      </c>
      <c r="X96" s="3473">
        <f t="shared" si="74"/>
        <v>2022.6451201360833</v>
      </c>
      <c r="Y96" s="3473">
        <f t="shared" si="74"/>
        <v>0</v>
      </c>
      <c r="Z96" s="3473">
        <f t="shared" si="74"/>
        <v>0</v>
      </c>
      <c r="AA96" s="3553">
        <v>0</v>
      </c>
      <c r="AB96" s="3553">
        <v>0</v>
      </c>
      <c r="AC96" s="3553">
        <v>0</v>
      </c>
      <c r="AD96" s="3554">
        <v>0</v>
      </c>
      <c r="AE96" s="3554">
        <v>0</v>
      </c>
      <c r="AF96" s="3554">
        <v>0</v>
      </c>
      <c r="AG96" s="3554">
        <v>0</v>
      </c>
      <c r="AH96" s="3554">
        <v>0</v>
      </c>
      <c r="AI96" s="3554">
        <v>0</v>
      </c>
      <c r="AJ96" s="3488"/>
      <c r="AK96" s="3477"/>
      <c r="AL96" s="3477" t="s">
        <v>3088</v>
      </c>
      <c r="AM96" s="3477" t="s">
        <v>3089</v>
      </c>
      <c r="AN96" s="3478">
        <f t="shared" si="66"/>
        <v>1302.5834573676377</v>
      </c>
      <c r="AO96" s="3478">
        <f t="shared" si="67"/>
        <v>0</v>
      </c>
      <c r="AP96" s="3478">
        <f t="shared" si="68"/>
        <v>0</v>
      </c>
      <c r="AQ96" s="3478">
        <f t="shared" si="69"/>
        <v>0</v>
      </c>
      <c r="AR96" s="3478">
        <f t="shared" si="70"/>
        <v>0</v>
      </c>
      <c r="AS96" s="3478">
        <f t="shared" si="71"/>
        <v>0</v>
      </c>
      <c r="AT96" s="3555">
        <f t="shared" si="72"/>
        <v>0</v>
      </c>
      <c r="AU96" s="3555">
        <f t="shared" si="73"/>
        <v>0</v>
      </c>
      <c r="AV96" s="3555">
        <f t="shared" si="56"/>
        <v>0</v>
      </c>
      <c r="AW96" s="3555">
        <f t="shared" si="57"/>
        <v>0</v>
      </c>
      <c r="AX96" s="3479" t="s">
        <v>3090</v>
      </c>
      <c r="AY96" s="3480">
        <f t="shared" si="51"/>
        <v>91</v>
      </c>
      <c r="AZ96" s="3480"/>
      <c r="BC96" s="3619"/>
      <c r="BD96" s="3549" t="s">
        <v>1520</v>
      </c>
      <c r="BE96" s="3651">
        <v>0.35404847849861465</v>
      </c>
      <c r="BF96" s="3651">
        <v>0.3518748829752108</v>
      </c>
      <c r="BG96" s="3651">
        <v>0.44201991218372721</v>
      </c>
      <c r="BH96" s="3651">
        <v>0.46362939588965046</v>
      </c>
      <c r="BI96" s="3651">
        <v>0.31413685611665304</v>
      </c>
      <c r="BJ96" s="3651">
        <v>0.14818920367641722</v>
      </c>
      <c r="BK96" s="3651">
        <v>6.2830624858010553E-2</v>
      </c>
      <c r="BL96" s="3651">
        <v>0.16679681205538191</v>
      </c>
      <c r="BM96" s="3651">
        <v>0.18725784984491151</v>
      </c>
      <c r="BN96" s="3651">
        <v>0.36393286172389844</v>
      </c>
      <c r="BO96" s="3651">
        <v>0.30973284840785864</v>
      </c>
      <c r="BP96" s="3651">
        <v>0.43542171690545023</v>
      </c>
      <c r="BQ96" s="3651">
        <v>0.35404847849861465</v>
      </c>
      <c r="BR96" s="3651">
        <v>0.3518748829752108</v>
      </c>
      <c r="BS96" s="3651">
        <v>0.44201991218372721</v>
      </c>
      <c r="BT96" s="3651">
        <v>0.46362939588965046</v>
      </c>
      <c r="BU96" s="3651">
        <v>0.31413685611665304</v>
      </c>
      <c r="BV96" s="3651">
        <v>0.14818920367641722</v>
      </c>
      <c r="BW96" s="3651">
        <v>6.2830624858010553E-2</v>
      </c>
      <c r="BX96" s="3651">
        <v>0.16679681205538191</v>
      </c>
      <c r="BY96" s="3651">
        <v>0.18725784984491151</v>
      </c>
      <c r="BZ96" s="3651">
        <v>0.36393286172389844</v>
      </c>
      <c r="CA96" s="3651">
        <v>0.30973284840785864</v>
      </c>
      <c r="CB96" s="3650">
        <v>0.43542171690545023</v>
      </c>
    </row>
    <row r="97" spans="18:80" ht="29">
      <c r="R97" s="3469">
        <f t="shared" si="50"/>
        <v>92</v>
      </c>
      <c r="S97" s="3470" t="s">
        <v>3086</v>
      </c>
      <c r="T97" s="3471" t="s">
        <v>3313</v>
      </c>
      <c r="U97" s="3472">
        <v>5554098</v>
      </c>
      <c r="V97" s="3472">
        <v>0</v>
      </c>
      <c r="W97" s="3472">
        <v>0</v>
      </c>
      <c r="X97" s="3473">
        <f t="shared" si="74"/>
        <v>11233.969216457581</v>
      </c>
      <c r="Y97" s="3473">
        <f t="shared" si="74"/>
        <v>0</v>
      </c>
      <c r="Z97" s="3473">
        <f t="shared" si="74"/>
        <v>0</v>
      </c>
      <c r="AA97" s="3553">
        <v>50000</v>
      </c>
      <c r="AB97" s="3553">
        <v>0</v>
      </c>
      <c r="AC97" s="3553">
        <v>0</v>
      </c>
      <c r="AD97" s="3554">
        <v>0</v>
      </c>
      <c r="AE97" s="3554">
        <v>0</v>
      </c>
      <c r="AF97" s="3554">
        <v>0</v>
      </c>
      <c r="AG97" s="3554">
        <v>0</v>
      </c>
      <c r="AH97" s="3554">
        <v>0</v>
      </c>
      <c r="AI97" s="3554">
        <v>0</v>
      </c>
      <c r="AK97" s="3477"/>
      <c r="AL97" s="3400" t="s">
        <v>3088</v>
      </c>
      <c r="AM97" s="3400" t="s">
        <v>3089</v>
      </c>
      <c r="AN97" s="3478">
        <f t="shared" si="66"/>
        <v>32200</v>
      </c>
      <c r="AO97" s="3478">
        <f t="shared" si="67"/>
        <v>0</v>
      </c>
      <c r="AP97" s="3478">
        <f t="shared" si="68"/>
        <v>0</v>
      </c>
      <c r="AQ97" s="3478">
        <f t="shared" si="69"/>
        <v>0</v>
      </c>
      <c r="AR97" s="3478">
        <f t="shared" si="70"/>
        <v>0</v>
      </c>
      <c r="AS97" s="3478">
        <f t="shared" si="71"/>
        <v>0</v>
      </c>
      <c r="AT97" s="3555">
        <f t="shared" si="72"/>
        <v>0</v>
      </c>
      <c r="AU97" s="3555">
        <f t="shared" si="73"/>
        <v>0</v>
      </c>
      <c r="AV97" s="3555">
        <f t="shared" si="56"/>
        <v>0</v>
      </c>
      <c r="AW97" s="3555">
        <f t="shared" si="57"/>
        <v>0</v>
      </c>
      <c r="AX97" s="3479" t="s">
        <v>3314</v>
      </c>
      <c r="AY97" s="3480">
        <f t="shared" si="51"/>
        <v>92</v>
      </c>
      <c r="AZ97" s="3480"/>
      <c r="BC97" s="3619"/>
      <c r="BD97" s="3549" t="s">
        <v>1519</v>
      </c>
      <c r="BE97" s="3651">
        <v>0.2919030430027707</v>
      </c>
      <c r="BF97" s="3651">
        <v>0.2962502340495784</v>
      </c>
      <c r="BG97" s="3651">
        <v>0.11596017563254551</v>
      </c>
      <c r="BH97" s="3651">
        <v>0</v>
      </c>
      <c r="BI97" s="3651">
        <v>0</v>
      </c>
      <c r="BJ97" s="3651">
        <v>0</v>
      </c>
      <c r="BK97" s="3651">
        <v>0</v>
      </c>
      <c r="BL97" s="3651">
        <v>0</v>
      </c>
      <c r="BM97" s="3651">
        <v>0</v>
      </c>
      <c r="BN97" s="3651">
        <v>1.3955864464356553E-2</v>
      </c>
      <c r="BO97" s="3651">
        <v>0.12541423629756357</v>
      </c>
      <c r="BP97" s="3651">
        <v>0.1291565661890996</v>
      </c>
      <c r="BQ97" s="3651">
        <v>0.2919030430027707</v>
      </c>
      <c r="BR97" s="3651">
        <v>0.2962502340495784</v>
      </c>
      <c r="BS97" s="3651">
        <v>0.11596017563254551</v>
      </c>
      <c r="BT97" s="3651">
        <v>0</v>
      </c>
      <c r="BU97" s="3651">
        <v>0</v>
      </c>
      <c r="BV97" s="3651">
        <v>0</v>
      </c>
      <c r="BW97" s="3651">
        <v>0</v>
      </c>
      <c r="BX97" s="3651">
        <v>0</v>
      </c>
      <c r="BY97" s="3651">
        <v>0</v>
      </c>
      <c r="BZ97" s="3651">
        <v>1.3955864464356553E-2</v>
      </c>
      <c r="CA97" s="3651">
        <v>0.12541423629756357</v>
      </c>
      <c r="CB97" s="3650">
        <v>0.1291565661890996</v>
      </c>
    </row>
    <row r="98" spans="18:80" ht="25">
      <c r="R98" s="3469">
        <f t="shared" si="50"/>
        <v>93</v>
      </c>
      <c r="S98" s="3470" t="s">
        <v>3086</v>
      </c>
      <c r="T98" s="3471" t="s">
        <v>3315</v>
      </c>
      <c r="U98" s="3472">
        <v>0</v>
      </c>
      <c r="V98" s="3472">
        <v>0</v>
      </c>
      <c r="W98" s="3472">
        <v>19500000</v>
      </c>
      <c r="X98" s="3473">
        <f t="shared" si="74"/>
        <v>0</v>
      </c>
      <c r="Y98" s="3473">
        <f t="shared" si="74"/>
        <v>0</v>
      </c>
      <c r="Z98" s="3473">
        <f t="shared" si="74"/>
        <v>39441.579842653628</v>
      </c>
      <c r="AA98" s="3553">
        <v>0</v>
      </c>
      <c r="AB98" s="3553">
        <v>0</v>
      </c>
      <c r="AC98" s="3553">
        <v>0</v>
      </c>
      <c r="AD98" s="3554">
        <v>0</v>
      </c>
      <c r="AE98" s="3554">
        <v>0</v>
      </c>
      <c r="AF98" s="3554">
        <v>0</v>
      </c>
      <c r="AG98" s="3554">
        <v>0</v>
      </c>
      <c r="AH98" s="3554">
        <v>0</v>
      </c>
      <c r="AI98" s="3554">
        <v>0</v>
      </c>
      <c r="AJ98" s="3488"/>
      <c r="AK98" s="3477"/>
      <c r="AL98" s="3477" t="s">
        <v>3088</v>
      </c>
      <c r="AM98" s="3477" t="s">
        <v>3089</v>
      </c>
      <c r="AN98" s="3478">
        <f t="shared" si="66"/>
        <v>0</v>
      </c>
      <c r="AO98" s="3478">
        <f t="shared" si="67"/>
        <v>0</v>
      </c>
      <c r="AP98" s="3478">
        <f t="shared" si="68"/>
        <v>0</v>
      </c>
      <c r="AQ98" s="3478">
        <f t="shared" si="69"/>
        <v>0</v>
      </c>
      <c r="AR98" s="3478">
        <f t="shared" si="70"/>
        <v>25400.377418668937</v>
      </c>
      <c r="AS98" s="3478">
        <f t="shared" si="71"/>
        <v>0</v>
      </c>
      <c r="AT98" s="3555">
        <f t="shared" si="72"/>
        <v>0</v>
      </c>
      <c r="AU98" s="3555">
        <f t="shared" si="73"/>
        <v>0</v>
      </c>
      <c r="AV98" s="3555">
        <f t="shared" si="56"/>
        <v>0</v>
      </c>
      <c r="AW98" s="3555">
        <f t="shared" si="57"/>
        <v>0</v>
      </c>
      <c r="AX98" s="3479" t="s">
        <v>3090</v>
      </c>
      <c r="AY98" s="3480">
        <f t="shared" si="51"/>
        <v>93</v>
      </c>
      <c r="AZ98" s="3480"/>
      <c r="BC98" s="3619"/>
      <c r="CB98" s="3618"/>
    </row>
    <row r="99" spans="18:80">
      <c r="R99" s="3469">
        <f t="shared" si="50"/>
        <v>94</v>
      </c>
      <c r="S99" s="3470" t="s">
        <v>3086</v>
      </c>
      <c r="T99" s="3471" t="s">
        <v>3316</v>
      </c>
      <c r="U99" s="3472">
        <v>299321</v>
      </c>
      <c r="V99" s="3472">
        <v>0</v>
      </c>
      <c r="W99" s="3472">
        <v>0</v>
      </c>
      <c r="X99" s="3473">
        <f t="shared" si="74"/>
        <v>605.42016000425258</v>
      </c>
      <c r="Y99" s="3473">
        <f t="shared" si="74"/>
        <v>0</v>
      </c>
      <c r="Z99" s="3473">
        <f t="shared" si="74"/>
        <v>0</v>
      </c>
      <c r="AA99" s="3553">
        <v>0</v>
      </c>
      <c r="AB99" s="3553">
        <v>0</v>
      </c>
      <c r="AC99" s="3553">
        <v>0</v>
      </c>
      <c r="AD99" s="3554">
        <v>0</v>
      </c>
      <c r="AE99" s="3554">
        <v>0</v>
      </c>
      <c r="AF99" s="3554">
        <v>0</v>
      </c>
      <c r="AG99" s="3554">
        <v>0</v>
      </c>
      <c r="AH99" s="3554">
        <v>0</v>
      </c>
      <c r="AI99" s="3554">
        <v>0</v>
      </c>
      <c r="AJ99" s="3488"/>
      <c r="AK99" s="3477"/>
      <c r="AL99" s="3477" t="s">
        <v>3088</v>
      </c>
      <c r="AM99" s="3477" t="s">
        <v>3089</v>
      </c>
      <c r="AN99" s="3478">
        <f t="shared" si="66"/>
        <v>389.89058304273868</v>
      </c>
      <c r="AO99" s="3478">
        <f t="shared" si="67"/>
        <v>0</v>
      </c>
      <c r="AP99" s="3478">
        <f t="shared" si="68"/>
        <v>0</v>
      </c>
      <c r="AQ99" s="3478">
        <f t="shared" si="69"/>
        <v>0</v>
      </c>
      <c r="AR99" s="3478">
        <f t="shared" si="70"/>
        <v>0</v>
      </c>
      <c r="AS99" s="3478">
        <f t="shared" si="71"/>
        <v>0</v>
      </c>
      <c r="AT99" s="3555">
        <f t="shared" si="72"/>
        <v>0</v>
      </c>
      <c r="AU99" s="3555">
        <f t="shared" si="73"/>
        <v>0</v>
      </c>
      <c r="AV99" s="3555">
        <f t="shared" si="56"/>
        <v>0</v>
      </c>
      <c r="AW99" s="3555">
        <f t="shared" si="57"/>
        <v>0</v>
      </c>
      <c r="AX99" s="3479" t="s">
        <v>3090</v>
      </c>
      <c r="AY99" s="3480">
        <f t="shared" si="51"/>
        <v>94</v>
      </c>
      <c r="AZ99" s="3480"/>
      <c r="BC99" s="3619"/>
      <c r="BD99" s="3549" t="s">
        <v>3386</v>
      </c>
      <c r="CB99" s="3618"/>
    </row>
    <row r="100" spans="18:80" ht="43.5">
      <c r="R100" s="3469">
        <f t="shared" si="50"/>
        <v>95</v>
      </c>
      <c r="S100" s="3470" t="s">
        <v>3086</v>
      </c>
      <c r="T100" s="3471" t="s">
        <v>3317</v>
      </c>
      <c r="U100" s="3472">
        <v>0</v>
      </c>
      <c r="V100" s="3472">
        <v>0</v>
      </c>
      <c r="W100" s="3472">
        <v>5000000</v>
      </c>
      <c r="X100" s="3473">
        <f t="shared" si="74"/>
        <v>0</v>
      </c>
      <c r="Y100" s="3473">
        <f t="shared" si="74"/>
        <v>0</v>
      </c>
      <c r="Z100" s="3473">
        <f t="shared" si="74"/>
        <v>10113.225600680416</v>
      </c>
      <c r="AA100" s="3553">
        <v>0</v>
      </c>
      <c r="AB100" s="3553">
        <v>0</v>
      </c>
      <c r="AC100" s="3553">
        <v>0</v>
      </c>
      <c r="AD100" s="3554">
        <v>0</v>
      </c>
      <c r="AE100" s="3554">
        <v>0</v>
      </c>
      <c r="AF100" s="3554">
        <v>0</v>
      </c>
      <c r="AG100" s="3554">
        <v>0</v>
      </c>
      <c r="AH100" s="3554">
        <v>0</v>
      </c>
      <c r="AI100" s="3554">
        <v>0</v>
      </c>
      <c r="AJ100" s="3488"/>
      <c r="AK100" s="3477"/>
      <c r="AL100" s="3477" t="s">
        <v>3088</v>
      </c>
      <c r="AM100" s="3477" t="s">
        <v>3089</v>
      </c>
      <c r="AN100" s="3478">
        <f t="shared" si="66"/>
        <v>0</v>
      </c>
      <c r="AO100" s="3478">
        <f t="shared" si="67"/>
        <v>0</v>
      </c>
      <c r="AP100" s="3478">
        <f t="shared" si="68"/>
        <v>0</v>
      </c>
      <c r="AQ100" s="3478">
        <f t="shared" si="69"/>
        <v>0</v>
      </c>
      <c r="AR100" s="3478">
        <f t="shared" si="70"/>
        <v>6512.9172868381884</v>
      </c>
      <c r="AS100" s="3478">
        <f t="shared" si="71"/>
        <v>0</v>
      </c>
      <c r="AT100" s="3555">
        <f t="shared" si="72"/>
        <v>0</v>
      </c>
      <c r="AU100" s="3555">
        <f t="shared" si="73"/>
        <v>0</v>
      </c>
      <c r="AV100" s="3555">
        <f t="shared" si="56"/>
        <v>0</v>
      </c>
      <c r="AW100" s="3555">
        <f t="shared" si="57"/>
        <v>0</v>
      </c>
      <c r="AX100" s="3479" t="s">
        <v>3318</v>
      </c>
      <c r="AY100" s="3480">
        <f t="shared" si="51"/>
        <v>95</v>
      </c>
      <c r="AZ100" s="3480"/>
      <c r="BC100" s="3619"/>
      <c r="BD100" s="3549" t="s">
        <v>1522</v>
      </c>
      <c r="BE100" s="3651">
        <v>0.19054406874169211</v>
      </c>
      <c r="BF100" s="3651">
        <v>0.17270388154618654</v>
      </c>
      <c r="BG100" s="3651">
        <v>0.20481090427530035</v>
      </c>
      <c r="BH100" s="3651">
        <v>0.2145948773623271</v>
      </c>
      <c r="BI100" s="3651">
        <v>0.25676747666276462</v>
      </c>
      <c r="BJ100" s="3651">
        <v>0.29060080678225081</v>
      </c>
      <c r="BK100" s="3651">
        <v>0.30543525528276461</v>
      </c>
      <c r="BL100" s="3651">
        <v>0.29854549850832013</v>
      </c>
      <c r="BM100" s="3651">
        <v>0.28828723140159979</v>
      </c>
      <c r="BN100" s="3651">
        <v>0.32623412601263896</v>
      </c>
      <c r="BO100" s="3651">
        <v>0.24558697509409513</v>
      </c>
      <c r="BP100" s="3651">
        <v>0.22383489249324834</v>
      </c>
      <c r="BQ100" s="3651">
        <v>0.19054406874169211</v>
      </c>
      <c r="BR100" s="3651">
        <v>0.17270388154618654</v>
      </c>
      <c r="BS100" s="3651">
        <v>0.20481090427530035</v>
      </c>
      <c r="BT100" s="3651">
        <v>0.2145948773623271</v>
      </c>
      <c r="BU100" s="3651">
        <v>0.25676747666276462</v>
      </c>
      <c r="BV100" s="3651">
        <v>0.29060080678225081</v>
      </c>
      <c r="BW100" s="3651">
        <v>0.30543525528276461</v>
      </c>
      <c r="BX100" s="3651">
        <v>0.29854549850832013</v>
      </c>
      <c r="BY100" s="3651">
        <v>0.28828723140159979</v>
      </c>
      <c r="BZ100" s="3651">
        <v>0.32623412601263896</v>
      </c>
      <c r="CA100" s="3651">
        <v>0.24558697509409513</v>
      </c>
      <c r="CB100" s="3650">
        <v>0.22383489249324834</v>
      </c>
    </row>
    <row r="101" spans="18:80" ht="43.5">
      <c r="R101" s="3469">
        <f t="shared" si="50"/>
        <v>96</v>
      </c>
      <c r="S101" s="3471" t="s">
        <v>3111</v>
      </c>
      <c r="T101" s="3471" t="s">
        <v>3319</v>
      </c>
      <c r="U101" s="3472">
        <v>2074003</v>
      </c>
      <c r="V101" s="3472">
        <v>2079010</v>
      </c>
      <c r="W101" s="3472">
        <v>2085001</v>
      </c>
      <c r="X101" s="3473">
        <f t="shared" si="74"/>
        <v>4194.9720470975972</v>
      </c>
      <c r="Y101" s="3473">
        <f t="shared" si="74"/>
        <v>4205.0994312141183</v>
      </c>
      <c r="Z101" s="3473">
        <f t="shared" si="74"/>
        <v>4217.2170981288536</v>
      </c>
      <c r="AA101" s="3553">
        <v>0</v>
      </c>
      <c r="AB101" s="3553">
        <v>0</v>
      </c>
      <c r="AC101" s="3553">
        <v>0</v>
      </c>
      <c r="AD101" s="3554">
        <v>3900000</v>
      </c>
      <c r="AE101" s="3554">
        <v>5700000</v>
      </c>
      <c r="AF101" s="3554">
        <v>0</v>
      </c>
      <c r="AG101" s="3554">
        <v>0</v>
      </c>
      <c r="AH101" s="3554"/>
      <c r="AI101" s="3554"/>
      <c r="AJ101" s="3488"/>
      <c r="AK101" s="3477"/>
      <c r="AL101" s="3477" t="s">
        <v>839</v>
      </c>
      <c r="AM101" s="3477" t="s">
        <v>839</v>
      </c>
      <c r="AN101" s="3478">
        <f t="shared" si="66"/>
        <v>1968.9133251959681</v>
      </c>
      <c r="AO101" s="3478">
        <f t="shared" si="67"/>
        <v>623.25377946809579</v>
      </c>
      <c r="AP101" s="3478">
        <f t="shared" si="68"/>
        <v>1973.666620644073</v>
      </c>
      <c r="AQ101" s="3478">
        <f t="shared" si="69"/>
        <v>624.75842130024193</v>
      </c>
      <c r="AR101" s="3478">
        <f t="shared" si="70"/>
        <v>1979.3540568393191</v>
      </c>
      <c r="AS101" s="3478">
        <f t="shared" si="71"/>
        <v>626.55876266560801</v>
      </c>
      <c r="AT101" s="3555">
        <f t="shared" si="72"/>
        <v>1830467.9702399997</v>
      </c>
      <c r="AU101" s="3555">
        <f t="shared" si="73"/>
        <v>579429.30552000005</v>
      </c>
      <c r="AV101" s="3555">
        <f t="shared" si="56"/>
        <v>2675299.3411199995</v>
      </c>
      <c r="AW101" s="3555">
        <f t="shared" si="57"/>
        <v>846858.21576000005</v>
      </c>
      <c r="AX101" s="3479" t="s">
        <v>3320</v>
      </c>
      <c r="AY101" s="3480">
        <f t="shared" si="51"/>
        <v>96</v>
      </c>
      <c r="AZ101" s="3480"/>
      <c r="BC101" s="3619"/>
      <c r="BD101" s="3549" t="s">
        <v>1521</v>
      </c>
      <c r="BE101" s="3651">
        <v>0.22258919105371985</v>
      </c>
      <c r="BF101" s="3651">
        <v>0.21889896984366056</v>
      </c>
      <c r="BG101" s="3651">
        <v>0.23354109735735826</v>
      </c>
      <c r="BH101" s="3651">
        <v>0.24546046828822018</v>
      </c>
      <c r="BI101" s="3651">
        <v>0.23848888246794006</v>
      </c>
      <c r="BJ101" s="3651">
        <v>0.22985454320004961</v>
      </c>
      <c r="BK101" s="3651">
        <v>0.22787664536224347</v>
      </c>
      <c r="BL101" s="3651">
        <v>0.21475417733991939</v>
      </c>
      <c r="BM101" s="3651">
        <v>0.22333810060480638</v>
      </c>
      <c r="BN101" s="3651">
        <v>0.25214533550547885</v>
      </c>
      <c r="BO101" s="3651">
        <v>0.2533580711540474</v>
      </c>
      <c r="BP101" s="3651">
        <v>0.25948689548246867</v>
      </c>
      <c r="BQ101" s="3651">
        <v>0.22258919105371985</v>
      </c>
      <c r="BR101" s="3651">
        <v>0.21889896984366056</v>
      </c>
      <c r="BS101" s="3651">
        <v>0.23354109735735826</v>
      </c>
      <c r="BT101" s="3651">
        <v>0.24546046828822018</v>
      </c>
      <c r="BU101" s="3651">
        <v>0.23848888246794006</v>
      </c>
      <c r="BV101" s="3651">
        <v>0.22985454320004961</v>
      </c>
      <c r="BW101" s="3651">
        <v>0.22787664536224347</v>
      </c>
      <c r="BX101" s="3651">
        <v>0.21475417733991939</v>
      </c>
      <c r="BY101" s="3651">
        <v>0.22333810060480638</v>
      </c>
      <c r="BZ101" s="3651">
        <v>0.25214533550547885</v>
      </c>
      <c r="CA101" s="3651">
        <v>0.2533580711540474</v>
      </c>
      <c r="CB101" s="3650">
        <v>0.25948689548246867</v>
      </c>
    </row>
    <row r="102" spans="18:80" ht="43.5">
      <c r="R102" s="3469">
        <f t="shared" si="50"/>
        <v>97</v>
      </c>
      <c r="S102" s="3471" t="s">
        <v>3111</v>
      </c>
      <c r="T102" s="3471" t="s">
        <v>3321</v>
      </c>
      <c r="U102" s="3472">
        <v>248981</v>
      </c>
      <c r="V102" s="3472">
        <v>248983</v>
      </c>
      <c r="W102" s="3472">
        <v>0</v>
      </c>
      <c r="X102" s="3473">
        <f t="shared" si="74"/>
        <v>503.60020465660216</v>
      </c>
      <c r="Y102" s="3473">
        <f t="shared" si="74"/>
        <v>503.6042499468424</v>
      </c>
      <c r="Z102" s="3473">
        <f t="shared" si="74"/>
        <v>0</v>
      </c>
      <c r="AA102" s="3553">
        <v>0</v>
      </c>
      <c r="AB102" s="3553">
        <v>0</v>
      </c>
      <c r="AC102" s="3553">
        <v>0</v>
      </c>
      <c r="AD102" s="3554">
        <v>0</v>
      </c>
      <c r="AE102" s="3554">
        <v>22100</v>
      </c>
      <c r="AF102" s="3554">
        <v>0</v>
      </c>
      <c r="AG102" s="3554">
        <v>0</v>
      </c>
      <c r="AH102" s="3554">
        <v>0</v>
      </c>
      <c r="AI102" s="3554">
        <v>0</v>
      </c>
      <c r="AJ102" s="3488"/>
      <c r="AK102" s="3477"/>
      <c r="AL102" s="3477" t="s">
        <v>3322</v>
      </c>
      <c r="AM102" s="3477" t="s">
        <v>3322</v>
      </c>
      <c r="AN102" s="3478">
        <f t="shared" si="66"/>
        <v>388.49734188028918</v>
      </c>
      <c r="AO102" s="3478">
        <f t="shared" si="67"/>
        <v>115.10286277631299</v>
      </c>
      <c r="AP102" s="3478">
        <f t="shared" si="68"/>
        <v>388.50046257899209</v>
      </c>
      <c r="AQ102" s="3478">
        <f t="shared" si="69"/>
        <v>115.1037873678503</v>
      </c>
      <c r="AR102" s="3478">
        <f t="shared" si="70"/>
        <v>0</v>
      </c>
      <c r="AS102" s="3478">
        <f t="shared" si="71"/>
        <v>0</v>
      </c>
      <c r="AT102" s="3555">
        <f t="shared" si="72"/>
        <v>0</v>
      </c>
      <c r="AU102" s="3555">
        <f t="shared" si="73"/>
        <v>0</v>
      </c>
      <c r="AV102" s="3555">
        <f t="shared" si="56"/>
        <v>0</v>
      </c>
      <c r="AW102" s="3555">
        <f t="shared" si="57"/>
        <v>0</v>
      </c>
      <c r="AX102" s="3479" t="s">
        <v>3323</v>
      </c>
      <c r="AY102" s="3480">
        <f t="shared" si="51"/>
        <v>97</v>
      </c>
      <c r="AZ102" s="3480"/>
      <c r="BC102" s="3619"/>
      <c r="BD102" s="3549" t="s">
        <v>1520</v>
      </c>
      <c r="BE102" s="3651">
        <v>0.42129980485468743</v>
      </c>
      <c r="BF102" s="3651">
        <v>0.44008382957511699</v>
      </c>
      <c r="BG102" s="3651">
        <v>0.44364833028144302</v>
      </c>
      <c r="BH102" s="3651">
        <v>0.43957781324963408</v>
      </c>
      <c r="BI102" s="3651">
        <v>0.38839044074646167</v>
      </c>
      <c r="BJ102" s="3651">
        <v>0.33722738099761806</v>
      </c>
      <c r="BK102" s="3651">
        <v>0.33523869105028037</v>
      </c>
      <c r="BL102" s="3651">
        <v>0.31928675704616483</v>
      </c>
      <c r="BM102" s="3651">
        <v>0.32292398508744757</v>
      </c>
      <c r="BN102" s="3651">
        <v>0.31152728234431071</v>
      </c>
      <c r="BO102" s="3651">
        <v>0.36880127070344704</v>
      </c>
      <c r="BP102" s="3651">
        <v>0.42252574400093712</v>
      </c>
      <c r="BQ102" s="3651">
        <v>0.42129980485468743</v>
      </c>
      <c r="BR102" s="3651">
        <v>0.44008382957511699</v>
      </c>
      <c r="BS102" s="3651">
        <v>0.44364833028144302</v>
      </c>
      <c r="BT102" s="3651">
        <v>0.43957781324963408</v>
      </c>
      <c r="BU102" s="3651">
        <v>0.38839044074646167</v>
      </c>
      <c r="BV102" s="3651">
        <v>0.33722738099761806</v>
      </c>
      <c r="BW102" s="3651">
        <v>0.33523869105028037</v>
      </c>
      <c r="BX102" s="3651">
        <v>0.31928675704616483</v>
      </c>
      <c r="BY102" s="3651">
        <v>0.32292398508744757</v>
      </c>
      <c r="BZ102" s="3651">
        <v>0.31152728234431071</v>
      </c>
      <c r="CA102" s="3651">
        <v>0.36880127070344704</v>
      </c>
      <c r="CB102" s="3650">
        <v>0.42252574400093712</v>
      </c>
    </row>
    <row r="103" spans="18:80">
      <c r="R103" s="3469">
        <f t="shared" si="50"/>
        <v>98</v>
      </c>
      <c r="S103" s="3471" t="s">
        <v>3111</v>
      </c>
      <c r="T103" s="3471" t="s">
        <v>3324</v>
      </c>
      <c r="U103" s="3472">
        <v>746533</v>
      </c>
      <c r="V103" s="3472">
        <v>750011</v>
      </c>
      <c r="W103" s="3472">
        <v>0</v>
      </c>
      <c r="X103" s="3473">
        <f t="shared" si="74"/>
        <v>1509.9713294705507</v>
      </c>
      <c r="Y103" s="3473">
        <f t="shared" si="74"/>
        <v>1517.006089198384</v>
      </c>
      <c r="Z103" s="3473">
        <f t="shared" si="74"/>
        <v>0</v>
      </c>
      <c r="AA103" s="3553">
        <v>0</v>
      </c>
      <c r="AB103" s="3553">
        <v>0</v>
      </c>
      <c r="AC103" s="3553">
        <v>0</v>
      </c>
      <c r="AD103" s="3554">
        <v>0</v>
      </c>
      <c r="AE103" s="3554">
        <v>0</v>
      </c>
      <c r="AF103" s="3554">
        <v>0</v>
      </c>
      <c r="AG103" s="3554">
        <v>0</v>
      </c>
      <c r="AH103" s="3554">
        <v>0</v>
      </c>
      <c r="AI103" s="3554">
        <v>0</v>
      </c>
      <c r="AJ103" s="3488"/>
      <c r="AK103" s="3477"/>
      <c r="AL103" s="3477" t="s">
        <v>2716</v>
      </c>
      <c r="AM103" s="3477" t="s">
        <v>2716</v>
      </c>
      <c r="AN103" s="3478">
        <f t="shared" si="66"/>
        <v>779.78706341155851</v>
      </c>
      <c r="AO103" s="3478">
        <f t="shared" si="67"/>
        <v>247.60911150638611</v>
      </c>
      <c r="AP103" s="3478">
        <f t="shared" si="68"/>
        <v>783.41998976115769</v>
      </c>
      <c r="AQ103" s="3478">
        <f t="shared" si="69"/>
        <v>248.76269010213366</v>
      </c>
      <c r="AR103" s="3478">
        <f t="shared" si="70"/>
        <v>0</v>
      </c>
      <c r="AS103" s="3478">
        <f t="shared" si="71"/>
        <v>0</v>
      </c>
      <c r="AT103" s="3555">
        <f t="shared" si="72"/>
        <v>0</v>
      </c>
      <c r="AU103" s="3555">
        <f t="shared" si="73"/>
        <v>0</v>
      </c>
      <c r="AV103" s="3555">
        <f t="shared" si="56"/>
        <v>0</v>
      </c>
      <c r="AW103" s="3555">
        <f t="shared" si="57"/>
        <v>0</v>
      </c>
      <c r="AX103" s="3479" t="s">
        <v>3090</v>
      </c>
      <c r="AY103" s="3480">
        <f t="shared" si="51"/>
        <v>98</v>
      </c>
      <c r="AZ103" s="3480"/>
      <c r="BC103" s="3619"/>
      <c r="BD103" s="3549" t="s">
        <v>1519</v>
      </c>
      <c r="BE103" s="3651">
        <v>8.6677348562132453E-2</v>
      </c>
      <c r="BF103" s="3651">
        <v>8.5970491193223808E-2</v>
      </c>
      <c r="BG103" s="3651">
        <v>7.2855986283874033E-2</v>
      </c>
      <c r="BH103" s="3651">
        <v>5.9716929809317872E-2</v>
      </c>
      <c r="BI103" s="3651">
        <v>6.5968652356086913E-2</v>
      </c>
      <c r="BJ103" s="3651">
        <v>7.9998240038719151E-2</v>
      </c>
      <c r="BK103" s="3651">
        <v>8.2751692375548691E-2</v>
      </c>
      <c r="BL103" s="3651">
        <v>9.0900661938620231E-2</v>
      </c>
      <c r="BM103" s="3651">
        <v>8.7875971853326212E-2</v>
      </c>
      <c r="BN103" s="3651">
        <v>8.5450256628483226E-2</v>
      </c>
      <c r="BO103" s="3651">
        <v>6.5191024369382788E-2</v>
      </c>
      <c r="BP103" s="3651">
        <v>6.8194272337353812E-2</v>
      </c>
      <c r="BQ103" s="3651">
        <v>8.6677348562132453E-2</v>
      </c>
      <c r="BR103" s="3651">
        <v>8.5970491193223808E-2</v>
      </c>
      <c r="BS103" s="3651">
        <v>7.2855986283874033E-2</v>
      </c>
      <c r="BT103" s="3651">
        <v>5.9716929809317872E-2</v>
      </c>
      <c r="BU103" s="3651">
        <v>6.5968652356086913E-2</v>
      </c>
      <c r="BV103" s="3651">
        <v>7.9998240038719151E-2</v>
      </c>
      <c r="BW103" s="3651">
        <v>8.2751692375548691E-2</v>
      </c>
      <c r="BX103" s="3651">
        <v>9.0900661938620231E-2</v>
      </c>
      <c r="BY103" s="3651">
        <v>8.7875971853326212E-2</v>
      </c>
      <c r="BZ103" s="3651">
        <v>8.5450256628483226E-2</v>
      </c>
      <c r="CA103" s="3651">
        <v>6.5191024369382788E-2</v>
      </c>
      <c r="CB103" s="3650">
        <v>6.8194272337353812E-2</v>
      </c>
    </row>
    <row r="104" spans="18:80" ht="72.5">
      <c r="R104" s="3469">
        <f t="shared" si="50"/>
        <v>99</v>
      </c>
      <c r="S104" s="3471" t="s">
        <v>3100</v>
      </c>
      <c r="T104" s="3471" t="s">
        <v>3325</v>
      </c>
      <c r="U104" s="3472">
        <v>113768</v>
      </c>
      <c r="V104" s="3472">
        <v>112898</v>
      </c>
      <c r="W104" s="3472">
        <v>112592</v>
      </c>
      <c r="X104" s="3473">
        <f t="shared" si="74"/>
        <v>230.1122900276419</v>
      </c>
      <c r="Y104" s="3473">
        <f t="shared" si="74"/>
        <v>228.35258877312353</v>
      </c>
      <c r="Z104" s="3473">
        <f t="shared" si="74"/>
        <v>227.73365936636188</v>
      </c>
      <c r="AA104" s="3553">
        <v>0</v>
      </c>
      <c r="AB104" s="3553">
        <v>0</v>
      </c>
      <c r="AC104" s="3553">
        <v>0</v>
      </c>
      <c r="AD104" s="3554">
        <v>22260</v>
      </c>
      <c r="AE104" s="3554">
        <v>22260</v>
      </c>
      <c r="AF104" s="3554">
        <v>0</v>
      </c>
      <c r="AG104" s="3554">
        <v>0</v>
      </c>
      <c r="AH104" s="3554">
        <v>370000</v>
      </c>
      <c r="AI104" s="3554">
        <v>370000</v>
      </c>
      <c r="AJ104" s="3488"/>
      <c r="AK104" s="3477"/>
      <c r="AL104" s="3477" t="s">
        <v>839</v>
      </c>
      <c r="AM104" s="3477" t="s">
        <v>839</v>
      </c>
      <c r="AN104" s="3478">
        <f t="shared" si="66"/>
        <v>108.0033785779938</v>
      </c>
      <c r="AO104" s="3478">
        <f t="shared" si="67"/>
        <v>34.188154974957271</v>
      </c>
      <c r="AP104" s="3478">
        <f t="shared" si="68"/>
        <v>107.17746145399713</v>
      </c>
      <c r="AQ104" s="3478">
        <f t="shared" si="69"/>
        <v>33.926713314488488</v>
      </c>
      <c r="AR104" s="3478">
        <f t="shared" si="70"/>
        <v>106.88696646555691</v>
      </c>
      <c r="AS104" s="3478">
        <f t="shared" si="71"/>
        <v>33.834757971840851</v>
      </c>
      <c r="AT104" s="3555">
        <f t="shared" si="72"/>
        <v>10447.747953216</v>
      </c>
      <c r="AU104" s="3555">
        <f t="shared" si="73"/>
        <v>3307.2041899679998</v>
      </c>
      <c r="AV104" s="3555">
        <f t="shared" si="56"/>
        <v>10447.747953216</v>
      </c>
      <c r="AW104" s="3555">
        <f t="shared" si="57"/>
        <v>3307.2041899679998</v>
      </c>
      <c r="AX104" s="3479" t="s">
        <v>3326</v>
      </c>
      <c r="AY104" s="3480">
        <f t="shared" si="51"/>
        <v>99</v>
      </c>
      <c r="AZ104" s="3480"/>
      <c r="BC104" s="3619"/>
      <c r="BD104" s="3549" t="s">
        <v>1518</v>
      </c>
      <c r="BE104" s="3651">
        <v>7.8889586787768279E-2</v>
      </c>
      <c r="BF104" s="3651">
        <v>8.2342827841812127E-2</v>
      </c>
      <c r="BG104" s="3651">
        <v>4.5143681802024459E-2</v>
      </c>
      <c r="BH104" s="3651">
        <v>4.0649911290500766E-2</v>
      </c>
      <c r="BI104" s="3651">
        <v>5.0384547766746716E-2</v>
      </c>
      <c r="BJ104" s="3651">
        <v>6.2319028981362413E-2</v>
      </c>
      <c r="BK104" s="3651">
        <v>4.8697715929162895E-2</v>
      </c>
      <c r="BL104" s="3651">
        <v>7.6512905166975426E-2</v>
      </c>
      <c r="BM104" s="3651">
        <v>7.7574711052820045E-2</v>
      </c>
      <c r="BN104" s="3651">
        <v>2.4642999509088277E-2</v>
      </c>
      <c r="BO104" s="3651">
        <v>6.7062658679027762E-2</v>
      </c>
      <c r="BP104" s="3651">
        <v>2.595819568599203E-2</v>
      </c>
      <c r="BQ104" s="3651">
        <v>7.8889586787768279E-2</v>
      </c>
      <c r="BR104" s="3651">
        <v>8.2342827841812127E-2</v>
      </c>
      <c r="BS104" s="3651">
        <v>4.5143681802024459E-2</v>
      </c>
      <c r="BT104" s="3651">
        <v>4.0649911290500766E-2</v>
      </c>
      <c r="BU104" s="3651">
        <v>5.0384547766746716E-2</v>
      </c>
      <c r="BV104" s="3651">
        <v>6.2319028981362413E-2</v>
      </c>
      <c r="BW104" s="3651">
        <v>4.8697715929162895E-2</v>
      </c>
      <c r="BX104" s="3651">
        <v>7.6512905166975426E-2</v>
      </c>
      <c r="BY104" s="3651">
        <v>7.7574711052820045E-2</v>
      </c>
      <c r="BZ104" s="3651">
        <v>2.4642999509088277E-2</v>
      </c>
      <c r="CA104" s="3651">
        <v>6.7062658679027762E-2</v>
      </c>
      <c r="CB104" s="3650">
        <v>2.595819568599203E-2</v>
      </c>
    </row>
    <row r="105" spans="18:80" ht="15" thickBot="1">
      <c r="R105" s="3469">
        <f t="shared" si="50"/>
        <v>100</v>
      </c>
      <c r="S105" s="3471" t="s">
        <v>3111</v>
      </c>
      <c r="T105" s="3471" t="s">
        <v>3327</v>
      </c>
      <c r="U105" s="3472">
        <v>0</v>
      </c>
      <c r="V105" s="3472">
        <v>38006</v>
      </c>
      <c r="W105" s="3472">
        <v>554008</v>
      </c>
      <c r="X105" s="3473">
        <f t="shared" si="74"/>
        <v>0</v>
      </c>
      <c r="Y105" s="3473">
        <f t="shared" si="74"/>
        <v>76.87265043589197</v>
      </c>
      <c r="Z105" s="3473">
        <f t="shared" si="74"/>
        <v>1120.5615777163512</v>
      </c>
      <c r="AA105" s="3553">
        <v>0</v>
      </c>
      <c r="AB105" s="3553">
        <v>0</v>
      </c>
      <c r="AC105" s="3553">
        <v>0</v>
      </c>
      <c r="AD105" s="3554">
        <v>0</v>
      </c>
      <c r="AE105" s="3554">
        <v>0</v>
      </c>
      <c r="AF105" s="3554">
        <v>0</v>
      </c>
      <c r="AG105" s="3554">
        <v>0</v>
      </c>
      <c r="AH105" s="3554">
        <v>0</v>
      </c>
      <c r="AI105" s="3554">
        <v>0</v>
      </c>
      <c r="AJ105" s="3488"/>
      <c r="AK105" s="3477"/>
      <c r="AL105" s="3477" t="s">
        <v>3088</v>
      </c>
      <c r="AM105" s="3477" t="s">
        <v>3089</v>
      </c>
      <c r="AN105" s="3478">
        <f t="shared" si="66"/>
        <v>0</v>
      </c>
      <c r="AO105" s="3478">
        <f t="shared" si="67"/>
        <v>0</v>
      </c>
      <c r="AP105" s="3478">
        <f t="shared" si="68"/>
        <v>49.505986880714431</v>
      </c>
      <c r="AQ105" s="3478">
        <f t="shared" si="69"/>
        <v>0</v>
      </c>
      <c r="AR105" s="3478">
        <f t="shared" si="70"/>
        <v>721.64165604933021</v>
      </c>
      <c r="AS105" s="3478">
        <f t="shared" si="71"/>
        <v>0</v>
      </c>
      <c r="AT105" s="3555">
        <f t="shared" si="72"/>
        <v>0</v>
      </c>
      <c r="AU105" s="3555">
        <f t="shared" si="73"/>
        <v>0</v>
      </c>
      <c r="AV105" s="3555">
        <f t="shared" si="56"/>
        <v>0</v>
      </c>
      <c r="AW105" s="3555">
        <f t="shared" si="57"/>
        <v>0</v>
      </c>
      <c r="AX105" s="3479" t="s">
        <v>3090</v>
      </c>
      <c r="AY105" s="3480">
        <f t="shared" si="51"/>
        <v>100</v>
      </c>
      <c r="AZ105" s="3480"/>
      <c r="BC105" s="3617"/>
      <c r="BD105" s="3556"/>
      <c r="BE105" s="3649"/>
      <c r="BF105" s="3649"/>
      <c r="BG105" s="3649"/>
      <c r="BH105" s="3649"/>
      <c r="BI105" s="3649"/>
      <c r="BJ105" s="3649"/>
      <c r="BK105" s="3649"/>
      <c r="BL105" s="3649"/>
      <c r="BM105" s="3649"/>
      <c r="BN105" s="3649"/>
      <c r="BO105" s="3649"/>
      <c r="BP105" s="3649"/>
      <c r="BQ105" s="3649"/>
      <c r="BR105" s="3649"/>
      <c r="BS105" s="3649"/>
      <c r="BT105" s="3649"/>
      <c r="BU105" s="3649"/>
      <c r="BV105" s="3649"/>
      <c r="BW105" s="3649"/>
      <c r="BX105" s="3649"/>
      <c r="BY105" s="3649"/>
      <c r="BZ105" s="3649"/>
      <c r="CA105" s="3649"/>
      <c r="CB105" s="3648"/>
    </row>
    <row r="106" spans="18:80" ht="58">
      <c r="R106" s="3469">
        <f t="shared" si="50"/>
        <v>101</v>
      </c>
      <c r="S106" s="3471" t="s">
        <v>3111</v>
      </c>
      <c r="T106" s="3471" t="s">
        <v>3328</v>
      </c>
      <c r="U106" s="3472">
        <v>6000000</v>
      </c>
      <c r="V106" s="3472">
        <v>3200004</v>
      </c>
      <c r="W106" s="3472">
        <v>38700000</v>
      </c>
      <c r="X106" s="3473">
        <f t="shared" si="74"/>
        <v>12135.8707208165</v>
      </c>
      <c r="Y106" s="3473">
        <f t="shared" si="74"/>
        <v>6472.4724750159476</v>
      </c>
      <c r="Z106" s="3473">
        <f t="shared" si="74"/>
        <v>78276.366149266425</v>
      </c>
      <c r="AA106" s="3553">
        <v>0</v>
      </c>
      <c r="AB106" s="3553">
        <v>0</v>
      </c>
      <c r="AC106" s="3553">
        <v>0</v>
      </c>
      <c r="AD106" s="3554">
        <v>180000</v>
      </c>
      <c r="AE106" s="3554">
        <v>180000</v>
      </c>
      <c r="AF106" s="3554">
        <v>0</v>
      </c>
      <c r="AG106" s="3554">
        <v>0</v>
      </c>
      <c r="AH106" s="3554">
        <v>10000</v>
      </c>
      <c r="AI106" s="3554">
        <v>10000</v>
      </c>
      <c r="AJ106" s="3488"/>
      <c r="AK106" s="3477"/>
      <c r="AL106" s="3477" t="s">
        <v>3088</v>
      </c>
      <c r="AM106" s="3477" t="s">
        <v>3089</v>
      </c>
      <c r="AN106" s="3478">
        <f t="shared" si="66"/>
        <v>7815.5007442058259</v>
      </c>
      <c r="AO106" s="3478">
        <f t="shared" si="67"/>
        <v>0</v>
      </c>
      <c r="AP106" s="3478">
        <f t="shared" si="68"/>
        <v>4168.2722739102701</v>
      </c>
      <c r="AQ106" s="3478">
        <f t="shared" si="69"/>
        <v>0</v>
      </c>
      <c r="AR106" s="3478">
        <f t="shared" si="70"/>
        <v>50409.979800127578</v>
      </c>
      <c r="AS106" s="3478">
        <f t="shared" si="71"/>
        <v>0</v>
      </c>
      <c r="AT106" s="3555">
        <f t="shared" si="72"/>
        <v>115920</v>
      </c>
      <c r="AU106" s="3555">
        <f t="shared" si="73"/>
        <v>0</v>
      </c>
      <c r="AV106" s="3555">
        <f t="shared" si="56"/>
        <v>115920</v>
      </c>
      <c r="AW106" s="3555">
        <f t="shared" si="57"/>
        <v>0</v>
      </c>
      <c r="AX106" s="3479" t="s">
        <v>3329</v>
      </c>
      <c r="AY106" s="3480">
        <f t="shared" si="51"/>
        <v>101</v>
      </c>
      <c r="AZ106" s="3480"/>
      <c r="BC106" s="3647">
        <v>5</v>
      </c>
      <c r="BD106" s="3646" t="s">
        <v>3337</v>
      </c>
      <c r="BE106" s="3645"/>
      <c r="BF106" s="3645"/>
      <c r="BG106" s="3645"/>
      <c r="BH106" s="3645"/>
      <c r="BI106" s="3645"/>
      <c r="BJ106" s="3645"/>
      <c r="BK106" s="3644"/>
      <c r="BL106" s="3644"/>
      <c r="BM106" s="3644"/>
      <c r="BN106" s="3644"/>
      <c r="BO106" s="3644"/>
      <c r="BP106" s="3644"/>
      <c r="BQ106" s="3644"/>
      <c r="BR106" s="3644"/>
      <c r="BS106" s="3644"/>
      <c r="BT106" s="3644"/>
      <c r="BU106" s="3644"/>
      <c r="BV106" s="3644"/>
      <c r="BW106" s="3644"/>
      <c r="BX106" s="3644"/>
      <c r="BY106" s="3644"/>
      <c r="BZ106" s="3644"/>
      <c r="CA106" s="3644"/>
      <c r="CB106" s="3643"/>
    </row>
    <row r="107" spans="18:80">
      <c r="R107" s="3469">
        <f t="shared" si="50"/>
        <v>102</v>
      </c>
      <c r="S107" s="3471" t="s">
        <v>3111</v>
      </c>
      <c r="T107" s="3471" t="s">
        <v>3330</v>
      </c>
      <c r="U107" s="3472">
        <v>8621160</v>
      </c>
      <c r="V107" s="3472">
        <v>7399007</v>
      </c>
      <c r="W107" s="3472">
        <v>1350006</v>
      </c>
      <c r="X107" s="3473">
        <f t="shared" si="74"/>
        <v>17437.547203912396</v>
      </c>
      <c r="Y107" s="3473">
        <f t="shared" si="74"/>
        <v>14965.565402402719</v>
      </c>
      <c r="Z107" s="3473">
        <f t="shared" si="74"/>
        <v>2730.5830480544332</v>
      </c>
      <c r="AA107" s="3553">
        <v>0</v>
      </c>
      <c r="AB107" s="3553">
        <v>0</v>
      </c>
      <c r="AC107" s="3553">
        <v>0</v>
      </c>
      <c r="AD107" s="3554">
        <v>0</v>
      </c>
      <c r="AE107" s="3554">
        <v>0</v>
      </c>
      <c r="AF107" s="3554">
        <v>0</v>
      </c>
      <c r="AG107" s="3554">
        <v>0</v>
      </c>
      <c r="AH107" s="3554">
        <v>0</v>
      </c>
      <c r="AI107" s="3554">
        <v>0</v>
      </c>
      <c r="AJ107" s="3488"/>
      <c r="AK107" s="3477"/>
      <c r="AL107" s="3477" t="s">
        <v>3088</v>
      </c>
      <c r="AM107" s="3477" t="s">
        <v>3151</v>
      </c>
      <c r="AN107" s="3478">
        <f t="shared" si="66"/>
        <v>11673.217224715076</v>
      </c>
      <c r="AO107" s="3478">
        <f t="shared" si="67"/>
        <v>0</v>
      </c>
      <c r="AP107" s="3478">
        <f t="shared" si="68"/>
        <v>10018.398447330452</v>
      </c>
      <c r="AQ107" s="3478">
        <f t="shared" si="69"/>
        <v>0</v>
      </c>
      <c r="AR107" s="3478">
        <f t="shared" si="70"/>
        <v>1827.9342098590791</v>
      </c>
      <c r="AS107" s="3478">
        <f t="shared" si="71"/>
        <v>0</v>
      </c>
      <c r="AT107" s="3555">
        <f t="shared" si="72"/>
        <v>0</v>
      </c>
      <c r="AU107" s="3555">
        <f t="shared" si="73"/>
        <v>0</v>
      </c>
      <c r="AV107" s="3555">
        <f t="shared" si="56"/>
        <v>0</v>
      </c>
      <c r="AW107" s="3555">
        <f t="shared" si="57"/>
        <v>0</v>
      </c>
      <c r="AX107" s="3479" t="s">
        <v>3090</v>
      </c>
      <c r="AY107" s="3480">
        <f t="shared" si="51"/>
        <v>102</v>
      </c>
      <c r="AZ107" s="3480"/>
      <c r="BC107" s="3619"/>
      <c r="BF107" s="3614" t="s">
        <v>3339</v>
      </c>
      <c r="BL107" s="3641"/>
      <c r="BM107" s="3641"/>
      <c r="BN107" s="3641"/>
      <c r="BO107" s="3641"/>
      <c r="BP107" s="3641"/>
      <c r="BQ107" s="3641"/>
      <c r="BR107" s="3641"/>
      <c r="BS107" s="3641"/>
      <c r="BT107" s="3641"/>
      <c r="BU107" s="3641"/>
      <c r="BV107" s="3641"/>
      <c r="BW107" s="3641"/>
      <c r="BX107" s="3641"/>
      <c r="BY107" s="3641"/>
      <c r="BZ107" s="3641"/>
      <c r="CA107" s="3641"/>
      <c r="CB107" s="3640"/>
    </row>
    <row r="108" spans="18:80" ht="29">
      <c r="R108" s="3469">
        <f t="shared" si="50"/>
        <v>103</v>
      </c>
      <c r="S108" s="3471" t="s">
        <v>3111</v>
      </c>
      <c r="T108" s="3471" t="s">
        <v>3331</v>
      </c>
      <c r="U108" s="3472">
        <v>1000000</v>
      </c>
      <c r="V108" s="3472">
        <v>1000000</v>
      </c>
      <c r="W108" s="3472">
        <v>2000000</v>
      </c>
      <c r="X108" s="3473">
        <f t="shared" si="74"/>
        <v>2022.6451201360833</v>
      </c>
      <c r="Y108" s="3473">
        <f t="shared" si="74"/>
        <v>2022.6451201360833</v>
      </c>
      <c r="Z108" s="3473">
        <f t="shared" si="74"/>
        <v>4045.2902402721666</v>
      </c>
      <c r="AA108" s="3553">
        <v>0</v>
      </c>
      <c r="AB108" s="3553">
        <v>0</v>
      </c>
      <c r="AC108" s="3553">
        <v>0</v>
      </c>
      <c r="AD108" s="3554">
        <v>0</v>
      </c>
      <c r="AE108" s="3554">
        <v>0</v>
      </c>
      <c r="AF108" s="3554">
        <v>5000</v>
      </c>
      <c r="AG108" s="3554">
        <v>5000</v>
      </c>
      <c r="AH108" s="3554">
        <v>0</v>
      </c>
      <c r="AI108" s="3554">
        <v>0</v>
      </c>
      <c r="AJ108" s="3488"/>
      <c r="AK108" s="3477"/>
      <c r="AL108" s="3477" t="s">
        <v>3088</v>
      </c>
      <c r="AM108" s="3477" t="s">
        <v>3089</v>
      </c>
      <c r="AN108" s="3478">
        <f t="shared" si="66"/>
        <v>1302.5834573676377</v>
      </c>
      <c r="AO108" s="3478">
        <f t="shared" si="67"/>
        <v>0</v>
      </c>
      <c r="AP108" s="3478">
        <f t="shared" si="68"/>
        <v>1302.5834573676377</v>
      </c>
      <c r="AQ108" s="3478">
        <f t="shared" si="69"/>
        <v>0</v>
      </c>
      <c r="AR108" s="3478">
        <f t="shared" si="70"/>
        <v>2605.1669147352754</v>
      </c>
      <c r="AS108" s="3478">
        <f t="shared" si="71"/>
        <v>0</v>
      </c>
      <c r="AT108" s="3555">
        <f t="shared" si="72"/>
        <v>0</v>
      </c>
      <c r="AU108" s="3555">
        <f t="shared" si="73"/>
        <v>0</v>
      </c>
      <c r="AV108" s="3555">
        <f t="shared" si="56"/>
        <v>0</v>
      </c>
      <c r="AW108" s="3555">
        <f t="shared" si="57"/>
        <v>0</v>
      </c>
      <c r="AX108" s="3479" t="s">
        <v>3332</v>
      </c>
      <c r="AY108" s="3480">
        <f t="shared" si="51"/>
        <v>103</v>
      </c>
      <c r="AZ108" s="3480"/>
      <c r="BC108" s="3619"/>
      <c r="BE108" s="3614" t="s">
        <v>3342</v>
      </c>
      <c r="BF108" s="3614" t="s">
        <v>1522</v>
      </c>
      <c r="BG108" s="3614" t="s">
        <v>1521</v>
      </c>
      <c r="BH108" s="3614" t="s">
        <v>1520</v>
      </c>
      <c r="BI108" s="3614" t="s">
        <v>1519</v>
      </c>
      <c r="BJ108" s="3614" t="s">
        <v>1518</v>
      </c>
      <c r="BL108" s="3641"/>
      <c r="BM108" s="3641"/>
      <c r="BN108" s="3641"/>
      <c r="BO108" s="3641"/>
      <c r="BP108" s="3641"/>
      <c r="BQ108" s="3641"/>
      <c r="BR108" s="3641"/>
      <c r="BS108" s="3641"/>
      <c r="BT108" s="3641"/>
      <c r="BU108" s="3641"/>
      <c r="BV108" s="3641"/>
      <c r="BW108" s="3641"/>
      <c r="BX108" s="3641"/>
      <c r="BY108" s="3641"/>
      <c r="BZ108" s="3641"/>
      <c r="CA108" s="3641"/>
      <c r="CB108" s="3640"/>
    </row>
    <row r="109" spans="18:80" ht="25">
      <c r="R109" s="3469">
        <f t="shared" si="50"/>
        <v>104</v>
      </c>
      <c r="S109" s="3471" t="s">
        <v>3111</v>
      </c>
      <c r="T109" s="3471" t="s">
        <v>3333</v>
      </c>
      <c r="U109" s="3472">
        <v>2397000</v>
      </c>
      <c r="V109" s="3472">
        <v>2386000</v>
      </c>
      <c r="W109" s="3472">
        <v>2386000</v>
      </c>
      <c r="X109" s="3473">
        <f t="shared" si="74"/>
        <v>4848.2803529661915</v>
      </c>
      <c r="Y109" s="3473">
        <f t="shared" si="74"/>
        <v>4826.0312566446946</v>
      </c>
      <c r="Z109" s="3473">
        <f t="shared" si="74"/>
        <v>4826.0312566446946</v>
      </c>
      <c r="AA109" s="3553">
        <v>0</v>
      </c>
      <c r="AB109" s="3553">
        <v>0</v>
      </c>
      <c r="AC109" s="3553">
        <v>0</v>
      </c>
      <c r="AD109" s="3554">
        <v>0</v>
      </c>
      <c r="AE109" s="3554">
        <v>0</v>
      </c>
      <c r="AF109" s="3554">
        <v>0</v>
      </c>
      <c r="AG109" s="3554">
        <v>0</v>
      </c>
      <c r="AH109" s="3554">
        <v>0</v>
      </c>
      <c r="AI109" s="3554">
        <v>0</v>
      </c>
      <c r="AJ109" s="3488"/>
      <c r="AK109" s="3477"/>
      <c r="AL109" s="3477" t="s">
        <v>3209</v>
      </c>
      <c r="AM109" s="3477" t="s">
        <v>3209</v>
      </c>
      <c r="AN109" s="3478">
        <f t="shared" si="66"/>
        <v>0</v>
      </c>
      <c r="AO109" s="3478">
        <f t="shared" si="67"/>
        <v>3347.0103416702104</v>
      </c>
      <c r="AP109" s="3478">
        <f t="shared" si="68"/>
        <v>0</v>
      </c>
      <c r="AQ109" s="3478">
        <f t="shared" si="69"/>
        <v>3331.650678024665</v>
      </c>
      <c r="AR109" s="3478">
        <f t="shared" si="70"/>
        <v>0</v>
      </c>
      <c r="AS109" s="3478">
        <f t="shared" si="71"/>
        <v>3331.650678024665</v>
      </c>
      <c r="AT109" s="3555">
        <f t="shared" si="72"/>
        <v>0</v>
      </c>
      <c r="AU109" s="3555">
        <f t="shared" si="73"/>
        <v>0</v>
      </c>
      <c r="AV109" s="3555">
        <f t="shared" si="56"/>
        <v>0</v>
      </c>
      <c r="AW109" s="3555">
        <f t="shared" si="57"/>
        <v>0</v>
      </c>
      <c r="AX109" s="3479" t="s">
        <v>3090</v>
      </c>
      <c r="AY109" s="3480">
        <f t="shared" si="51"/>
        <v>104</v>
      </c>
      <c r="AZ109" s="3480"/>
      <c r="BC109" s="3619"/>
      <c r="BD109" s="3614" t="s">
        <v>3385</v>
      </c>
      <c r="BE109" s="3557">
        <v>9.5</v>
      </c>
      <c r="BF109" s="3558">
        <v>0.50668999999999997</v>
      </c>
      <c r="BG109" s="3558">
        <v>0.65852999999999995</v>
      </c>
      <c r="BH109" s="3559" t="s">
        <v>3344</v>
      </c>
      <c r="BI109" s="3559" t="s">
        <v>3344</v>
      </c>
      <c r="BJ109" s="3559" t="s">
        <v>3344</v>
      </c>
      <c r="BL109" s="3641"/>
      <c r="BM109" s="3641"/>
      <c r="BN109" s="3641"/>
      <c r="BO109" s="3641"/>
      <c r="BP109" s="3641"/>
      <c r="BQ109" s="3641"/>
      <c r="BR109" s="3641"/>
      <c r="BS109" s="3641"/>
      <c r="BT109" s="3641"/>
      <c r="BU109" s="3641"/>
      <c r="BV109" s="3641"/>
      <c r="BW109" s="3641"/>
      <c r="BX109" s="3641"/>
      <c r="BY109" s="3641"/>
      <c r="BZ109" s="3641"/>
      <c r="CA109" s="3641"/>
      <c r="CB109" s="3640"/>
    </row>
    <row r="110" spans="18:80">
      <c r="R110" s="3469">
        <f t="shared" si="50"/>
        <v>105</v>
      </c>
      <c r="S110" s="3471" t="s">
        <v>3111</v>
      </c>
      <c r="T110" s="3471" t="s">
        <v>3334</v>
      </c>
      <c r="U110" s="3472">
        <v>250001</v>
      </c>
      <c r="V110" s="3472">
        <v>250001</v>
      </c>
      <c r="W110" s="3472">
        <v>250001</v>
      </c>
      <c r="X110" s="3473">
        <f t="shared" si="74"/>
        <v>505.66330267914094</v>
      </c>
      <c r="Y110" s="3473">
        <f t="shared" si="74"/>
        <v>505.66330267914094</v>
      </c>
      <c r="Z110" s="3473">
        <f t="shared" si="74"/>
        <v>505.66330267914094</v>
      </c>
      <c r="AA110" s="3553">
        <v>0</v>
      </c>
      <c r="AB110" s="3553">
        <v>0</v>
      </c>
      <c r="AC110" s="3553">
        <v>0</v>
      </c>
      <c r="AD110" s="3554">
        <v>0</v>
      </c>
      <c r="AE110" s="3554">
        <v>0</v>
      </c>
      <c r="AF110" s="3554">
        <v>0</v>
      </c>
      <c r="AG110" s="3554">
        <v>0</v>
      </c>
      <c r="AH110" s="3554">
        <v>0</v>
      </c>
      <c r="AI110" s="3554">
        <v>0</v>
      </c>
      <c r="AJ110" s="3488"/>
      <c r="AK110" s="3477"/>
      <c r="AL110" s="3477" t="s">
        <v>3088</v>
      </c>
      <c r="AM110" s="3477" t="s">
        <v>3151</v>
      </c>
      <c r="AN110" s="3478">
        <f t="shared" si="66"/>
        <v>338.50618471249732</v>
      </c>
      <c r="AO110" s="3478">
        <f t="shared" si="67"/>
        <v>0</v>
      </c>
      <c r="AP110" s="3478">
        <f t="shared" si="68"/>
        <v>338.50618471249732</v>
      </c>
      <c r="AQ110" s="3478">
        <f t="shared" si="69"/>
        <v>0</v>
      </c>
      <c r="AR110" s="3478">
        <f t="shared" si="70"/>
        <v>338.50618471249732</v>
      </c>
      <c r="AS110" s="3478">
        <f t="shared" si="71"/>
        <v>0</v>
      </c>
      <c r="AT110" s="3555">
        <f t="shared" si="72"/>
        <v>0</v>
      </c>
      <c r="AU110" s="3555">
        <f t="shared" si="73"/>
        <v>0</v>
      </c>
      <c r="AV110" s="3555">
        <f t="shared" si="56"/>
        <v>0</v>
      </c>
      <c r="AW110" s="3555">
        <f t="shared" si="57"/>
        <v>0</v>
      </c>
      <c r="AX110" s="3479" t="s">
        <v>3090</v>
      </c>
      <c r="AY110" s="3480">
        <f t="shared" si="51"/>
        <v>105</v>
      </c>
      <c r="AZ110" s="3480"/>
      <c r="BC110" s="3619"/>
      <c r="BD110" s="3614" t="s">
        <v>3384</v>
      </c>
      <c r="BE110" s="3557">
        <v>130.58000000000001</v>
      </c>
      <c r="BF110" s="3558">
        <v>0</v>
      </c>
      <c r="BG110" s="3558">
        <v>0.38763999999999998</v>
      </c>
      <c r="BH110" s="3558">
        <v>0.29547000000000001</v>
      </c>
      <c r="BI110" s="3558">
        <v>0.25211</v>
      </c>
      <c r="BJ110" s="3558">
        <v>0.17685999999999999</v>
      </c>
      <c r="BL110" s="3641"/>
      <c r="BM110" s="3641"/>
      <c r="BN110" s="3641"/>
      <c r="BO110" s="3641"/>
      <c r="BP110" s="3641"/>
      <c r="BQ110" s="3641"/>
      <c r="BR110" s="3641"/>
      <c r="BS110" s="3641"/>
      <c r="BT110" s="3641"/>
      <c r="BU110" s="3641"/>
      <c r="BV110" s="3641"/>
      <c r="BW110" s="3641"/>
      <c r="BX110" s="3641"/>
      <c r="BY110" s="3641"/>
      <c r="BZ110" s="3641"/>
      <c r="CA110" s="3641"/>
      <c r="CB110" s="3640"/>
    </row>
    <row r="111" spans="18:80" ht="25">
      <c r="R111" s="3469">
        <f t="shared" si="50"/>
        <v>106</v>
      </c>
      <c r="S111" s="3471" t="s">
        <v>3111</v>
      </c>
      <c r="T111" s="3471" t="s">
        <v>3335</v>
      </c>
      <c r="U111" s="3472">
        <v>412000</v>
      </c>
      <c r="V111" s="3472">
        <v>0</v>
      </c>
      <c r="W111" s="3472">
        <v>0</v>
      </c>
      <c r="X111" s="3473">
        <f t="shared" si="74"/>
        <v>833.32978949606627</v>
      </c>
      <c r="Y111" s="3473">
        <f t="shared" si="74"/>
        <v>0</v>
      </c>
      <c r="Z111" s="3473">
        <f t="shared" si="74"/>
        <v>0</v>
      </c>
      <c r="AA111" s="3553">
        <v>0</v>
      </c>
      <c r="AB111" s="3553">
        <v>0</v>
      </c>
      <c r="AC111" s="3553">
        <v>0</v>
      </c>
      <c r="AD111" s="3554">
        <v>0</v>
      </c>
      <c r="AE111" s="3554">
        <v>0</v>
      </c>
      <c r="AF111" s="3554">
        <v>0</v>
      </c>
      <c r="AG111" s="3554">
        <v>0</v>
      </c>
      <c r="AH111" s="3554">
        <v>0</v>
      </c>
      <c r="AI111" s="3554">
        <v>0</v>
      </c>
      <c r="AJ111" s="3488"/>
      <c r="AK111" s="3477"/>
      <c r="AL111" s="3477" t="s">
        <v>3209</v>
      </c>
      <c r="AM111" s="3477" t="s">
        <v>3209</v>
      </c>
      <c r="AN111" s="3478">
        <f t="shared" si="66"/>
        <v>0</v>
      </c>
      <c r="AO111" s="3478">
        <f t="shared" si="67"/>
        <v>575.28922017860941</v>
      </c>
      <c r="AP111" s="3478">
        <f t="shared" si="68"/>
        <v>0</v>
      </c>
      <c r="AQ111" s="3478">
        <f t="shared" si="69"/>
        <v>0</v>
      </c>
      <c r="AR111" s="3478">
        <f t="shared" si="70"/>
        <v>0</v>
      </c>
      <c r="AS111" s="3478">
        <f t="shared" si="71"/>
        <v>0</v>
      </c>
      <c r="AT111" s="3555">
        <f t="shared" si="72"/>
        <v>0</v>
      </c>
      <c r="AU111" s="3555">
        <f t="shared" si="73"/>
        <v>0</v>
      </c>
      <c r="AV111" s="3555">
        <f t="shared" si="56"/>
        <v>0</v>
      </c>
      <c r="AW111" s="3555">
        <f t="shared" si="57"/>
        <v>0</v>
      </c>
      <c r="AX111" s="3479" t="s">
        <v>3090</v>
      </c>
      <c r="AY111" s="3480">
        <f t="shared" si="51"/>
        <v>106</v>
      </c>
      <c r="AZ111" s="3480"/>
      <c r="BC111" s="3619"/>
      <c r="BD111" s="3549"/>
      <c r="BE111" s="3641"/>
      <c r="BF111" s="3642"/>
      <c r="BG111" s="3641"/>
      <c r="BH111" s="3641"/>
      <c r="BI111" s="3641"/>
      <c r="BJ111" s="3641"/>
      <c r="BK111" s="3641"/>
      <c r="BL111" s="3641"/>
      <c r="BM111" s="3641"/>
      <c r="BN111" s="3641"/>
      <c r="BO111" s="3641"/>
      <c r="BP111" s="3641"/>
      <c r="BQ111" s="3641"/>
      <c r="BR111" s="3641"/>
      <c r="BS111" s="3641"/>
      <c r="BT111" s="3641"/>
      <c r="BU111" s="3641"/>
      <c r="BV111" s="3641"/>
      <c r="BW111" s="3641"/>
      <c r="BX111" s="3641"/>
      <c r="BY111" s="3641"/>
      <c r="BZ111" s="3641"/>
      <c r="CA111" s="3641"/>
      <c r="CB111" s="3640"/>
    </row>
    <row r="112" spans="18:80" ht="15.5">
      <c r="R112" s="3469">
        <f t="shared" si="50"/>
        <v>107</v>
      </c>
      <c r="S112" s="3471" t="s">
        <v>3086</v>
      </c>
      <c r="T112" s="3471" t="s">
        <v>3336</v>
      </c>
      <c r="U112" s="3472">
        <v>1134952</v>
      </c>
      <c r="V112" s="3472"/>
      <c r="W112" s="3472">
        <v>0</v>
      </c>
      <c r="X112" s="3473">
        <f t="shared" si="74"/>
        <v>2295.6051243886877</v>
      </c>
      <c r="Y112" s="3473">
        <f t="shared" si="74"/>
        <v>0</v>
      </c>
      <c r="Z112" s="3473">
        <f t="shared" si="74"/>
        <v>0</v>
      </c>
      <c r="AA112" s="3553"/>
      <c r="AB112" s="3553"/>
      <c r="AC112" s="3553"/>
      <c r="AD112" s="3554"/>
      <c r="AE112" s="3554"/>
      <c r="AF112" s="3554"/>
      <c r="AG112" s="3554"/>
      <c r="AH112" s="3554"/>
      <c r="AI112" s="3554"/>
      <c r="AJ112" s="3488"/>
      <c r="AK112" s="3477"/>
      <c r="AL112" s="3477" t="s">
        <v>3088</v>
      </c>
      <c r="AM112" s="3477" t="s">
        <v>3089</v>
      </c>
      <c r="AN112" s="3478">
        <f t="shared" si="66"/>
        <v>1478.3697001063149</v>
      </c>
      <c r="AO112" s="3478">
        <f t="shared" si="67"/>
        <v>0</v>
      </c>
      <c r="AP112" s="3478">
        <f t="shared" si="68"/>
        <v>0</v>
      </c>
      <c r="AQ112" s="3478">
        <f t="shared" si="69"/>
        <v>0</v>
      </c>
      <c r="AR112" s="3478">
        <f t="shared" si="70"/>
        <v>0</v>
      </c>
      <c r="AS112" s="3478">
        <f t="shared" si="71"/>
        <v>0</v>
      </c>
      <c r="AT112" s="3555">
        <f t="shared" si="72"/>
        <v>0</v>
      </c>
      <c r="AU112" s="3555">
        <f t="shared" si="73"/>
        <v>0</v>
      </c>
      <c r="AV112" s="3555">
        <f t="shared" si="56"/>
        <v>0</v>
      </c>
      <c r="AW112" s="3555">
        <f t="shared" si="57"/>
        <v>0</v>
      </c>
      <c r="AX112" s="3479" t="s">
        <v>3090</v>
      </c>
      <c r="AY112" s="3480">
        <f t="shared" si="51"/>
        <v>107</v>
      </c>
      <c r="AZ112" s="3480"/>
      <c r="BC112" s="3619"/>
      <c r="BD112" s="3639" t="s">
        <v>3354</v>
      </c>
      <c r="CB112" s="3618"/>
    </row>
    <row r="113" spans="18:80" ht="25">
      <c r="R113" s="3469">
        <f t="shared" si="50"/>
        <v>108</v>
      </c>
      <c r="S113" s="3471" t="s">
        <v>3086</v>
      </c>
      <c r="T113" s="3471" t="s">
        <v>3338</v>
      </c>
      <c r="U113" s="3472">
        <v>99888</v>
      </c>
      <c r="V113" s="3472">
        <v>3473234</v>
      </c>
      <c r="W113" s="3472">
        <v>0</v>
      </c>
      <c r="X113" s="3473">
        <f t="shared" si="74"/>
        <v>202.03797576015307</v>
      </c>
      <c r="Y113" s="3473">
        <f t="shared" si="74"/>
        <v>7025.1198011907281</v>
      </c>
      <c r="Z113" s="3473">
        <f t="shared" si="74"/>
        <v>0</v>
      </c>
      <c r="AA113" s="3553"/>
      <c r="AB113" s="3553"/>
      <c r="AC113" s="3553"/>
      <c r="AD113" s="3554"/>
      <c r="AE113" s="3554"/>
      <c r="AF113" s="3554"/>
      <c r="AG113" s="3554"/>
      <c r="AH113" s="3554"/>
      <c r="AI113" s="3554"/>
      <c r="AJ113" s="3488"/>
      <c r="AK113" s="3477"/>
      <c r="AL113" s="3477" t="s">
        <v>3088</v>
      </c>
      <c r="AM113" s="3477" t="s">
        <v>3089</v>
      </c>
      <c r="AN113" s="3478">
        <f t="shared" si="66"/>
        <v>130.11245638953858</v>
      </c>
      <c r="AO113" s="3478">
        <f t="shared" si="67"/>
        <v>0</v>
      </c>
      <c r="AP113" s="3478">
        <f t="shared" si="68"/>
        <v>4524.1771519668291</v>
      </c>
      <c r="AQ113" s="3478">
        <f t="shared" si="69"/>
        <v>0</v>
      </c>
      <c r="AR113" s="3478">
        <f t="shared" si="70"/>
        <v>0</v>
      </c>
      <c r="AS113" s="3478">
        <f t="shared" si="71"/>
        <v>0</v>
      </c>
      <c r="AT113" s="3555">
        <f t="shared" si="72"/>
        <v>0</v>
      </c>
      <c r="AU113" s="3555">
        <f t="shared" si="73"/>
        <v>0</v>
      </c>
      <c r="AV113" s="3555">
        <f t="shared" si="56"/>
        <v>0</v>
      </c>
      <c r="AW113" s="3555">
        <f t="shared" si="57"/>
        <v>0</v>
      </c>
      <c r="AX113" s="3479" t="s">
        <v>3090</v>
      </c>
      <c r="AY113" s="3480">
        <f t="shared" si="51"/>
        <v>108</v>
      </c>
      <c r="AZ113" s="3480"/>
      <c r="BC113" s="3638"/>
      <c r="BD113" s="3625" t="s">
        <v>3385</v>
      </c>
      <c r="BE113" s="3637">
        <v>45688</v>
      </c>
      <c r="BF113" s="3637">
        <f t="shared" ref="BF113:CB113" si="75">EOMONTH(BE113,1)</f>
        <v>45716</v>
      </c>
      <c r="BG113" s="3637">
        <f t="shared" si="75"/>
        <v>45747</v>
      </c>
      <c r="BH113" s="3637">
        <f t="shared" si="75"/>
        <v>45777</v>
      </c>
      <c r="BI113" s="3637">
        <f t="shared" si="75"/>
        <v>45808</v>
      </c>
      <c r="BJ113" s="3637">
        <f t="shared" si="75"/>
        <v>45838</v>
      </c>
      <c r="BK113" s="3637">
        <f t="shared" si="75"/>
        <v>45869</v>
      </c>
      <c r="BL113" s="3637">
        <f t="shared" si="75"/>
        <v>45900</v>
      </c>
      <c r="BM113" s="3637">
        <f t="shared" si="75"/>
        <v>45930</v>
      </c>
      <c r="BN113" s="3637">
        <f t="shared" si="75"/>
        <v>45961</v>
      </c>
      <c r="BO113" s="3637">
        <f t="shared" si="75"/>
        <v>45991</v>
      </c>
      <c r="BP113" s="3637">
        <f t="shared" si="75"/>
        <v>46022</v>
      </c>
      <c r="BQ113" s="3637">
        <f t="shared" si="75"/>
        <v>46053</v>
      </c>
      <c r="BR113" s="3637">
        <f t="shared" si="75"/>
        <v>46081</v>
      </c>
      <c r="BS113" s="3637">
        <f t="shared" si="75"/>
        <v>46112</v>
      </c>
      <c r="BT113" s="3637">
        <f t="shared" si="75"/>
        <v>46142</v>
      </c>
      <c r="BU113" s="3637">
        <f t="shared" si="75"/>
        <v>46173</v>
      </c>
      <c r="BV113" s="3637">
        <f t="shared" si="75"/>
        <v>46203</v>
      </c>
      <c r="BW113" s="3637">
        <f t="shared" si="75"/>
        <v>46234</v>
      </c>
      <c r="BX113" s="3637">
        <f t="shared" si="75"/>
        <v>46265</v>
      </c>
      <c r="BY113" s="3637">
        <f t="shared" si="75"/>
        <v>46295</v>
      </c>
      <c r="BZ113" s="3637">
        <f t="shared" si="75"/>
        <v>46326</v>
      </c>
      <c r="CA113" s="3637">
        <f t="shared" si="75"/>
        <v>46356</v>
      </c>
      <c r="CB113" s="3636">
        <f t="shared" si="75"/>
        <v>46387</v>
      </c>
    </row>
    <row r="114" spans="18:80" ht="29">
      <c r="R114" s="3469">
        <f t="shared" si="50"/>
        <v>109</v>
      </c>
      <c r="S114" s="3471" t="s">
        <v>3086</v>
      </c>
      <c r="T114" s="3471" t="s">
        <v>3340</v>
      </c>
      <c r="U114" s="3472">
        <v>0</v>
      </c>
      <c r="V114" s="3472">
        <v>0</v>
      </c>
      <c r="W114" s="3472">
        <v>11076524</v>
      </c>
      <c r="X114" s="3495" t="s">
        <v>3106</v>
      </c>
      <c r="Y114" s="3495" t="s">
        <v>3106</v>
      </c>
      <c r="Z114" s="3495" t="s">
        <v>3106</v>
      </c>
      <c r="AA114" s="3553">
        <v>0</v>
      </c>
      <c r="AB114" s="3553">
        <v>0</v>
      </c>
      <c r="AC114" s="3553">
        <v>0</v>
      </c>
      <c r="AD114" s="3554">
        <v>0</v>
      </c>
      <c r="AE114" s="3554">
        <v>0</v>
      </c>
      <c r="AF114" s="3554">
        <v>0</v>
      </c>
      <c r="AG114" s="3554">
        <v>0</v>
      </c>
      <c r="AH114" s="3554">
        <v>0</v>
      </c>
      <c r="AI114" s="3554">
        <v>0</v>
      </c>
      <c r="AJ114" s="3488" t="s">
        <v>3117</v>
      </c>
      <c r="AK114" s="3477"/>
      <c r="AL114" s="3477" t="s">
        <v>3088</v>
      </c>
      <c r="AM114" s="3477" t="s">
        <v>3108</v>
      </c>
      <c r="AN114" s="3478">
        <f t="shared" si="66"/>
        <v>0</v>
      </c>
      <c r="AO114" s="3478">
        <f t="shared" si="67"/>
        <v>0</v>
      </c>
      <c r="AP114" s="3478">
        <f t="shared" si="68"/>
        <v>0</v>
      </c>
      <c r="AQ114" s="3478">
        <f t="shared" si="69"/>
        <v>0</v>
      </c>
      <c r="AR114" s="3478">
        <f t="shared" si="70"/>
        <v>0</v>
      </c>
      <c r="AS114" s="3478">
        <f t="shared" si="71"/>
        <v>0</v>
      </c>
      <c r="AT114" s="3555">
        <f t="shared" si="72"/>
        <v>0</v>
      </c>
      <c r="AU114" s="3555">
        <f t="shared" si="73"/>
        <v>0</v>
      </c>
      <c r="AV114" s="3555">
        <f t="shared" si="56"/>
        <v>0</v>
      </c>
      <c r="AW114" s="3555">
        <f t="shared" si="57"/>
        <v>0</v>
      </c>
      <c r="AX114" s="3479" t="s">
        <v>3341</v>
      </c>
      <c r="AY114" s="3480">
        <f t="shared" si="51"/>
        <v>109</v>
      </c>
      <c r="AZ114" s="3480"/>
      <c r="BC114" s="3619"/>
      <c r="BD114" s="3614" t="s">
        <v>3342</v>
      </c>
      <c r="BE114" s="3635">
        <f t="shared" ref="BE114:CB114" si="76">BE39*$BE$109</f>
        <v>4542.5833333332412</v>
      </c>
      <c r="BF114" s="3635">
        <f t="shared" si="76"/>
        <v>4533.0833333332412</v>
      </c>
      <c r="BG114" s="3635">
        <f t="shared" si="76"/>
        <v>4523.5833333332412</v>
      </c>
      <c r="BH114" s="3635">
        <f t="shared" si="76"/>
        <v>4514.0833333332412</v>
      </c>
      <c r="BI114" s="3635">
        <f t="shared" si="76"/>
        <v>4504.5833333332412</v>
      </c>
      <c r="BJ114" s="3635">
        <f t="shared" si="76"/>
        <v>4495.0833333332412</v>
      </c>
      <c r="BK114" s="3635">
        <f t="shared" si="76"/>
        <v>4485.5833333332412</v>
      </c>
      <c r="BL114" s="3635">
        <f t="shared" si="76"/>
        <v>4476.0833333332412</v>
      </c>
      <c r="BM114" s="3635">
        <f t="shared" si="76"/>
        <v>4466.5833333332412</v>
      </c>
      <c r="BN114" s="3635">
        <f t="shared" si="76"/>
        <v>4457.0833333332412</v>
      </c>
      <c r="BO114" s="3635">
        <f t="shared" si="76"/>
        <v>4447.5833333332412</v>
      </c>
      <c r="BP114" s="3635">
        <f t="shared" si="76"/>
        <v>4438.0833333332412</v>
      </c>
      <c r="BQ114" s="3635">
        <f t="shared" si="76"/>
        <v>4419.0833333332412</v>
      </c>
      <c r="BR114" s="3635">
        <f t="shared" si="76"/>
        <v>4409.5833333332412</v>
      </c>
      <c r="BS114" s="3635">
        <f t="shared" si="76"/>
        <v>4400.0833333332412</v>
      </c>
      <c r="BT114" s="3635">
        <f t="shared" si="76"/>
        <v>4390.5833333332412</v>
      </c>
      <c r="BU114" s="3635">
        <f t="shared" si="76"/>
        <v>4381.0833333332412</v>
      </c>
      <c r="BV114" s="3635">
        <f t="shared" si="76"/>
        <v>4371.5833333332412</v>
      </c>
      <c r="BW114" s="3635">
        <f t="shared" si="76"/>
        <v>4362.0833333332412</v>
      </c>
      <c r="BX114" s="3635">
        <f t="shared" si="76"/>
        <v>4352.5833333332412</v>
      </c>
      <c r="BY114" s="3635">
        <f t="shared" si="76"/>
        <v>4343.0833333332412</v>
      </c>
      <c r="BZ114" s="3635">
        <f t="shared" si="76"/>
        <v>4333.5833333332412</v>
      </c>
      <c r="CA114" s="3635">
        <f t="shared" si="76"/>
        <v>4324.0833333332412</v>
      </c>
      <c r="CB114" s="3634">
        <f t="shared" si="76"/>
        <v>4314.5833333332412</v>
      </c>
    </row>
    <row r="115" spans="18:80">
      <c r="R115" s="3469">
        <f t="shared" si="50"/>
        <v>110</v>
      </c>
      <c r="S115" s="3471" t="s">
        <v>3086</v>
      </c>
      <c r="T115" s="3471" t="s">
        <v>3343</v>
      </c>
      <c r="U115" s="3472">
        <v>2008437</v>
      </c>
      <c r="V115" s="3472">
        <v>0</v>
      </c>
      <c r="W115" s="3472">
        <v>0</v>
      </c>
      <c r="X115" s="3473">
        <f t="shared" ref="X115:Z122" si="77">U115*$T$4*$T$3</f>
        <v>4062.3552971507547</v>
      </c>
      <c r="Y115" s="3473">
        <f t="shared" si="77"/>
        <v>0</v>
      </c>
      <c r="Z115" s="3473">
        <f t="shared" si="77"/>
        <v>0</v>
      </c>
      <c r="AA115" s="3553"/>
      <c r="AB115" s="3553"/>
      <c r="AC115" s="3553"/>
      <c r="AD115" s="3554"/>
      <c r="AE115" s="3554"/>
      <c r="AF115" s="3554"/>
      <c r="AG115" s="3554"/>
      <c r="AH115" s="3554"/>
      <c r="AI115" s="3554"/>
      <c r="AJ115" s="3488"/>
      <c r="AK115" s="3477"/>
      <c r="AL115" s="3477" t="s">
        <v>3088</v>
      </c>
      <c r="AM115" s="3477" t="s">
        <v>3089</v>
      </c>
      <c r="AN115" s="3478">
        <f t="shared" si="66"/>
        <v>2616.156811365086</v>
      </c>
      <c r="AO115" s="3478">
        <f t="shared" si="67"/>
        <v>0</v>
      </c>
      <c r="AP115" s="3478">
        <f t="shared" si="68"/>
        <v>0</v>
      </c>
      <c r="AQ115" s="3478">
        <f t="shared" si="69"/>
        <v>0</v>
      </c>
      <c r="AR115" s="3478">
        <f t="shared" si="70"/>
        <v>0</v>
      </c>
      <c r="AS115" s="3478">
        <f t="shared" si="71"/>
        <v>0</v>
      </c>
      <c r="AT115" s="3555">
        <f t="shared" si="72"/>
        <v>0</v>
      </c>
      <c r="AU115" s="3555">
        <f t="shared" si="73"/>
        <v>0</v>
      </c>
      <c r="AV115" s="3555">
        <f t="shared" si="56"/>
        <v>0</v>
      </c>
      <c r="AW115" s="3555">
        <f t="shared" si="57"/>
        <v>0</v>
      </c>
      <c r="AX115" s="3479" t="s">
        <v>3090</v>
      </c>
      <c r="AY115" s="3480">
        <f t="shared" si="51"/>
        <v>110</v>
      </c>
      <c r="AZ115" s="3480"/>
      <c r="BC115" s="3619"/>
      <c r="BD115" s="3614" t="s">
        <v>3366</v>
      </c>
      <c r="BE115" s="3635">
        <f t="shared" ref="BE115:CB115" si="78">BE67*BE76*$BF$109</f>
        <v>16340.079465545514</v>
      </c>
      <c r="BF115" s="3635">
        <f t="shared" si="78"/>
        <v>13370.831784942937</v>
      </c>
      <c r="BG115" s="3635">
        <f t="shared" si="78"/>
        <v>11556.167481331328</v>
      </c>
      <c r="BH115" s="3635">
        <f t="shared" si="78"/>
        <v>9529.8108191345127</v>
      </c>
      <c r="BI115" s="3635">
        <f t="shared" si="78"/>
        <v>5805.4176307160615</v>
      </c>
      <c r="BJ115" s="3635">
        <f t="shared" si="78"/>
        <v>4133.3320012850099</v>
      </c>
      <c r="BK115" s="3635">
        <f t="shared" si="78"/>
        <v>2932.2955884753715</v>
      </c>
      <c r="BL115" s="3635">
        <f t="shared" si="78"/>
        <v>2620.0447427331574</v>
      </c>
      <c r="BM115" s="3635">
        <f t="shared" si="78"/>
        <v>3829.426277243148</v>
      </c>
      <c r="BN115" s="3635">
        <f t="shared" si="78"/>
        <v>10808.162112332066</v>
      </c>
      <c r="BO115" s="3635">
        <f t="shared" si="78"/>
        <v>18138.241148393263</v>
      </c>
      <c r="BP115" s="3635">
        <f t="shared" si="78"/>
        <v>18260.550390646153</v>
      </c>
      <c r="BQ115" s="3635">
        <f t="shared" si="78"/>
        <v>15782.795669271101</v>
      </c>
      <c r="BR115" s="3635">
        <f t="shared" si="78"/>
        <v>12868.091778186779</v>
      </c>
      <c r="BS115" s="3635">
        <f t="shared" si="78"/>
        <v>11291.390039741387</v>
      </c>
      <c r="BT115" s="3635">
        <f t="shared" si="78"/>
        <v>9151.0273970677918</v>
      </c>
      <c r="BU115" s="3635">
        <f t="shared" si="78"/>
        <v>5753.8573251305552</v>
      </c>
      <c r="BV115" s="3635">
        <f t="shared" si="78"/>
        <v>3988.6846533291077</v>
      </c>
      <c r="BW115" s="3635">
        <f t="shared" si="78"/>
        <v>2831.0488607904749</v>
      </c>
      <c r="BX115" s="3635">
        <f t="shared" si="78"/>
        <v>2615.3933725014067</v>
      </c>
      <c r="BY115" s="3635">
        <f t="shared" si="78"/>
        <v>3782.7130184154344</v>
      </c>
      <c r="BZ115" s="3635">
        <f t="shared" si="78"/>
        <v>10297.958399616864</v>
      </c>
      <c r="CA115" s="3635">
        <f t="shared" si="78"/>
        <v>17856.757028554312</v>
      </c>
      <c r="CB115" s="3634">
        <f t="shared" si="78"/>
        <v>17644.746233161877</v>
      </c>
    </row>
    <row r="116" spans="18:80">
      <c r="R116" s="3469">
        <f t="shared" si="50"/>
        <v>111</v>
      </c>
      <c r="S116" s="3471" t="s">
        <v>3086</v>
      </c>
      <c r="T116" s="3471" t="s">
        <v>3345</v>
      </c>
      <c r="U116" s="3472">
        <v>498893</v>
      </c>
      <c r="V116" s="3472">
        <v>0</v>
      </c>
      <c r="W116" s="3472">
        <v>0</v>
      </c>
      <c r="X116" s="3473">
        <f t="shared" si="77"/>
        <v>1009.0834919200508</v>
      </c>
      <c r="Y116" s="3473">
        <f t="shared" si="77"/>
        <v>0</v>
      </c>
      <c r="Z116" s="3473">
        <f t="shared" si="77"/>
        <v>0</v>
      </c>
      <c r="AA116" s="3553">
        <v>0</v>
      </c>
      <c r="AB116" s="3553">
        <v>0</v>
      </c>
      <c r="AC116" s="3553">
        <v>0</v>
      </c>
      <c r="AD116" s="3554">
        <v>0</v>
      </c>
      <c r="AE116" s="3554">
        <v>0</v>
      </c>
      <c r="AF116" s="3554">
        <v>0</v>
      </c>
      <c r="AG116" s="3554">
        <v>0</v>
      </c>
      <c r="AH116" s="3554">
        <v>0</v>
      </c>
      <c r="AI116" s="3554">
        <v>0</v>
      </c>
      <c r="AJ116" s="3488"/>
      <c r="AK116" s="3477"/>
      <c r="AL116" s="3477" t="s">
        <v>3088</v>
      </c>
      <c r="AM116" s="3477" t="s">
        <v>3089</v>
      </c>
      <c r="AN116" s="3478">
        <f t="shared" si="66"/>
        <v>649.84976879651276</v>
      </c>
      <c r="AO116" s="3478">
        <f t="shared" si="67"/>
        <v>0</v>
      </c>
      <c r="AP116" s="3478">
        <f t="shared" si="68"/>
        <v>0</v>
      </c>
      <c r="AQ116" s="3478">
        <f t="shared" si="69"/>
        <v>0</v>
      </c>
      <c r="AR116" s="3478">
        <f t="shared" si="70"/>
        <v>0</v>
      </c>
      <c r="AS116" s="3478">
        <f t="shared" si="71"/>
        <v>0</v>
      </c>
      <c r="AT116" s="3555">
        <f t="shared" si="72"/>
        <v>0</v>
      </c>
      <c r="AU116" s="3555">
        <f t="shared" si="73"/>
        <v>0</v>
      </c>
      <c r="AV116" s="3555">
        <f t="shared" si="56"/>
        <v>0</v>
      </c>
      <c r="AW116" s="3555">
        <f t="shared" si="57"/>
        <v>0</v>
      </c>
      <c r="AX116" s="3479" t="s">
        <v>3346</v>
      </c>
      <c r="AY116" s="3480">
        <f t="shared" si="51"/>
        <v>111</v>
      </c>
      <c r="AZ116" s="3480"/>
      <c r="BC116" s="3619"/>
      <c r="BD116" s="3614" t="s">
        <v>3367</v>
      </c>
      <c r="BE116" s="3635">
        <f t="shared" ref="BE116:CB116" si="79">BE67*BE77*$BG$109</f>
        <v>21178.876463906538</v>
      </c>
      <c r="BF116" s="3635">
        <f t="shared" si="79"/>
        <v>18970.59181840927</v>
      </c>
      <c r="BG116" s="3635">
        <f t="shared" si="79"/>
        <v>12472.685564167217</v>
      </c>
      <c r="BH116" s="3635">
        <f t="shared" si="79"/>
        <v>4887.7802822988615</v>
      </c>
      <c r="BI116" s="3635">
        <f t="shared" si="79"/>
        <v>833.27088722038445</v>
      </c>
      <c r="BJ116" s="3635">
        <f t="shared" si="79"/>
        <v>382.06907572372552</v>
      </c>
      <c r="BK116" s="3635">
        <f t="shared" si="79"/>
        <v>318.46259513220969</v>
      </c>
      <c r="BL116" s="3635">
        <f t="shared" si="79"/>
        <v>236.26707177368357</v>
      </c>
      <c r="BM116" s="3635">
        <f t="shared" si="79"/>
        <v>421.68497420785229</v>
      </c>
      <c r="BN116" s="3635">
        <f t="shared" si="79"/>
        <v>1377.3258083705778</v>
      </c>
      <c r="BO116" s="3635">
        <f t="shared" si="79"/>
        <v>7408.7573996141764</v>
      </c>
      <c r="BP116" s="3635">
        <f t="shared" si="79"/>
        <v>19661.175244933896</v>
      </c>
      <c r="BQ116" s="3635">
        <f t="shared" si="79"/>
        <v>20456.563901013582</v>
      </c>
      <c r="BR116" s="3635">
        <f t="shared" si="79"/>
        <v>18257.302203196592</v>
      </c>
      <c r="BS116" s="3635">
        <f t="shared" si="79"/>
        <v>12186.908659430326</v>
      </c>
      <c r="BT116" s="3635">
        <f t="shared" si="79"/>
        <v>4693.5046375062038</v>
      </c>
      <c r="BU116" s="3635">
        <f t="shared" si="79"/>
        <v>825.870265195662</v>
      </c>
      <c r="BV116" s="3635">
        <f t="shared" si="79"/>
        <v>368.69843951008028</v>
      </c>
      <c r="BW116" s="3635">
        <f t="shared" si="79"/>
        <v>307.46667242445125</v>
      </c>
      <c r="BX116" s="3635">
        <f t="shared" si="79"/>
        <v>235.84762640831758</v>
      </c>
      <c r="BY116" s="3635">
        <f t="shared" si="79"/>
        <v>416.54104978737479</v>
      </c>
      <c r="BZ116" s="3635">
        <f t="shared" si="79"/>
        <v>1312.308580302973</v>
      </c>
      <c r="CA116" s="3635">
        <f t="shared" si="79"/>
        <v>7293.7822187976226</v>
      </c>
      <c r="CB116" s="3634">
        <f t="shared" si="79"/>
        <v>18998.137538082563</v>
      </c>
    </row>
    <row r="117" spans="18:80" ht="25">
      <c r="R117" s="3469">
        <f t="shared" si="50"/>
        <v>112</v>
      </c>
      <c r="S117" s="3471" t="s">
        <v>3086</v>
      </c>
      <c r="T117" s="3471" t="s">
        <v>3347</v>
      </c>
      <c r="U117" s="3472">
        <v>1312654</v>
      </c>
      <c r="V117" s="3472">
        <v>0</v>
      </c>
      <c r="W117" s="3472">
        <v>0</v>
      </c>
      <c r="X117" s="3473">
        <f t="shared" si="77"/>
        <v>2655.0332075271103</v>
      </c>
      <c r="Y117" s="3473">
        <f t="shared" si="77"/>
        <v>0</v>
      </c>
      <c r="Z117" s="3473">
        <f t="shared" si="77"/>
        <v>0</v>
      </c>
      <c r="AA117" s="3553">
        <v>0</v>
      </c>
      <c r="AB117" s="3553">
        <v>0</v>
      </c>
      <c r="AC117" s="3553">
        <v>0</v>
      </c>
      <c r="AD117" s="3554">
        <v>0</v>
      </c>
      <c r="AE117" s="3554">
        <v>0</v>
      </c>
      <c r="AF117" s="3554">
        <v>0</v>
      </c>
      <c r="AG117" s="3554">
        <v>0</v>
      </c>
      <c r="AH117" s="3554">
        <v>0</v>
      </c>
      <c r="AI117" s="3554">
        <v>0</v>
      </c>
      <c r="AJ117" s="3488"/>
      <c r="AK117" s="3477"/>
      <c r="AL117" s="3477" t="s">
        <v>3088</v>
      </c>
      <c r="AM117" s="3477" t="s">
        <v>3089</v>
      </c>
      <c r="AN117" s="3478">
        <f t="shared" si="66"/>
        <v>1709.841385647459</v>
      </c>
      <c r="AO117" s="3478">
        <f t="shared" si="67"/>
        <v>0</v>
      </c>
      <c r="AP117" s="3478">
        <f t="shared" si="68"/>
        <v>0</v>
      </c>
      <c r="AQ117" s="3478">
        <f t="shared" si="69"/>
        <v>0</v>
      </c>
      <c r="AR117" s="3478">
        <f t="shared" si="70"/>
        <v>0</v>
      </c>
      <c r="AS117" s="3478">
        <f t="shared" si="71"/>
        <v>0</v>
      </c>
      <c r="AT117" s="3555">
        <f t="shared" si="72"/>
        <v>0</v>
      </c>
      <c r="AU117" s="3555">
        <f t="shared" si="73"/>
        <v>0</v>
      </c>
      <c r="AV117" s="3555">
        <f t="shared" si="56"/>
        <v>0</v>
      </c>
      <c r="AW117" s="3555">
        <f t="shared" si="57"/>
        <v>0</v>
      </c>
      <c r="AX117" s="3479" t="s">
        <v>3346</v>
      </c>
      <c r="AY117" s="3480">
        <f t="shared" si="51"/>
        <v>112</v>
      </c>
      <c r="AZ117" s="3480"/>
      <c r="BC117" s="3619"/>
      <c r="BD117" s="3633" t="s">
        <v>24</v>
      </c>
      <c r="BE117" s="3632">
        <f t="shared" ref="BE117:CB117" si="80">SUM(BE114:BE116)</f>
        <v>42061.539262785293</v>
      </c>
      <c r="BF117" s="3632">
        <f t="shared" si="80"/>
        <v>36874.506936685444</v>
      </c>
      <c r="BG117" s="3632">
        <f t="shared" si="80"/>
        <v>28552.436378831786</v>
      </c>
      <c r="BH117" s="3632">
        <f t="shared" si="80"/>
        <v>18931.674434766617</v>
      </c>
      <c r="BI117" s="3632">
        <f t="shared" si="80"/>
        <v>11143.271851269687</v>
      </c>
      <c r="BJ117" s="3632">
        <f t="shared" si="80"/>
        <v>9010.4844103419764</v>
      </c>
      <c r="BK117" s="3632">
        <f t="shared" si="80"/>
        <v>7736.3415169408227</v>
      </c>
      <c r="BL117" s="3632">
        <f t="shared" si="80"/>
        <v>7332.3951478400822</v>
      </c>
      <c r="BM117" s="3632">
        <f t="shared" si="80"/>
        <v>8717.6945847842417</v>
      </c>
      <c r="BN117" s="3632">
        <f t="shared" si="80"/>
        <v>16642.571254035884</v>
      </c>
      <c r="BO117" s="3632">
        <f t="shared" si="80"/>
        <v>29994.58188134068</v>
      </c>
      <c r="BP117" s="3632">
        <f t="shared" si="80"/>
        <v>42359.80896891329</v>
      </c>
      <c r="BQ117" s="3632">
        <f t="shared" si="80"/>
        <v>40658.442903617921</v>
      </c>
      <c r="BR117" s="3632">
        <f t="shared" si="80"/>
        <v>35534.977314716612</v>
      </c>
      <c r="BS117" s="3632">
        <f t="shared" si="80"/>
        <v>27878.382032504953</v>
      </c>
      <c r="BT117" s="3632">
        <f t="shared" si="80"/>
        <v>18235.115367907238</v>
      </c>
      <c r="BU117" s="3632">
        <f t="shared" si="80"/>
        <v>10960.810923659459</v>
      </c>
      <c r="BV117" s="3632">
        <f t="shared" si="80"/>
        <v>8728.9664261724301</v>
      </c>
      <c r="BW117" s="3632">
        <f t="shared" si="80"/>
        <v>7500.5988665481682</v>
      </c>
      <c r="BX117" s="3632">
        <f t="shared" si="80"/>
        <v>7203.8243322429653</v>
      </c>
      <c r="BY117" s="3632">
        <f t="shared" si="80"/>
        <v>8542.3374015360496</v>
      </c>
      <c r="BZ117" s="3632">
        <f t="shared" si="80"/>
        <v>15943.850313253079</v>
      </c>
      <c r="CA117" s="3632">
        <f t="shared" si="80"/>
        <v>29474.622580685176</v>
      </c>
      <c r="CB117" s="3631">
        <f t="shared" si="80"/>
        <v>40957.467104577678</v>
      </c>
    </row>
    <row r="118" spans="18:80">
      <c r="R118" s="3469">
        <f t="shared" si="50"/>
        <v>113</v>
      </c>
      <c r="S118" s="3471" t="s">
        <v>3086</v>
      </c>
      <c r="T118" s="3471" t="s">
        <v>3348</v>
      </c>
      <c r="U118" s="3472">
        <v>194036</v>
      </c>
      <c r="V118" s="3472">
        <v>0</v>
      </c>
      <c r="W118" s="3472">
        <v>0</v>
      </c>
      <c r="X118" s="3473">
        <f t="shared" si="77"/>
        <v>392.46596853072504</v>
      </c>
      <c r="Y118" s="3473">
        <f t="shared" si="77"/>
        <v>0</v>
      </c>
      <c r="Z118" s="3473">
        <f t="shared" si="77"/>
        <v>0</v>
      </c>
      <c r="AA118" s="3553">
        <v>0</v>
      </c>
      <c r="AB118" s="3553">
        <v>0</v>
      </c>
      <c r="AC118" s="3553">
        <v>0</v>
      </c>
      <c r="AD118" s="3554">
        <v>0</v>
      </c>
      <c r="AE118" s="3554">
        <v>0</v>
      </c>
      <c r="AF118" s="3554">
        <v>0</v>
      </c>
      <c r="AG118" s="3554">
        <v>0</v>
      </c>
      <c r="AH118" s="3554">
        <v>0</v>
      </c>
      <c r="AI118" s="3554">
        <v>0</v>
      </c>
      <c r="AJ118" s="3488"/>
      <c r="AK118" s="3477"/>
      <c r="AL118" s="3477" t="s">
        <v>3088</v>
      </c>
      <c r="AM118" s="3477" t="s">
        <v>3089</v>
      </c>
      <c r="AN118" s="3478">
        <f t="shared" si="66"/>
        <v>252.74808373378693</v>
      </c>
      <c r="AO118" s="3478">
        <f t="shared" si="67"/>
        <v>0</v>
      </c>
      <c r="AP118" s="3478">
        <f t="shared" si="68"/>
        <v>0</v>
      </c>
      <c r="AQ118" s="3478">
        <f t="shared" si="69"/>
        <v>0</v>
      </c>
      <c r="AR118" s="3478">
        <f t="shared" si="70"/>
        <v>0</v>
      </c>
      <c r="AS118" s="3478">
        <f t="shared" si="71"/>
        <v>0</v>
      </c>
      <c r="AT118" s="3555">
        <f t="shared" si="72"/>
        <v>0</v>
      </c>
      <c r="AU118" s="3555">
        <f t="shared" si="73"/>
        <v>0</v>
      </c>
      <c r="AV118" s="3555">
        <f t="shared" si="56"/>
        <v>0</v>
      </c>
      <c r="AW118" s="3555">
        <f t="shared" si="57"/>
        <v>0</v>
      </c>
      <c r="AX118" s="3479" t="s">
        <v>3346</v>
      </c>
      <c r="AY118" s="3480">
        <f t="shared" si="51"/>
        <v>113</v>
      </c>
      <c r="AZ118" s="3480"/>
      <c r="BC118" s="3619"/>
      <c r="BE118" s="3635"/>
      <c r="BF118" s="3635"/>
      <c r="BG118" s="3635"/>
      <c r="BH118" s="3635"/>
      <c r="BI118" s="3635"/>
      <c r="BJ118" s="3635"/>
      <c r="BK118" s="3635"/>
      <c r="BL118" s="3635"/>
      <c r="BM118" s="3635"/>
      <c r="BN118" s="3635"/>
      <c r="BO118" s="3635"/>
      <c r="BP118" s="3635"/>
      <c r="BQ118" s="3635"/>
      <c r="BR118" s="3635"/>
      <c r="BS118" s="3635"/>
      <c r="BT118" s="3635"/>
      <c r="BU118" s="3635"/>
      <c r="BV118" s="3635"/>
      <c r="BW118" s="3635"/>
      <c r="BX118" s="3635"/>
      <c r="BY118" s="3635"/>
      <c r="BZ118" s="3635"/>
      <c r="CA118" s="3635"/>
      <c r="CB118" s="3634"/>
    </row>
    <row r="119" spans="18:80">
      <c r="R119" s="3469">
        <f t="shared" si="50"/>
        <v>114</v>
      </c>
      <c r="S119" s="3471" t="s">
        <v>3086</v>
      </c>
      <c r="T119" s="3471" t="s">
        <v>3349</v>
      </c>
      <c r="U119" s="3472">
        <v>1614227</v>
      </c>
      <c r="V119" s="3472">
        <v>0</v>
      </c>
      <c r="W119" s="3472">
        <v>0</v>
      </c>
      <c r="X119" s="3473">
        <f t="shared" si="77"/>
        <v>3265.0083643419093</v>
      </c>
      <c r="Y119" s="3473">
        <f t="shared" si="77"/>
        <v>0</v>
      </c>
      <c r="Z119" s="3473">
        <f t="shared" si="77"/>
        <v>0</v>
      </c>
      <c r="AA119" s="3553">
        <v>0</v>
      </c>
      <c r="AB119" s="3553">
        <v>0</v>
      </c>
      <c r="AC119" s="3553">
        <v>0</v>
      </c>
      <c r="AD119" s="3554">
        <v>0</v>
      </c>
      <c r="AE119" s="3554">
        <v>0</v>
      </c>
      <c r="AF119" s="3554">
        <v>0</v>
      </c>
      <c r="AG119" s="3554">
        <v>0</v>
      </c>
      <c r="AH119" s="3554">
        <v>0</v>
      </c>
      <c r="AI119" s="3554">
        <v>0</v>
      </c>
      <c r="AJ119" s="3488"/>
      <c r="AK119" s="3477"/>
      <c r="AL119" s="3477" t="s">
        <v>3088</v>
      </c>
      <c r="AM119" s="3477" t="s">
        <v>3089</v>
      </c>
      <c r="AN119" s="3478">
        <f t="shared" si="66"/>
        <v>2102.6653866361899</v>
      </c>
      <c r="AO119" s="3478">
        <f t="shared" si="67"/>
        <v>0</v>
      </c>
      <c r="AP119" s="3478">
        <f t="shared" si="68"/>
        <v>0</v>
      </c>
      <c r="AQ119" s="3478">
        <f t="shared" si="69"/>
        <v>0</v>
      </c>
      <c r="AR119" s="3478">
        <f t="shared" si="70"/>
        <v>0</v>
      </c>
      <c r="AS119" s="3478">
        <f t="shared" si="71"/>
        <v>0</v>
      </c>
      <c r="AT119" s="3555">
        <f t="shared" si="72"/>
        <v>0</v>
      </c>
      <c r="AU119" s="3555">
        <f t="shared" si="73"/>
        <v>0</v>
      </c>
      <c r="AV119" s="3555">
        <f t="shared" si="56"/>
        <v>0</v>
      </c>
      <c r="AW119" s="3555">
        <f t="shared" si="57"/>
        <v>0</v>
      </c>
      <c r="AX119" s="3479" t="s">
        <v>3346</v>
      </c>
      <c r="AY119" s="3480">
        <f t="shared" si="51"/>
        <v>114</v>
      </c>
      <c r="AZ119" s="3480"/>
      <c r="BC119" s="3638"/>
      <c r="BD119" s="3625" t="s">
        <v>3384</v>
      </c>
      <c r="BE119" s="3637">
        <v>45688</v>
      </c>
      <c r="BF119" s="3637">
        <f t="shared" ref="BF119:CB119" si="81">EOMONTH(BE119,1)</f>
        <v>45716</v>
      </c>
      <c r="BG119" s="3637">
        <f t="shared" si="81"/>
        <v>45747</v>
      </c>
      <c r="BH119" s="3637">
        <f t="shared" si="81"/>
        <v>45777</v>
      </c>
      <c r="BI119" s="3637">
        <f t="shared" si="81"/>
        <v>45808</v>
      </c>
      <c r="BJ119" s="3637">
        <f t="shared" si="81"/>
        <v>45838</v>
      </c>
      <c r="BK119" s="3637">
        <f t="shared" si="81"/>
        <v>45869</v>
      </c>
      <c r="BL119" s="3637">
        <f t="shared" si="81"/>
        <v>45900</v>
      </c>
      <c r="BM119" s="3637">
        <f t="shared" si="81"/>
        <v>45930</v>
      </c>
      <c r="BN119" s="3637">
        <f t="shared" si="81"/>
        <v>45961</v>
      </c>
      <c r="BO119" s="3637">
        <f t="shared" si="81"/>
        <v>45991</v>
      </c>
      <c r="BP119" s="3637">
        <f t="shared" si="81"/>
        <v>46022</v>
      </c>
      <c r="BQ119" s="3637">
        <f t="shared" si="81"/>
        <v>46053</v>
      </c>
      <c r="BR119" s="3637">
        <f t="shared" si="81"/>
        <v>46081</v>
      </c>
      <c r="BS119" s="3637">
        <f t="shared" si="81"/>
        <v>46112</v>
      </c>
      <c r="BT119" s="3637">
        <f t="shared" si="81"/>
        <v>46142</v>
      </c>
      <c r="BU119" s="3637">
        <f t="shared" si="81"/>
        <v>46173</v>
      </c>
      <c r="BV119" s="3637">
        <f t="shared" si="81"/>
        <v>46203</v>
      </c>
      <c r="BW119" s="3637">
        <f t="shared" si="81"/>
        <v>46234</v>
      </c>
      <c r="BX119" s="3637">
        <f t="shared" si="81"/>
        <v>46265</v>
      </c>
      <c r="BY119" s="3637">
        <f t="shared" si="81"/>
        <v>46295</v>
      </c>
      <c r="BZ119" s="3637">
        <f t="shared" si="81"/>
        <v>46326</v>
      </c>
      <c r="CA119" s="3637">
        <f t="shared" si="81"/>
        <v>46356</v>
      </c>
      <c r="CB119" s="3636">
        <f t="shared" si="81"/>
        <v>46387</v>
      </c>
    </row>
    <row r="120" spans="18:80" ht="72.5">
      <c r="R120" s="3469">
        <f t="shared" si="50"/>
        <v>115</v>
      </c>
      <c r="S120" s="3471" t="s">
        <v>3111</v>
      </c>
      <c r="T120" s="3471" t="s">
        <v>3350</v>
      </c>
      <c r="U120" s="3472">
        <v>25772370</v>
      </c>
      <c r="V120" s="3472">
        <v>44265853</v>
      </c>
      <c r="W120" s="3472">
        <v>34666286</v>
      </c>
      <c r="X120" s="3473">
        <f t="shared" si="77"/>
        <v>52128.358414841583</v>
      </c>
      <c r="Y120" s="3473">
        <f t="shared" si="77"/>
        <v>89534.111559111203</v>
      </c>
      <c r="Z120" s="3473">
        <f t="shared" si="77"/>
        <v>70117.594211141826</v>
      </c>
      <c r="AA120" s="3553">
        <v>0</v>
      </c>
      <c r="AB120" s="3553">
        <v>0</v>
      </c>
      <c r="AC120" s="3553">
        <v>0</v>
      </c>
      <c r="AD120" s="3554">
        <v>1951000</v>
      </c>
      <c r="AE120" s="3554">
        <v>1951000</v>
      </c>
      <c r="AF120" s="3554">
        <v>0</v>
      </c>
      <c r="AG120" s="3554">
        <v>0</v>
      </c>
      <c r="AH120" s="3554">
        <v>0</v>
      </c>
      <c r="AI120" s="3554">
        <v>0</v>
      </c>
      <c r="AJ120" s="3488"/>
      <c r="AK120" s="3477" t="s">
        <v>3123</v>
      </c>
      <c r="AL120" s="3477" t="s">
        <v>3088</v>
      </c>
      <c r="AM120" s="3477" t="s">
        <v>3151</v>
      </c>
      <c r="AN120" s="3478">
        <f t="shared" si="66"/>
        <v>34896.286973647402</v>
      </c>
      <c r="AO120" s="3478">
        <f t="shared" si="67"/>
        <v>0</v>
      </c>
      <c r="AP120" s="3478">
        <f t="shared" si="68"/>
        <v>59936.82030101581</v>
      </c>
      <c r="AQ120" s="3478">
        <f t="shared" si="69"/>
        <v>0</v>
      </c>
      <c r="AR120" s="3478">
        <f t="shared" si="70"/>
        <v>46938.821092764672</v>
      </c>
      <c r="AS120" s="3478">
        <f t="shared" si="71"/>
        <v>0</v>
      </c>
      <c r="AT120" s="3555">
        <f t="shared" si="72"/>
        <v>1306057.93</v>
      </c>
      <c r="AU120" s="3555">
        <f t="shared" si="73"/>
        <v>0</v>
      </c>
      <c r="AV120" s="3555">
        <f t="shared" si="56"/>
        <v>1306057.93</v>
      </c>
      <c r="AW120" s="3555">
        <f t="shared" si="57"/>
        <v>0</v>
      </c>
      <c r="AX120" s="3479" t="s">
        <v>3351</v>
      </c>
      <c r="AY120" s="3480">
        <f t="shared" si="51"/>
        <v>115</v>
      </c>
      <c r="AZ120" s="3480"/>
      <c r="BC120" s="3619"/>
      <c r="BD120" s="3614" t="s">
        <v>3342</v>
      </c>
      <c r="BE120" s="3635">
        <f t="shared" ref="BE120:CB120" si="82">BE40*$BE$110</f>
        <v>0</v>
      </c>
      <c r="BF120" s="3635">
        <f t="shared" si="82"/>
        <v>0</v>
      </c>
      <c r="BG120" s="3635">
        <f t="shared" si="82"/>
        <v>0</v>
      </c>
      <c r="BH120" s="3635">
        <f t="shared" si="82"/>
        <v>0</v>
      </c>
      <c r="BI120" s="3635">
        <f t="shared" si="82"/>
        <v>0</v>
      </c>
      <c r="BJ120" s="3635">
        <f t="shared" si="82"/>
        <v>0</v>
      </c>
      <c r="BK120" s="3635">
        <f t="shared" si="82"/>
        <v>0</v>
      </c>
      <c r="BL120" s="3635">
        <f t="shared" si="82"/>
        <v>0</v>
      </c>
      <c r="BM120" s="3635">
        <f t="shared" si="82"/>
        <v>0</v>
      </c>
      <c r="BN120" s="3635">
        <f t="shared" si="82"/>
        <v>0</v>
      </c>
      <c r="BO120" s="3635">
        <f t="shared" si="82"/>
        <v>0</v>
      </c>
      <c r="BP120" s="3635">
        <f t="shared" si="82"/>
        <v>0</v>
      </c>
      <c r="BQ120" s="3635">
        <f t="shared" si="82"/>
        <v>0</v>
      </c>
      <c r="BR120" s="3635">
        <f t="shared" si="82"/>
        <v>0</v>
      </c>
      <c r="BS120" s="3635">
        <f t="shared" si="82"/>
        <v>0</v>
      </c>
      <c r="BT120" s="3635">
        <f t="shared" si="82"/>
        <v>0</v>
      </c>
      <c r="BU120" s="3635">
        <f t="shared" si="82"/>
        <v>0</v>
      </c>
      <c r="BV120" s="3635">
        <f t="shared" si="82"/>
        <v>0</v>
      </c>
      <c r="BW120" s="3635">
        <f t="shared" si="82"/>
        <v>0</v>
      </c>
      <c r="BX120" s="3635">
        <f t="shared" si="82"/>
        <v>0</v>
      </c>
      <c r="BY120" s="3635">
        <f t="shared" si="82"/>
        <v>0</v>
      </c>
      <c r="BZ120" s="3635">
        <f t="shared" si="82"/>
        <v>0</v>
      </c>
      <c r="CA120" s="3635">
        <f t="shared" si="82"/>
        <v>0</v>
      </c>
      <c r="CB120" s="3634">
        <f t="shared" si="82"/>
        <v>0</v>
      </c>
    </row>
    <row r="121" spans="18:80" ht="37.5">
      <c r="R121" s="3469">
        <f t="shared" si="50"/>
        <v>116</v>
      </c>
      <c r="S121" s="3471" t="s">
        <v>3111</v>
      </c>
      <c r="T121" s="3471" t="s">
        <v>3352</v>
      </c>
      <c r="U121" s="3472">
        <v>0</v>
      </c>
      <c r="V121" s="3472">
        <v>0</v>
      </c>
      <c r="W121" s="3472">
        <v>3950000</v>
      </c>
      <c r="X121" s="3473">
        <f t="shared" si="77"/>
        <v>0</v>
      </c>
      <c r="Y121" s="3473">
        <f t="shared" si="77"/>
        <v>0</v>
      </c>
      <c r="Z121" s="3473">
        <f t="shared" si="77"/>
        <v>7989.4482245375284</v>
      </c>
      <c r="AA121" s="3553">
        <v>0</v>
      </c>
      <c r="AB121" s="3553">
        <v>0</v>
      </c>
      <c r="AC121" s="3553">
        <v>0</v>
      </c>
      <c r="AD121" s="3554">
        <v>0</v>
      </c>
      <c r="AE121" s="3554">
        <v>0</v>
      </c>
      <c r="AF121" s="3554">
        <v>0</v>
      </c>
      <c r="AG121" s="3554">
        <v>0</v>
      </c>
      <c r="AH121" s="3554">
        <v>0</v>
      </c>
      <c r="AI121" s="3554">
        <v>0</v>
      </c>
      <c r="AJ121" s="3488"/>
      <c r="AK121" s="3477"/>
      <c r="AL121" s="3477" t="s">
        <v>3088</v>
      </c>
      <c r="AM121" s="3477" t="s">
        <v>3089</v>
      </c>
      <c r="AN121" s="3478">
        <f t="shared" si="66"/>
        <v>0</v>
      </c>
      <c r="AO121" s="3478">
        <f t="shared" si="67"/>
        <v>0</v>
      </c>
      <c r="AP121" s="3478">
        <f t="shared" si="68"/>
        <v>0</v>
      </c>
      <c r="AQ121" s="3478">
        <f t="shared" si="69"/>
        <v>0</v>
      </c>
      <c r="AR121" s="3478">
        <f t="shared" si="70"/>
        <v>5145.2046566021681</v>
      </c>
      <c r="AS121" s="3478">
        <f t="shared" si="71"/>
        <v>0</v>
      </c>
      <c r="AT121" s="3555">
        <f t="shared" si="72"/>
        <v>0</v>
      </c>
      <c r="AU121" s="3555">
        <f t="shared" si="73"/>
        <v>0</v>
      </c>
      <c r="AV121" s="3555">
        <f t="shared" si="56"/>
        <v>0</v>
      </c>
      <c r="AW121" s="3555">
        <f t="shared" si="57"/>
        <v>0</v>
      </c>
      <c r="AX121" s="3479" t="s">
        <v>3353</v>
      </c>
      <c r="AY121" s="3480">
        <f t="shared" si="51"/>
        <v>116</v>
      </c>
      <c r="AZ121" s="3480"/>
      <c r="BC121" s="3619"/>
      <c r="BD121" s="3614" t="s">
        <v>3366</v>
      </c>
      <c r="BE121" s="3630">
        <f t="shared" ref="BE121:CB121" si="83">BE$68*BE80*$BF$110</f>
        <v>0</v>
      </c>
      <c r="BF121" s="3630">
        <f t="shared" si="83"/>
        <v>0</v>
      </c>
      <c r="BG121" s="3630">
        <f t="shared" si="83"/>
        <v>0</v>
      </c>
      <c r="BH121" s="3630">
        <f t="shared" si="83"/>
        <v>0</v>
      </c>
      <c r="BI121" s="3630">
        <f t="shared" si="83"/>
        <v>0</v>
      </c>
      <c r="BJ121" s="3630">
        <f t="shared" si="83"/>
        <v>0</v>
      </c>
      <c r="BK121" s="3630">
        <f t="shared" si="83"/>
        <v>0</v>
      </c>
      <c r="BL121" s="3630">
        <f t="shared" si="83"/>
        <v>0</v>
      </c>
      <c r="BM121" s="3630">
        <f t="shared" si="83"/>
        <v>0</v>
      </c>
      <c r="BN121" s="3630">
        <f t="shared" si="83"/>
        <v>0</v>
      </c>
      <c r="BO121" s="3630">
        <f t="shared" si="83"/>
        <v>0</v>
      </c>
      <c r="BP121" s="3630">
        <f t="shared" si="83"/>
        <v>0</v>
      </c>
      <c r="BQ121" s="3630">
        <f t="shared" si="83"/>
        <v>0</v>
      </c>
      <c r="BR121" s="3630">
        <f t="shared" si="83"/>
        <v>0</v>
      </c>
      <c r="BS121" s="3630">
        <f t="shared" si="83"/>
        <v>0</v>
      </c>
      <c r="BT121" s="3630">
        <f t="shared" si="83"/>
        <v>0</v>
      </c>
      <c r="BU121" s="3630">
        <f t="shared" si="83"/>
        <v>0</v>
      </c>
      <c r="BV121" s="3630">
        <f t="shared" si="83"/>
        <v>0</v>
      </c>
      <c r="BW121" s="3630">
        <f t="shared" si="83"/>
        <v>0</v>
      </c>
      <c r="BX121" s="3630">
        <f t="shared" si="83"/>
        <v>0</v>
      </c>
      <c r="BY121" s="3630">
        <f t="shared" si="83"/>
        <v>0</v>
      </c>
      <c r="BZ121" s="3630">
        <f t="shared" si="83"/>
        <v>0</v>
      </c>
      <c r="CA121" s="3630">
        <f t="shared" si="83"/>
        <v>0</v>
      </c>
      <c r="CB121" s="3629">
        <f t="shared" si="83"/>
        <v>0</v>
      </c>
    </row>
    <row r="122" spans="18:80" ht="25">
      <c r="R122" s="3469">
        <f t="shared" si="50"/>
        <v>117</v>
      </c>
      <c r="S122" s="3471" t="s">
        <v>3100</v>
      </c>
      <c r="T122" s="3471" t="s">
        <v>3355</v>
      </c>
      <c r="U122" s="3472">
        <v>485512</v>
      </c>
      <c r="V122" s="3472">
        <v>1014488</v>
      </c>
      <c r="W122" s="3472">
        <v>1220271</v>
      </c>
      <c r="X122" s="3473">
        <f t="shared" si="77"/>
        <v>982.01847756750999</v>
      </c>
      <c r="Y122" s="3473">
        <f t="shared" si="77"/>
        <v>2051.9492026366147</v>
      </c>
      <c r="Z122" s="3473">
        <f t="shared" si="77"/>
        <v>2468.1751833935782</v>
      </c>
      <c r="AA122" s="3553">
        <v>0</v>
      </c>
      <c r="AB122" s="3553">
        <v>0</v>
      </c>
      <c r="AC122" s="3553">
        <v>0</v>
      </c>
      <c r="AD122" s="3554">
        <v>0</v>
      </c>
      <c r="AE122" s="3554">
        <v>0</v>
      </c>
      <c r="AF122" s="3554">
        <v>0</v>
      </c>
      <c r="AG122" s="3554">
        <v>0</v>
      </c>
      <c r="AH122" s="3554">
        <v>0</v>
      </c>
      <c r="AI122" s="3554">
        <v>0</v>
      </c>
      <c r="AJ122" s="3488"/>
      <c r="AK122" s="3477"/>
      <c r="AL122" s="3477" t="s">
        <v>839</v>
      </c>
      <c r="AM122" s="3477" t="s">
        <v>839</v>
      </c>
      <c r="AN122" s="3478">
        <f t="shared" si="66"/>
        <v>460.91112035158329</v>
      </c>
      <c r="AO122" s="3478">
        <f t="shared" si="67"/>
        <v>145.90007293967949</v>
      </c>
      <c r="AP122" s="3478">
        <f t="shared" si="68"/>
        <v>963.08392102200776</v>
      </c>
      <c r="AQ122" s="3478">
        <f t="shared" si="69"/>
        <v>304.8614106271927</v>
      </c>
      <c r="AR122" s="3478">
        <f t="shared" si="70"/>
        <v>1158.4399020879955</v>
      </c>
      <c r="AS122" s="3478">
        <f t="shared" si="71"/>
        <v>366.70077754242044</v>
      </c>
      <c r="AT122" s="3555">
        <f t="shared" si="72"/>
        <v>0</v>
      </c>
      <c r="AU122" s="3555">
        <f t="shared" si="73"/>
        <v>0</v>
      </c>
      <c r="AV122" s="3555">
        <f t="shared" si="56"/>
        <v>0</v>
      </c>
      <c r="AW122" s="3555">
        <f t="shared" si="57"/>
        <v>0</v>
      </c>
      <c r="AX122" s="3479" t="s">
        <v>3090</v>
      </c>
      <c r="AY122" s="3480">
        <f t="shared" si="51"/>
        <v>117</v>
      </c>
      <c r="AZ122" s="3480"/>
      <c r="BC122" s="3619"/>
      <c r="BD122" s="3614" t="s">
        <v>3367</v>
      </c>
      <c r="BE122" s="3630">
        <f t="shared" ref="BE122:CB122" si="84">BE$68*BE81*$BG$110</f>
        <v>0</v>
      </c>
      <c r="BF122" s="3630">
        <f t="shared" si="84"/>
        <v>0</v>
      </c>
      <c r="BG122" s="3630">
        <f t="shared" si="84"/>
        <v>0</v>
      </c>
      <c r="BH122" s="3630">
        <f t="shared" si="84"/>
        <v>0</v>
      </c>
      <c r="BI122" s="3630">
        <f t="shared" si="84"/>
        <v>0</v>
      </c>
      <c r="BJ122" s="3630">
        <f t="shared" si="84"/>
        <v>0</v>
      </c>
      <c r="BK122" s="3630">
        <f t="shared" si="84"/>
        <v>0</v>
      </c>
      <c r="BL122" s="3630">
        <f t="shared" si="84"/>
        <v>0</v>
      </c>
      <c r="BM122" s="3630">
        <f t="shared" si="84"/>
        <v>0</v>
      </c>
      <c r="BN122" s="3630">
        <f t="shared" si="84"/>
        <v>0</v>
      </c>
      <c r="BO122" s="3630">
        <f t="shared" si="84"/>
        <v>0</v>
      </c>
      <c r="BP122" s="3630">
        <f t="shared" si="84"/>
        <v>0</v>
      </c>
      <c r="BQ122" s="3630">
        <f t="shared" si="84"/>
        <v>0</v>
      </c>
      <c r="BR122" s="3630">
        <f t="shared" si="84"/>
        <v>0</v>
      </c>
      <c r="BS122" s="3630">
        <f t="shared" si="84"/>
        <v>0</v>
      </c>
      <c r="BT122" s="3630">
        <f t="shared" si="84"/>
        <v>0</v>
      </c>
      <c r="BU122" s="3630">
        <f t="shared" si="84"/>
        <v>0</v>
      </c>
      <c r="BV122" s="3630">
        <f t="shared" si="84"/>
        <v>0</v>
      </c>
      <c r="BW122" s="3630">
        <f t="shared" si="84"/>
        <v>0</v>
      </c>
      <c r="BX122" s="3630">
        <f t="shared" si="84"/>
        <v>0</v>
      </c>
      <c r="BY122" s="3630">
        <f t="shared" si="84"/>
        <v>0</v>
      </c>
      <c r="BZ122" s="3630">
        <f t="shared" si="84"/>
        <v>0</v>
      </c>
      <c r="CA122" s="3630">
        <f t="shared" si="84"/>
        <v>0</v>
      </c>
      <c r="CB122" s="3629">
        <f t="shared" si="84"/>
        <v>0</v>
      </c>
    </row>
    <row r="123" spans="18:80">
      <c r="R123" s="2666"/>
      <c r="S123" s="3560"/>
      <c r="T123" s="2666"/>
      <c r="U123" s="3561">
        <f t="shared" ref="U123:AI123" si="85">SUM(U6:U122)</f>
        <v>409247187.57142854</v>
      </c>
      <c r="V123" s="3561">
        <f t="shared" si="85"/>
        <v>457512047</v>
      </c>
      <c r="W123" s="3561">
        <f t="shared" si="85"/>
        <v>551511322</v>
      </c>
      <c r="X123" s="3562">
        <f t="shared" si="85"/>
        <v>541247.17354576103</v>
      </c>
      <c r="Y123" s="3562">
        <f t="shared" si="85"/>
        <v>650248.29056453321</v>
      </c>
      <c r="Z123" s="3562">
        <f t="shared" si="85"/>
        <v>811419.68647405924</v>
      </c>
      <c r="AA123" s="3563">
        <f t="shared" si="85"/>
        <v>609174</v>
      </c>
      <c r="AB123" s="3563">
        <f t="shared" si="85"/>
        <v>696605</v>
      </c>
      <c r="AC123" s="3563">
        <f t="shared" si="85"/>
        <v>1067991</v>
      </c>
      <c r="AD123" s="3564">
        <f t="shared" si="85"/>
        <v>158279926.33333334</v>
      </c>
      <c r="AE123" s="3564">
        <f t="shared" si="85"/>
        <v>160781859.33333334</v>
      </c>
      <c r="AF123" s="3564">
        <f t="shared" si="85"/>
        <v>3602994</v>
      </c>
      <c r="AG123" s="3564">
        <f t="shared" si="85"/>
        <v>979594</v>
      </c>
      <c r="AH123" s="3564">
        <f t="shared" si="85"/>
        <v>8881101</v>
      </c>
      <c r="AI123" s="3564">
        <f t="shared" si="85"/>
        <v>9246942</v>
      </c>
      <c r="AJ123" s="3560"/>
      <c r="AK123" s="3565"/>
      <c r="AL123" s="3565"/>
      <c r="AM123" s="3565" t="s">
        <v>24</v>
      </c>
      <c r="AN123" s="3566">
        <f t="shared" ref="AN123:AW123" si="86">SUM(AN6:AN122)</f>
        <v>559337.92574495065</v>
      </c>
      <c r="AO123" s="3567">
        <f t="shared" si="86"/>
        <v>186710.32165398271</v>
      </c>
      <c r="AP123" s="3566">
        <f t="shared" si="86"/>
        <v>714945.78031786077</v>
      </c>
      <c r="AQ123" s="3567">
        <f t="shared" si="86"/>
        <v>183992.89129313678</v>
      </c>
      <c r="AR123" s="3566">
        <f t="shared" si="86"/>
        <v>945719.19548597082</v>
      </c>
      <c r="AS123" s="3567">
        <f t="shared" si="86"/>
        <v>217764.76932557541</v>
      </c>
      <c r="AT123" s="3568">
        <f t="shared" si="86"/>
        <v>88574486.149120972</v>
      </c>
      <c r="AU123" s="3568">
        <f t="shared" si="86"/>
        <v>14949847.837270435</v>
      </c>
      <c r="AV123" s="3568">
        <f t="shared" si="86"/>
        <v>88550559.012291655</v>
      </c>
      <c r="AW123" s="3568">
        <f t="shared" si="86"/>
        <v>14604625.363600751</v>
      </c>
      <c r="AX123" s="3560"/>
      <c r="AY123" s="2123"/>
      <c r="AZ123" s="2123"/>
      <c r="BC123" s="3619"/>
      <c r="BD123" s="3614" t="s">
        <v>3368</v>
      </c>
      <c r="BE123" s="3630">
        <f t="shared" ref="BE123:CB123" si="87">BE$68*BE82*$BH$110</f>
        <v>0</v>
      </c>
      <c r="BF123" s="3630">
        <f t="shared" si="87"/>
        <v>0</v>
      </c>
      <c r="BG123" s="3630">
        <f t="shared" si="87"/>
        <v>0</v>
      </c>
      <c r="BH123" s="3630">
        <f t="shared" si="87"/>
        <v>0</v>
      </c>
      <c r="BI123" s="3630">
        <f t="shared" si="87"/>
        <v>0</v>
      </c>
      <c r="BJ123" s="3630">
        <f t="shared" si="87"/>
        <v>0</v>
      </c>
      <c r="BK123" s="3630">
        <f t="shared" si="87"/>
        <v>0</v>
      </c>
      <c r="BL123" s="3630">
        <f t="shared" si="87"/>
        <v>0</v>
      </c>
      <c r="BM123" s="3630">
        <f t="shared" si="87"/>
        <v>0</v>
      </c>
      <c r="BN123" s="3630">
        <f t="shared" si="87"/>
        <v>0</v>
      </c>
      <c r="BO123" s="3630">
        <f t="shared" si="87"/>
        <v>0</v>
      </c>
      <c r="BP123" s="3630">
        <f t="shared" si="87"/>
        <v>0</v>
      </c>
      <c r="BQ123" s="3630">
        <f t="shared" si="87"/>
        <v>0</v>
      </c>
      <c r="BR123" s="3630">
        <f t="shared" si="87"/>
        <v>0</v>
      </c>
      <c r="BS123" s="3630">
        <f t="shared" si="87"/>
        <v>0</v>
      </c>
      <c r="BT123" s="3630">
        <f t="shared" si="87"/>
        <v>0</v>
      </c>
      <c r="BU123" s="3630">
        <f t="shared" si="87"/>
        <v>0</v>
      </c>
      <c r="BV123" s="3630">
        <f t="shared" si="87"/>
        <v>0</v>
      </c>
      <c r="BW123" s="3630">
        <f t="shared" si="87"/>
        <v>0</v>
      </c>
      <c r="BX123" s="3630">
        <f t="shared" si="87"/>
        <v>0</v>
      </c>
      <c r="BY123" s="3630">
        <f t="shared" si="87"/>
        <v>0</v>
      </c>
      <c r="BZ123" s="3630">
        <f t="shared" si="87"/>
        <v>0</v>
      </c>
      <c r="CA123" s="3630">
        <f t="shared" si="87"/>
        <v>0</v>
      </c>
      <c r="CB123" s="3629">
        <f t="shared" si="87"/>
        <v>0</v>
      </c>
    </row>
    <row r="124" spans="18:80" ht="25">
      <c r="S124" s="4063" t="s">
        <v>3356</v>
      </c>
      <c r="T124" s="4063"/>
      <c r="U124" s="4063"/>
      <c r="V124" s="4063"/>
      <c r="W124" s="4063"/>
      <c r="X124" s="3565" t="s">
        <v>24</v>
      </c>
      <c r="AA124" s="3489"/>
      <c r="AB124" s="3489"/>
      <c r="AC124" s="3489"/>
      <c r="AD124" s="3489"/>
      <c r="AF124" s="3489"/>
      <c r="AG124" s="3489"/>
      <c r="AN124" s="3569" t="s">
        <v>3357</v>
      </c>
      <c r="AO124" s="3525" t="s">
        <v>3132</v>
      </c>
      <c r="AP124" s="3569" t="s">
        <v>3358</v>
      </c>
      <c r="AQ124" s="3525" t="s">
        <v>3359</v>
      </c>
      <c r="AR124" s="3569" t="s">
        <v>3360</v>
      </c>
      <c r="AS124" s="3525" t="s">
        <v>3361</v>
      </c>
      <c r="AT124" s="3526" t="s">
        <v>3362</v>
      </c>
      <c r="AU124" s="3526" t="s">
        <v>3363</v>
      </c>
      <c r="AV124" s="3526" t="s">
        <v>3364</v>
      </c>
      <c r="AW124" s="3526" t="s">
        <v>3365</v>
      </c>
      <c r="BC124" s="3619"/>
      <c r="BD124" s="3614" t="s">
        <v>3383</v>
      </c>
      <c r="BE124" s="3630">
        <f t="shared" ref="BE124:CB124" si="88">BE$68*BE83*$BI$110</f>
        <v>0</v>
      </c>
      <c r="BF124" s="3630">
        <f t="shared" si="88"/>
        <v>0</v>
      </c>
      <c r="BG124" s="3630">
        <f t="shared" si="88"/>
        <v>0</v>
      </c>
      <c r="BH124" s="3630">
        <f t="shared" si="88"/>
        <v>0</v>
      </c>
      <c r="BI124" s="3630">
        <f t="shared" si="88"/>
        <v>0</v>
      </c>
      <c r="BJ124" s="3630">
        <f t="shared" si="88"/>
        <v>0</v>
      </c>
      <c r="BK124" s="3630">
        <f t="shared" si="88"/>
        <v>0</v>
      </c>
      <c r="BL124" s="3630">
        <f t="shared" si="88"/>
        <v>0</v>
      </c>
      <c r="BM124" s="3630">
        <f t="shared" si="88"/>
        <v>0</v>
      </c>
      <c r="BN124" s="3630">
        <f t="shared" si="88"/>
        <v>0</v>
      </c>
      <c r="BO124" s="3630">
        <f t="shared" si="88"/>
        <v>0</v>
      </c>
      <c r="BP124" s="3630">
        <f t="shared" si="88"/>
        <v>0</v>
      </c>
      <c r="BQ124" s="3630">
        <f t="shared" si="88"/>
        <v>0</v>
      </c>
      <c r="BR124" s="3630">
        <f t="shared" si="88"/>
        <v>0</v>
      </c>
      <c r="BS124" s="3630">
        <f t="shared" si="88"/>
        <v>0</v>
      </c>
      <c r="BT124" s="3630">
        <f t="shared" si="88"/>
        <v>0</v>
      </c>
      <c r="BU124" s="3630">
        <f t="shared" si="88"/>
        <v>0</v>
      </c>
      <c r="BV124" s="3630">
        <f t="shared" si="88"/>
        <v>0</v>
      </c>
      <c r="BW124" s="3630">
        <f t="shared" si="88"/>
        <v>0</v>
      </c>
      <c r="BX124" s="3630">
        <f t="shared" si="88"/>
        <v>0</v>
      </c>
      <c r="BY124" s="3630">
        <f t="shared" si="88"/>
        <v>0</v>
      </c>
      <c r="BZ124" s="3630">
        <f t="shared" si="88"/>
        <v>0</v>
      </c>
      <c r="CA124" s="3630">
        <f t="shared" si="88"/>
        <v>0</v>
      </c>
      <c r="CB124" s="3629">
        <f t="shared" si="88"/>
        <v>0</v>
      </c>
    </row>
    <row r="125" spans="18:80" ht="15" thickBot="1">
      <c r="S125" s="3480"/>
      <c r="AA125" s="3489"/>
      <c r="AB125" s="3489"/>
      <c r="AC125" s="3489"/>
      <c r="AD125" s="3489"/>
      <c r="AF125" s="3489"/>
      <c r="AG125" s="3489"/>
      <c r="AN125" s="3489"/>
      <c r="AO125" s="3489"/>
      <c r="AP125" s="3489"/>
      <c r="AQ125" s="3489"/>
      <c r="AR125" s="3489"/>
      <c r="AS125" s="3489"/>
      <c r="AT125" s="3489"/>
      <c r="AU125" s="3489"/>
      <c r="AV125" s="3489"/>
      <c r="AW125" s="3489"/>
      <c r="BC125" s="3619"/>
      <c r="BD125" s="3614" t="s">
        <v>3382</v>
      </c>
      <c r="BE125" s="3630">
        <f t="shared" ref="BE125:CB125" si="89">BE$68*BE84*$BJ$110</f>
        <v>0</v>
      </c>
      <c r="BF125" s="3630">
        <f t="shared" si="89"/>
        <v>0</v>
      </c>
      <c r="BG125" s="3630">
        <f t="shared" si="89"/>
        <v>0</v>
      </c>
      <c r="BH125" s="3630">
        <f t="shared" si="89"/>
        <v>0</v>
      </c>
      <c r="BI125" s="3630">
        <f t="shared" si="89"/>
        <v>0</v>
      </c>
      <c r="BJ125" s="3630">
        <f t="shared" si="89"/>
        <v>0</v>
      </c>
      <c r="BK125" s="3630">
        <f t="shared" si="89"/>
        <v>0</v>
      </c>
      <c r="BL125" s="3630">
        <f t="shared" si="89"/>
        <v>0</v>
      </c>
      <c r="BM125" s="3630">
        <f t="shared" si="89"/>
        <v>0</v>
      </c>
      <c r="BN125" s="3630">
        <f t="shared" si="89"/>
        <v>0</v>
      </c>
      <c r="BO125" s="3630">
        <f t="shared" si="89"/>
        <v>0</v>
      </c>
      <c r="BP125" s="3630">
        <f t="shared" si="89"/>
        <v>0</v>
      </c>
      <c r="BQ125" s="3630">
        <f t="shared" si="89"/>
        <v>0</v>
      </c>
      <c r="BR125" s="3630">
        <f t="shared" si="89"/>
        <v>0</v>
      </c>
      <c r="BS125" s="3630">
        <f t="shared" si="89"/>
        <v>0</v>
      </c>
      <c r="BT125" s="3630">
        <f t="shared" si="89"/>
        <v>0</v>
      </c>
      <c r="BU125" s="3630">
        <f t="shared" si="89"/>
        <v>0</v>
      </c>
      <c r="BV125" s="3630">
        <f t="shared" si="89"/>
        <v>0</v>
      </c>
      <c r="BW125" s="3630">
        <f t="shared" si="89"/>
        <v>0</v>
      </c>
      <c r="BX125" s="3630">
        <f t="shared" si="89"/>
        <v>0</v>
      </c>
      <c r="BY125" s="3630">
        <f t="shared" si="89"/>
        <v>0</v>
      </c>
      <c r="BZ125" s="3630">
        <f t="shared" si="89"/>
        <v>0</v>
      </c>
      <c r="CA125" s="3630">
        <f t="shared" si="89"/>
        <v>0</v>
      </c>
      <c r="CB125" s="3629">
        <f t="shared" si="89"/>
        <v>0</v>
      </c>
    </row>
    <row r="126" spans="18:80">
      <c r="W126" s="3570"/>
      <c r="X126" s="3472"/>
      <c r="Y126" s="3472"/>
      <c r="Z126" s="3472"/>
      <c r="AA126" s="3489"/>
      <c r="AB126" s="3489"/>
      <c r="AC126" s="3489"/>
      <c r="AG126" s="3571"/>
      <c r="AH126" s="3572" t="s">
        <v>794</v>
      </c>
      <c r="AI126" s="3573"/>
      <c r="AO126" s="3574" t="s">
        <v>3142</v>
      </c>
      <c r="AP126" s="3531" t="s">
        <v>3143</v>
      </c>
      <c r="AR126" s="3574" t="s">
        <v>3144</v>
      </c>
      <c r="AS126" s="3531" t="s">
        <v>3145</v>
      </c>
      <c r="BC126" s="3619"/>
      <c r="BD126" s="3633" t="s">
        <v>24</v>
      </c>
      <c r="BE126" s="3632">
        <f t="shared" ref="BE126:CB126" si="90">SUM(BE120:BE125)</f>
        <v>0</v>
      </c>
      <c r="BF126" s="3632">
        <f t="shared" si="90"/>
        <v>0</v>
      </c>
      <c r="BG126" s="3632">
        <f t="shared" si="90"/>
        <v>0</v>
      </c>
      <c r="BH126" s="3632">
        <f t="shared" si="90"/>
        <v>0</v>
      </c>
      <c r="BI126" s="3632">
        <f t="shared" si="90"/>
        <v>0</v>
      </c>
      <c r="BJ126" s="3632">
        <f t="shared" si="90"/>
        <v>0</v>
      </c>
      <c r="BK126" s="3632">
        <f t="shared" si="90"/>
        <v>0</v>
      </c>
      <c r="BL126" s="3632">
        <f t="shared" si="90"/>
        <v>0</v>
      </c>
      <c r="BM126" s="3632">
        <f t="shared" si="90"/>
        <v>0</v>
      </c>
      <c r="BN126" s="3632">
        <f t="shared" si="90"/>
        <v>0</v>
      </c>
      <c r="BO126" s="3632">
        <f t="shared" si="90"/>
        <v>0</v>
      </c>
      <c r="BP126" s="3632">
        <f t="shared" si="90"/>
        <v>0</v>
      </c>
      <c r="BQ126" s="3632">
        <f t="shared" si="90"/>
        <v>0</v>
      </c>
      <c r="BR126" s="3632">
        <f t="shared" si="90"/>
        <v>0</v>
      </c>
      <c r="BS126" s="3632">
        <f t="shared" si="90"/>
        <v>0</v>
      </c>
      <c r="BT126" s="3632">
        <f t="shared" si="90"/>
        <v>0</v>
      </c>
      <c r="BU126" s="3632">
        <f t="shared" si="90"/>
        <v>0</v>
      </c>
      <c r="BV126" s="3632">
        <f t="shared" si="90"/>
        <v>0</v>
      </c>
      <c r="BW126" s="3632">
        <f t="shared" si="90"/>
        <v>0</v>
      </c>
      <c r="BX126" s="3632">
        <f t="shared" si="90"/>
        <v>0</v>
      </c>
      <c r="BY126" s="3632">
        <f t="shared" si="90"/>
        <v>0</v>
      </c>
      <c r="BZ126" s="3632">
        <f t="shared" si="90"/>
        <v>0</v>
      </c>
      <c r="CA126" s="3632">
        <f t="shared" si="90"/>
        <v>0</v>
      </c>
      <c r="CB126" s="3631">
        <f t="shared" si="90"/>
        <v>0</v>
      </c>
    </row>
    <row r="127" spans="18:80">
      <c r="W127" s="3570"/>
      <c r="X127" s="3472"/>
      <c r="Y127" s="3472"/>
      <c r="Z127" s="3472"/>
      <c r="AA127" s="3489"/>
      <c r="AB127" s="3489"/>
      <c r="AC127" s="3489"/>
      <c r="AG127" s="3512"/>
      <c r="AI127" s="3575"/>
      <c r="AO127" s="3576"/>
      <c r="AP127" s="3577"/>
      <c r="AR127" s="3576"/>
      <c r="AS127" s="3577"/>
      <c r="BC127" s="3619"/>
      <c r="BE127" s="3630"/>
      <c r="BF127" s="3630"/>
      <c r="BG127" s="3630"/>
      <c r="BH127" s="3630"/>
      <c r="BI127" s="3630"/>
      <c r="BJ127" s="3630"/>
      <c r="BK127" s="3630"/>
      <c r="BL127" s="3630"/>
      <c r="BM127" s="3630"/>
      <c r="BN127" s="3630"/>
      <c r="BO127" s="3630"/>
      <c r="BP127" s="3630"/>
      <c r="BQ127" s="3630"/>
      <c r="BR127" s="3630"/>
      <c r="BS127" s="3630"/>
      <c r="BT127" s="3630"/>
      <c r="BU127" s="3630"/>
      <c r="BV127" s="3630"/>
      <c r="BW127" s="3630"/>
      <c r="BX127" s="3630"/>
      <c r="BY127" s="3630"/>
      <c r="BZ127" s="3630"/>
      <c r="CA127" s="3630"/>
      <c r="CB127" s="3629"/>
    </row>
    <row r="128" spans="18:80" ht="15" thickBot="1">
      <c r="V128" s="3480"/>
      <c r="W128" s="3480"/>
      <c r="X128" s="3480"/>
      <c r="Y128" s="3480"/>
      <c r="Z128" s="3480"/>
      <c r="AC128" s="3464"/>
      <c r="AG128" s="3512"/>
      <c r="AH128" s="3400" t="s">
        <v>2148</v>
      </c>
      <c r="AI128" s="3578" t="s">
        <v>2149</v>
      </c>
      <c r="AO128" s="3576"/>
      <c r="AP128" s="3577"/>
      <c r="AR128" s="3576"/>
      <c r="AS128" s="3577"/>
      <c r="BC128" s="3619"/>
      <c r="BD128" s="3613" t="s">
        <v>24</v>
      </c>
      <c r="BE128" s="3628">
        <f t="shared" ref="BE128:CB128" si="91">BE126+BE117</f>
        <v>42061.539262785293</v>
      </c>
      <c r="BF128" s="3628">
        <f t="shared" si="91"/>
        <v>36874.506936685444</v>
      </c>
      <c r="BG128" s="3628">
        <f t="shared" si="91"/>
        <v>28552.436378831786</v>
      </c>
      <c r="BH128" s="3628">
        <f t="shared" si="91"/>
        <v>18931.674434766617</v>
      </c>
      <c r="BI128" s="3628">
        <f t="shared" si="91"/>
        <v>11143.271851269687</v>
      </c>
      <c r="BJ128" s="3628">
        <f t="shared" si="91"/>
        <v>9010.4844103419764</v>
      </c>
      <c r="BK128" s="3628">
        <f t="shared" si="91"/>
        <v>7736.3415169408227</v>
      </c>
      <c r="BL128" s="3628">
        <f t="shared" si="91"/>
        <v>7332.3951478400822</v>
      </c>
      <c r="BM128" s="3628">
        <f t="shared" si="91"/>
        <v>8717.6945847842417</v>
      </c>
      <c r="BN128" s="3628">
        <f t="shared" si="91"/>
        <v>16642.571254035884</v>
      </c>
      <c r="BO128" s="3628">
        <f t="shared" si="91"/>
        <v>29994.58188134068</v>
      </c>
      <c r="BP128" s="3628">
        <f t="shared" si="91"/>
        <v>42359.80896891329</v>
      </c>
      <c r="BQ128" s="3628">
        <f t="shared" si="91"/>
        <v>40658.442903617921</v>
      </c>
      <c r="BR128" s="3628">
        <f t="shared" si="91"/>
        <v>35534.977314716612</v>
      </c>
      <c r="BS128" s="3628">
        <f t="shared" si="91"/>
        <v>27878.382032504953</v>
      </c>
      <c r="BT128" s="3628">
        <f t="shared" si="91"/>
        <v>18235.115367907238</v>
      </c>
      <c r="BU128" s="3628">
        <f t="shared" si="91"/>
        <v>10960.810923659459</v>
      </c>
      <c r="BV128" s="3628">
        <f t="shared" si="91"/>
        <v>8728.9664261724301</v>
      </c>
      <c r="BW128" s="3628">
        <f t="shared" si="91"/>
        <v>7500.5988665481682</v>
      </c>
      <c r="BX128" s="3628">
        <f t="shared" si="91"/>
        <v>7203.8243322429653</v>
      </c>
      <c r="BY128" s="3628">
        <f t="shared" si="91"/>
        <v>8542.3374015360496</v>
      </c>
      <c r="BZ128" s="3628">
        <f t="shared" si="91"/>
        <v>15943.850313253079</v>
      </c>
      <c r="CA128" s="3628">
        <f t="shared" si="91"/>
        <v>29474.622580685176</v>
      </c>
      <c r="CB128" s="3627">
        <f t="shared" si="91"/>
        <v>40957.467104577678</v>
      </c>
    </row>
    <row r="129" spans="19:80" ht="15.5" thickTop="1" thickBot="1">
      <c r="AB129" s="3464"/>
      <c r="AC129" s="3464"/>
      <c r="AG129" s="3512" t="s">
        <v>3089</v>
      </c>
      <c r="AH129" s="3400">
        <v>0.64400000000000002</v>
      </c>
      <c r="AI129" s="3578">
        <v>0</v>
      </c>
      <c r="AO129" s="3579">
        <f>AN123+(AP123/2)</f>
        <v>916810.8159038811</v>
      </c>
      <c r="AP129" s="3533">
        <f>AO123+(AQ123/2)</f>
        <v>278706.76730055112</v>
      </c>
      <c r="AR129" s="3579">
        <f>(AP123+AR123)/2</f>
        <v>830332.4879019158</v>
      </c>
      <c r="AS129" s="3533">
        <f>(AQ123+AS123)/2</f>
        <v>200878.8303093561</v>
      </c>
      <c r="BC129" s="3619"/>
      <c r="CB129" s="3618"/>
    </row>
    <row r="130" spans="19:80">
      <c r="S130" s="3400"/>
      <c r="AB130" s="3580"/>
      <c r="AC130" s="3580"/>
      <c r="AD130" s="3536"/>
      <c r="AE130" s="3581"/>
      <c r="AG130" s="3512" t="s">
        <v>3151</v>
      </c>
      <c r="AH130" s="3400">
        <v>0.66942999999999997</v>
      </c>
      <c r="AI130" s="3578">
        <v>0</v>
      </c>
      <c r="BC130" s="3619"/>
      <c r="BD130" s="3625" t="s">
        <v>3374</v>
      </c>
      <c r="CB130" s="3618"/>
    </row>
    <row r="131" spans="19:80">
      <c r="S131" s="3400"/>
      <c r="U131" s="2128"/>
      <c r="V131" s="2128"/>
      <c r="W131" s="2128"/>
      <c r="AG131" s="3512" t="s">
        <v>839</v>
      </c>
      <c r="AH131" s="3582">
        <v>0.46935076159999994</v>
      </c>
      <c r="AI131" s="3583">
        <f>0.20708*0.71746</f>
        <v>0.1485716168</v>
      </c>
      <c r="AP131" s="3534" t="s">
        <v>3153</v>
      </c>
      <c r="AS131" s="3535" t="s">
        <v>3154</v>
      </c>
      <c r="AT131" s="3534" t="s">
        <v>3369</v>
      </c>
      <c r="BC131" s="3619"/>
      <c r="BD131" s="3625" t="str">
        <f>BD113</f>
        <v>WA101</v>
      </c>
      <c r="CB131" s="3618"/>
    </row>
    <row r="132" spans="19:80" ht="43.5">
      <c r="S132" s="3400"/>
      <c r="U132" s="2128"/>
      <c r="V132" s="2128"/>
      <c r="W132" s="2128"/>
      <c r="AG132" s="3512" t="s">
        <v>2716</v>
      </c>
      <c r="AH132" s="3582">
        <v>0.51642507920000003</v>
      </c>
      <c r="AI132" s="3583">
        <v>0.1639826576</v>
      </c>
      <c r="AP132" s="3536">
        <f>AO129+AP129</f>
        <v>1195517.5832044322</v>
      </c>
      <c r="AS132" s="3536">
        <f>AR129+AS129</f>
        <v>1031211.3182112719</v>
      </c>
      <c r="AT132" s="3536">
        <f>AP132+AS132</f>
        <v>2226728.9014157038</v>
      </c>
      <c r="BC132" s="3619"/>
      <c r="BD132" s="3624" t="s">
        <v>1046</v>
      </c>
      <c r="BE132" s="3626" t="s">
        <v>3375</v>
      </c>
      <c r="BF132" s="3626" t="s">
        <v>3376</v>
      </c>
      <c r="BG132" s="3626" t="s">
        <v>3377</v>
      </c>
      <c r="CB132" s="3618"/>
    </row>
    <row r="133" spans="19:80">
      <c r="U133" s="2128"/>
      <c r="V133" s="2128"/>
      <c r="W133" s="2128"/>
      <c r="AG133" s="3512" t="s">
        <v>3322</v>
      </c>
      <c r="AH133" s="2820">
        <v>0.77144000000000001</v>
      </c>
      <c r="AI133" s="3584">
        <v>0.22856000000000001</v>
      </c>
      <c r="AN133" s="3585"/>
      <c r="AP133" s="3536"/>
      <c r="AS133" s="3536"/>
      <c r="AT133" s="3536"/>
      <c r="BC133" s="3619"/>
      <c r="BD133" s="3614" t="s">
        <v>3378</v>
      </c>
      <c r="BE133" s="3622">
        <f>SUM(BE117:BP117)</f>
        <v>259357.30662853579</v>
      </c>
      <c r="BF133" s="3620">
        <f>AVERAGE(BE39:BP39)</f>
        <v>472.66666666665697</v>
      </c>
      <c r="BG133" s="3620">
        <f>BE133/BF133</f>
        <v>548.71080386856374</v>
      </c>
      <c r="CB133" s="3618"/>
    </row>
    <row r="134" spans="19:80" ht="18.5">
      <c r="T134" s="3586"/>
      <c r="X134" s="3587"/>
      <c r="Y134" s="3588"/>
      <c r="Z134" s="3588"/>
      <c r="AG134" s="3512" t="s">
        <v>3162</v>
      </c>
      <c r="AH134" s="3400">
        <v>1</v>
      </c>
      <c r="AI134" s="3575">
        <v>0</v>
      </c>
      <c r="AO134" s="3589" t="s">
        <v>3142</v>
      </c>
      <c r="AP134" s="3589" t="s">
        <v>3143</v>
      </c>
      <c r="AQ134" s="3589"/>
      <c r="AR134" s="3589" t="s">
        <v>3144</v>
      </c>
      <c r="AS134" s="3589" t="s">
        <v>3145</v>
      </c>
      <c r="BC134" s="3619"/>
      <c r="BD134" s="3614" t="s">
        <v>3379</v>
      </c>
      <c r="BE134" s="3622">
        <f>SUM(BQ117:CB117)</f>
        <v>251619.39556742174</v>
      </c>
      <c r="BF134" s="3620">
        <f>AVERAGE(BQ39:CB39)</f>
        <v>459.66666666665697</v>
      </c>
      <c r="BG134" s="3620">
        <f>BE134/BF134</f>
        <v>547.3953493127492</v>
      </c>
      <c r="CB134" s="3618"/>
    </row>
    <row r="135" spans="19:80">
      <c r="W135" s="3590"/>
      <c r="X135" s="3591"/>
      <c r="Y135" s="3591"/>
      <c r="Z135" s="3591"/>
      <c r="AG135" s="3512" t="s">
        <v>3370</v>
      </c>
      <c r="AH135" s="3400">
        <v>0</v>
      </c>
      <c r="AI135" s="3575">
        <v>1</v>
      </c>
      <c r="AM135" s="3478"/>
      <c r="AN135" s="3590" t="s">
        <v>3371</v>
      </c>
      <c r="AO135" s="3472">
        <f>+SUMIF($AM$6:$AM$122,AG129,AN6:AN122)+(SUMIF($AM$6:$AM$122,AG129,AP6:AP122)/2)</f>
        <v>141319.12008415372</v>
      </c>
      <c r="AP135" s="3472">
        <f>+SUMIF($AM$6:$AM$122,AG129,AO6:AO122)+(SUMIF($AM$6:$AM$122,AG129,AQ6:AQ122)/2)</f>
        <v>0</v>
      </c>
      <c r="AQ135" s="3590"/>
      <c r="AR135" s="3472">
        <f>(SUMIF($AM$6:$AM$122,AG129,AR6:AR122)/2)</f>
        <v>108927.66579760262</v>
      </c>
      <c r="AS135" s="3472">
        <f>(SUMIF($AM$6:$AM$122,AG129,AS6:AS122)/2)</f>
        <v>0</v>
      </c>
      <c r="BC135" s="3619"/>
      <c r="BE135" s="3620">
        <f>SUM(BE133:BE134)-SUM(BE117:CB117)</f>
        <v>0</v>
      </c>
      <c r="BF135" s="3620"/>
      <c r="BG135" s="3620"/>
      <c r="CB135" s="3618"/>
    </row>
    <row r="136" spans="19:80">
      <c r="S136" s="2128"/>
      <c r="V136" s="3472"/>
      <c r="X136" s="3536"/>
      <c r="Y136" s="3536"/>
      <c r="Z136" s="3536"/>
      <c r="AA136" s="3536"/>
      <c r="AD136" s="3592"/>
      <c r="AG136" s="3512" t="s">
        <v>3209</v>
      </c>
      <c r="AH136" s="3400">
        <v>0</v>
      </c>
      <c r="AI136" s="3575">
        <v>0.69035000000000002</v>
      </c>
      <c r="AM136" s="3478"/>
      <c r="AN136" s="3590" t="s">
        <v>3372</v>
      </c>
      <c r="AO136" s="3472">
        <f>SUMIF($AM$6:$AM$122,AG134,AN$6:AN$122)+SUMIF($AM$6:$AM$122,AG130,AN$6:AN$122)+(SUMIF($AM$6:$AM$122,AG134,AP$6:AP$122)/2)+(SUMIF($AM$6:$AM$122,AG130,AP$6:AP$122)/2)</f>
        <v>496210.40005456761</v>
      </c>
      <c r="AP136" s="3472">
        <f>SUMIF($AM$6:$AM$122,AG134,AO$6:AO$122)+SUMIF($AM$6:$AM$122,AG130,AO$6:AO$122)+(SUMIF($AM$6:$AM$122,AG134,AQ$6:AQ$122)/2)+(SUMIF($AM$6:$AM$122,AG130,AQ$6:AQ$122)/2)</f>
        <v>0</v>
      </c>
      <c r="AQ136" s="3590"/>
      <c r="AR136" s="3472">
        <f>+(SUMIF($AM$6:$AM$122,AG134,AR$6:AR$122)/2)+(SUMIF($AM$6:$AM$122,AG130,AR$6:AR$122)/2)</f>
        <v>241238.6011871798</v>
      </c>
      <c r="AS136" s="3472">
        <f>+(SUMIF($AM$6:$AM$122,AG134,AS$6:AS$122)/2)+(SUMIF($AM$6:$AM$122,AG130,AS$6:AS$122)/2)</f>
        <v>0</v>
      </c>
      <c r="AX136" s="2128"/>
      <c r="BC136" s="3619"/>
      <c r="BD136" s="3625" t="str">
        <f>BD119</f>
        <v>WA111</v>
      </c>
      <c r="BE136" s="3620"/>
      <c r="BF136" s="3620"/>
      <c r="BG136" s="3620"/>
      <c r="CB136" s="3618"/>
    </row>
    <row r="137" spans="19:80" ht="43.5">
      <c r="S137" s="2128"/>
      <c r="T137" s="3593"/>
      <c r="U137" s="3590"/>
      <c r="V137" s="3472"/>
      <c r="X137" s="3536"/>
      <c r="Y137" s="3536"/>
      <c r="Z137" s="3536"/>
      <c r="AA137" s="3536"/>
      <c r="AD137" s="3592"/>
      <c r="AG137" s="3594" t="s">
        <v>3108</v>
      </c>
      <c r="AH137" s="3595">
        <v>0</v>
      </c>
      <c r="AI137" s="3596">
        <v>0</v>
      </c>
      <c r="AN137" s="3590" t="s">
        <v>3373</v>
      </c>
      <c r="AO137" s="3472">
        <f>SUMIF($AM$6:$AM$122,AG135,AN$6:AN$122)+SUMIF($AM$6:$AM$122,AG136,AN$6:AN$122)+(SUMIF($AM$6:$AM$122,AG135,AP$6:AP$122)/2)+(SUMIF($AM$6:$AM$122,AG136,AP$6:AP$122)/2)</f>
        <v>0</v>
      </c>
      <c r="AP137" s="3472">
        <f>SUMIF($AM$6:$AM$122,AG135,AO$6:AO$122)+SUMIF($AM$6:$AM$122,AG136,AO$6:AO$122)+(SUMIF($AM$6:$AM$122,AG135,AQ$6:AQ$122)/2)+(SUMIF($AM$6:$AM$122,AG136,AQ$6:AQ$122)/2)</f>
        <v>190311.74223066663</v>
      </c>
      <c r="AQ137" s="3590"/>
      <c r="AR137" s="3472">
        <f>(SUMIF($AM$6:$AM$122,AG135,AR$6:AR$122)/2)+(SUMIF($AM$6:$AM$122,AG136,AR$6:AR$122)/2)</f>
        <v>0</v>
      </c>
      <c r="AS137" s="3472">
        <f>(SUMIF($AM$6:$AM$122,AG135,AS$6:AS$122)/2)+(SUMIF($AM$6:$AM$122,AG136,AS$6:AS$122)/2)</f>
        <v>70044.168103423348</v>
      </c>
      <c r="AX137" s="2128"/>
      <c r="BC137" s="3619"/>
      <c r="BD137" s="3624" t="s">
        <v>1046</v>
      </c>
      <c r="BE137" s="3623" t="s">
        <v>3375</v>
      </c>
      <c r="BF137" s="3623" t="s">
        <v>3381</v>
      </c>
      <c r="BG137" s="3623" t="s">
        <v>3377</v>
      </c>
      <c r="CB137" s="3618"/>
    </row>
    <row r="138" spans="19:80">
      <c r="S138" s="2128"/>
      <c r="V138" s="3597"/>
      <c r="W138" s="3598"/>
      <c r="X138" s="3598"/>
      <c r="Y138" s="3597"/>
      <c r="Z138" s="3597"/>
      <c r="AN138" s="3590" t="s">
        <v>1712</v>
      </c>
      <c r="AO138" s="3599">
        <f>AO129-AO135-AO136-AO137</f>
        <v>279281.29576515977</v>
      </c>
      <c r="AP138" s="3599">
        <f>AP129-AP137</f>
        <v>88395.02506988449</v>
      </c>
      <c r="AQ138" s="3590"/>
      <c r="AR138" s="3599">
        <f>AR129-AR135-AR136-AR137</f>
        <v>480166.22091713338</v>
      </c>
      <c r="AS138" s="3599">
        <f>AS129-AS135-AS136-AS137</f>
        <v>130834.66220593275</v>
      </c>
      <c r="AX138" s="2128"/>
      <c r="BC138" s="3619"/>
      <c r="BD138" s="3614" t="str">
        <f>BD133</f>
        <v>12 ME 12.2025</v>
      </c>
      <c r="BE138" s="3622">
        <f>SUM(BE126:BP126)</f>
        <v>0</v>
      </c>
      <c r="BF138" s="3620">
        <f>AVERAGE(BE40:BP40)</f>
        <v>0</v>
      </c>
      <c r="BG138" s="3620" t="e">
        <f>BE138/BF138</f>
        <v>#DIV/0!</v>
      </c>
      <c r="CB138" s="3618"/>
    </row>
    <row r="139" spans="19:80">
      <c r="S139" s="2128"/>
      <c r="V139" s="3597"/>
      <c r="W139" s="3597"/>
      <c r="X139" s="3600"/>
      <c r="Y139" s="3601"/>
      <c r="Z139" s="3601"/>
      <c r="AA139" s="3464"/>
      <c r="AO139" s="3472">
        <f>SUM(AO135:AO138)</f>
        <v>916810.8159038811</v>
      </c>
      <c r="AP139" s="3472">
        <f>SUM(AP135:AP138)</f>
        <v>278706.76730055112</v>
      </c>
      <c r="AR139" s="3472">
        <f>SUM(AR135:AR138)</f>
        <v>830332.4879019158</v>
      </c>
      <c r="AS139" s="3472">
        <f>SUM(AS135:AS138)</f>
        <v>200878.8303093561</v>
      </c>
      <c r="AX139" s="2128"/>
      <c r="BC139" s="3619"/>
      <c r="BD139" s="3614" t="str">
        <f>BD134</f>
        <v>12 ME 12.2026</v>
      </c>
      <c r="BE139" s="3622">
        <f>SUM(BQ126:CB126)</f>
        <v>0</v>
      </c>
      <c r="BF139" s="3620">
        <f>AVERAGE(BQ40:CB40)</f>
        <v>0</v>
      </c>
      <c r="BG139" s="3620" t="e">
        <f>BE139/BF139</f>
        <v>#DIV/0!</v>
      </c>
      <c r="CB139" s="3618"/>
    </row>
    <row r="140" spans="19:80">
      <c r="S140" s="2128"/>
      <c r="V140" s="3597"/>
      <c r="W140" s="3602"/>
      <c r="X140" s="3603"/>
      <c r="Y140" s="3603"/>
      <c r="Z140" s="3603"/>
      <c r="AO140" s="3472"/>
      <c r="AX140" s="2128"/>
      <c r="BC140" s="3619"/>
      <c r="BE140" s="3620">
        <f>SUM(BE138:BE139)-SUM(BE126:CB126)</f>
        <v>0</v>
      </c>
      <c r="BF140" s="3620"/>
      <c r="BG140" s="3620"/>
      <c r="CB140" s="3618"/>
    </row>
    <row r="141" spans="19:80">
      <c r="S141" s="2128"/>
      <c r="V141" s="3598"/>
      <c r="W141" s="3597"/>
      <c r="X141" s="3604"/>
      <c r="Y141" s="3604"/>
      <c r="Z141" s="3605"/>
      <c r="AA141" s="3606"/>
      <c r="AB141" s="3472"/>
      <c r="AC141" s="3472"/>
      <c r="AO141" s="3607"/>
      <c r="AP141" s="3607"/>
      <c r="AQ141" s="3406"/>
      <c r="AR141" s="3608"/>
      <c r="AS141" s="3607"/>
      <c r="AX141" s="2128"/>
      <c r="BC141" s="3619"/>
      <c r="BD141" s="3625" t="s">
        <v>3380</v>
      </c>
      <c r="BE141" s="3620"/>
      <c r="BF141" s="3620"/>
      <c r="BG141" s="3620"/>
      <c r="BI141" s="3759" t="s">
        <v>3439</v>
      </c>
      <c r="BJ141" s="3760"/>
      <c r="BK141" s="3760"/>
      <c r="BM141" s="3759" t="s">
        <v>3440</v>
      </c>
      <c r="BN141" s="3760"/>
      <c r="BO141" s="3760"/>
      <c r="CB141" s="3618"/>
    </row>
    <row r="142" spans="19:80" ht="43.5">
      <c r="S142" s="2128"/>
      <c r="V142" s="3598"/>
      <c r="W142" s="3597"/>
      <c r="X142" s="3604"/>
      <c r="Y142" s="3604"/>
      <c r="Z142" s="3605"/>
      <c r="AA142" s="3472"/>
      <c r="AB142" s="3472"/>
      <c r="AC142" s="3472"/>
      <c r="AO142" s="3406"/>
      <c r="AP142" s="3406"/>
      <c r="AQ142" s="3406"/>
      <c r="AR142" s="3609"/>
      <c r="AS142" s="3406"/>
      <c r="AX142" s="2128"/>
      <c r="BC142" s="3619"/>
      <c r="BD142" s="3624" t="s">
        <v>1046</v>
      </c>
      <c r="BE142" s="3623" t="s">
        <v>3375</v>
      </c>
      <c r="BF142" s="3620"/>
      <c r="BG142" s="3620"/>
      <c r="BI142" s="3761" t="s">
        <v>1046</v>
      </c>
      <c r="BJ142" s="3762" t="s">
        <v>3375</v>
      </c>
      <c r="BK142" s="3760"/>
      <c r="BM142" s="3761" t="s">
        <v>1046</v>
      </c>
      <c r="BN142" s="3762" t="s">
        <v>3375</v>
      </c>
      <c r="BO142" s="3760"/>
      <c r="CB142" s="3618"/>
    </row>
    <row r="143" spans="19:80">
      <c r="S143" s="2128"/>
      <c r="V143" s="3598"/>
      <c r="W143" s="3597"/>
      <c r="X143" s="3604"/>
      <c r="Y143" s="3604"/>
      <c r="Z143" s="3605"/>
      <c r="AA143" s="3472"/>
      <c r="AB143" s="3472"/>
      <c r="AC143" s="3472"/>
      <c r="AO143" s="3406"/>
      <c r="AP143" s="3406"/>
      <c r="AQ143" s="3406"/>
      <c r="AR143" s="3609"/>
      <c r="AS143" s="3406"/>
      <c r="AX143" s="2128"/>
      <c r="BC143" s="3619"/>
      <c r="BD143" s="3614" t="str">
        <f>BD133</f>
        <v>12 ME 12.2025</v>
      </c>
      <c r="BE143" s="3622">
        <f>BE133+BE138</f>
        <v>259357.30662853579</v>
      </c>
      <c r="BF143" s="3621" t="s">
        <v>2505</v>
      </c>
      <c r="BG143" s="3620"/>
      <c r="BI143" s="3763" t="s">
        <v>3378</v>
      </c>
      <c r="BJ143" s="3764">
        <v>344457.50115151441</v>
      </c>
      <c r="BK143" s="3765" t="s">
        <v>2505</v>
      </c>
      <c r="BM143" s="3763" t="s">
        <v>3378</v>
      </c>
      <c r="BN143" s="3764">
        <f>BE143-BJ143</f>
        <v>-85100.194522978622</v>
      </c>
      <c r="BO143" s="3765" t="s">
        <v>2505</v>
      </c>
      <c r="CB143" s="3618"/>
    </row>
    <row r="144" spans="19:80">
      <c r="S144" s="2128"/>
      <c r="V144" s="3598"/>
      <c r="W144" s="3597"/>
      <c r="X144" s="3604"/>
      <c r="Y144" s="3604"/>
      <c r="Z144" s="3605"/>
      <c r="AA144" s="3472"/>
      <c r="AB144" s="3472"/>
      <c r="AC144" s="3472"/>
      <c r="AO144" s="3610"/>
      <c r="AP144" s="3607"/>
      <c r="AQ144" s="3406"/>
      <c r="AR144" s="3607"/>
      <c r="AS144" s="3607"/>
      <c r="AX144" s="2128"/>
      <c r="BC144" s="3619"/>
      <c r="BD144" s="3614" t="str">
        <f>BD134</f>
        <v>12 ME 12.2026</v>
      </c>
      <c r="BE144" s="3622">
        <f>BE134+BE139</f>
        <v>251619.39556742174</v>
      </c>
      <c r="BF144" s="3621">
        <f>BE144-BE143</f>
        <v>-7737.9110611140495</v>
      </c>
      <c r="BG144" s="3620"/>
      <c r="BI144" s="3763" t="s">
        <v>3379</v>
      </c>
      <c r="BJ144" s="3764">
        <v>383185.35619144031</v>
      </c>
      <c r="BK144" s="3765">
        <v>38727.855039925897</v>
      </c>
      <c r="BM144" s="3763" t="s">
        <v>3379</v>
      </c>
      <c r="BN144" s="3764">
        <f>BE144-BJ144</f>
        <v>-131565.96062401857</v>
      </c>
      <c r="BO144" s="3764">
        <f>BF144-BK144</f>
        <v>-46465.766101039946</v>
      </c>
      <c r="CB144" s="3618"/>
    </row>
    <row r="145" spans="19:80" ht="18.5">
      <c r="S145" s="2128"/>
      <c r="T145" s="3586"/>
      <c r="U145" s="2128"/>
      <c r="V145" s="3597"/>
      <c r="W145" s="3597"/>
      <c r="X145" s="3597"/>
      <c r="Y145" s="3597"/>
      <c r="Z145" s="3597"/>
      <c r="AO145" s="3607"/>
      <c r="AP145" s="3607"/>
      <c r="AQ145" s="3406"/>
      <c r="AR145" s="3607"/>
      <c r="AS145" s="3607"/>
      <c r="AX145" s="2128"/>
      <c r="BC145" s="3619"/>
      <c r="CB145" s="3618"/>
    </row>
    <row r="146" spans="19:80" ht="15" thickBot="1">
      <c r="S146" s="2128"/>
      <c r="T146" s="2128"/>
      <c r="AX146" s="2128"/>
      <c r="BC146" s="3617"/>
      <c r="BD146" s="3616"/>
      <c r="BE146" s="3616"/>
      <c r="BF146" s="3616"/>
      <c r="BG146" s="3616"/>
      <c r="BH146" s="3616"/>
      <c r="BI146" s="3616"/>
      <c r="BJ146" s="3616"/>
      <c r="BK146" s="3616"/>
      <c r="BL146" s="3616"/>
      <c r="BM146" s="3616"/>
      <c r="BN146" s="3616"/>
      <c r="BO146" s="3616"/>
      <c r="BP146" s="3616"/>
      <c r="BQ146" s="3616"/>
      <c r="BR146" s="3616"/>
      <c r="BS146" s="3616"/>
      <c r="BT146" s="3616"/>
      <c r="BU146" s="3616"/>
      <c r="BV146" s="3616"/>
      <c r="BW146" s="3616"/>
      <c r="BX146" s="3616"/>
      <c r="BY146" s="3616"/>
      <c r="BZ146" s="3616"/>
      <c r="CA146" s="3616"/>
      <c r="CB146" s="3615"/>
    </row>
    <row r="147" spans="19:80">
      <c r="S147" s="2128"/>
      <c r="T147" s="2128"/>
      <c r="U147" s="2128"/>
      <c r="V147" s="3590"/>
      <c r="W147" s="3590"/>
      <c r="Y147" s="3611"/>
      <c r="Z147" s="3611"/>
      <c r="AA147" s="3611"/>
      <c r="AX147" s="2128"/>
    </row>
    <row r="148" spans="19:80">
      <c r="S148" s="2128"/>
      <c r="T148" s="2128"/>
      <c r="U148" s="2128"/>
      <c r="V148" s="3590"/>
      <c r="W148" s="3590"/>
      <c r="Y148" s="3587"/>
      <c r="Z148" s="3587"/>
      <c r="AA148" s="3612"/>
      <c r="AO148" s="3406">
        <v>916810.8159038811</v>
      </c>
      <c r="AP148" s="3406">
        <v>278706.76730055112</v>
      </c>
      <c r="AQ148" s="3406"/>
      <c r="AR148" s="3406">
        <v>830332.4879019158</v>
      </c>
      <c r="AS148" s="3406">
        <v>200878.8303093561</v>
      </c>
      <c r="AX148" s="2128"/>
    </row>
    <row r="149" spans="19:80">
      <c r="S149" s="2128"/>
      <c r="T149" s="2128"/>
      <c r="U149" s="2128"/>
      <c r="V149" s="3472"/>
      <c r="W149" s="3472"/>
      <c r="Y149" s="3536"/>
      <c r="Z149" s="3536"/>
      <c r="AA149" s="3536"/>
      <c r="AB149" s="3536"/>
      <c r="AC149" s="3536"/>
      <c r="AX149" s="2128"/>
    </row>
    <row r="150" spans="19:80">
      <c r="S150" s="2128"/>
      <c r="T150" s="2128"/>
      <c r="U150" s="2128"/>
      <c r="V150" s="3472"/>
      <c r="W150" s="3472"/>
      <c r="Y150" s="3536"/>
      <c r="Z150" s="3536"/>
      <c r="AA150" s="3536"/>
      <c r="AB150" s="3536"/>
      <c r="AC150" s="3536"/>
      <c r="AX150" s="2128"/>
    </row>
    <row r="151" spans="19:80">
      <c r="S151" s="2128"/>
      <c r="T151" s="2128"/>
      <c r="U151" s="2128"/>
      <c r="X151" s="3472"/>
      <c r="Y151" s="3472"/>
      <c r="Z151" s="3472"/>
      <c r="AX151" s="2128"/>
    </row>
    <row r="152" spans="19:80">
      <c r="S152" s="2128"/>
      <c r="T152" s="2128"/>
      <c r="U152" s="2128"/>
      <c r="AX152" s="2128"/>
    </row>
    <row r="153" spans="19:80">
      <c r="S153" s="2128"/>
      <c r="T153" s="2128"/>
      <c r="U153" s="2128"/>
      <c r="AX153" s="2128"/>
    </row>
    <row r="154" spans="19:80">
      <c r="S154" s="2128"/>
      <c r="AX154" s="2128"/>
    </row>
    <row r="155" spans="19:80">
      <c r="S155" s="2128"/>
      <c r="AX155" s="2128"/>
    </row>
  </sheetData>
  <mergeCells count="35">
    <mergeCell ref="A2:A3"/>
    <mergeCell ref="U3:W3"/>
    <mergeCell ref="X3:Z3"/>
    <mergeCell ref="AA3:AC3"/>
    <mergeCell ref="L4:M4"/>
    <mergeCell ref="N4:O4"/>
    <mergeCell ref="AD3:AE3"/>
    <mergeCell ref="AN4:AS4"/>
    <mergeCell ref="AT4:AW4"/>
    <mergeCell ref="S1:T1"/>
    <mergeCell ref="AF3:AG3"/>
    <mergeCell ref="AH3:AI3"/>
    <mergeCell ref="AN3:AS3"/>
    <mergeCell ref="AT3:AW3"/>
    <mergeCell ref="A5:B5"/>
    <mergeCell ref="D7:I7"/>
    <mergeCell ref="A12:J12"/>
    <mergeCell ref="A13:F13"/>
    <mergeCell ref="G13:J13"/>
    <mergeCell ref="D8:D9"/>
    <mergeCell ref="E8:E9"/>
    <mergeCell ref="F8:F9"/>
    <mergeCell ref="D4:D5"/>
    <mergeCell ref="E4:E5"/>
    <mergeCell ref="F4:F5"/>
    <mergeCell ref="G4:I4"/>
    <mergeCell ref="J4:K4"/>
    <mergeCell ref="X66:Z66"/>
    <mergeCell ref="S124:W124"/>
    <mergeCell ref="A25:C25"/>
    <mergeCell ref="D25:E25"/>
    <mergeCell ref="F25:G25"/>
    <mergeCell ref="A26:C26"/>
    <mergeCell ref="D26:E26"/>
    <mergeCell ref="F26:G26"/>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D6B2-C58C-476F-873B-189E058F2177}">
  <sheetPr>
    <tabColor rgb="FFFFC000"/>
  </sheetPr>
  <dimension ref="A1:H20"/>
  <sheetViews>
    <sheetView workbookViewId="0"/>
  </sheetViews>
  <sheetFormatPr defaultRowHeight="12.5"/>
  <cols>
    <col min="1" max="1" width="16.26953125" bestFit="1" customWidth="1"/>
    <col min="2" max="2" width="14.1796875" bestFit="1" customWidth="1"/>
    <col min="3" max="3" width="14.26953125" bestFit="1" customWidth="1"/>
    <col min="4" max="5" width="13.1796875" bestFit="1" customWidth="1"/>
    <col min="6" max="7" width="14.26953125" bestFit="1" customWidth="1"/>
    <col min="8" max="8" width="8.54296875" customWidth="1"/>
  </cols>
  <sheetData>
    <row r="1" spans="1:8">
      <c r="A1" s="1557" t="s">
        <v>679</v>
      </c>
      <c r="B1" s="1557" t="s">
        <v>2276</v>
      </c>
      <c r="C1" s="477"/>
      <c r="D1" s="477"/>
      <c r="E1" s="477"/>
      <c r="F1" s="477"/>
      <c r="G1" s="477"/>
      <c r="H1" s="477"/>
    </row>
    <row r="2" spans="1:8">
      <c r="A2" s="477"/>
      <c r="B2" s="477"/>
      <c r="C2" s="477"/>
      <c r="D2" s="477"/>
      <c r="E2" s="477"/>
      <c r="F2" s="477"/>
      <c r="G2" s="477"/>
      <c r="H2" s="477"/>
    </row>
    <row r="3" spans="1:8">
      <c r="A3" s="1405"/>
      <c r="B3" s="1405" t="s">
        <v>1252</v>
      </c>
      <c r="C3" s="1405"/>
      <c r="D3" s="1405"/>
      <c r="E3" s="1405"/>
      <c r="F3" s="1405"/>
      <c r="G3" s="1405"/>
      <c r="H3" s="477"/>
    </row>
    <row r="4" spans="1:8" ht="37.5">
      <c r="A4" s="1405"/>
      <c r="B4" s="3830" t="s">
        <v>3463</v>
      </c>
      <c r="C4" s="3830"/>
      <c r="D4" s="3830" t="s">
        <v>3464</v>
      </c>
      <c r="E4" s="3830"/>
      <c r="F4" s="3830" t="s">
        <v>3465</v>
      </c>
      <c r="G4" s="3830" t="s">
        <v>3466</v>
      </c>
      <c r="H4" s="477"/>
    </row>
    <row r="5" spans="1:8">
      <c r="A5" s="1408" t="s">
        <v>1170</v>
      </c>
      <c r="B5" s="1408" t="s">
        <v>123</v>
      </c>
      <c r="C5" s="1408" t="s">
        <v>2403</v>
      </c>
      <c r="D5" s="1408" t="s">
        <v>123</v>
      </c>
      <c r="E5" s="1408" t="s">
        <v>2403</v>
      </c>
      <c r="F5" s="3831"/>
      <c r="G5" s="3831"/>
      <c r="H5" s="477"/>
    </row>
    <row r="6" spans="1:8">
      <c r="A6" s="477" t="s">
        <v>3467</v>
      </c>
      <c r="B6" s="515">
        <v>0</v>
      </c>
      <c r="C6" s="515"/>
      <c r="D6" s="515">
        <v>0</v>
      </c>
      <c r="E6" s="515"/>
      <c r="F6" s="515">
        <v>0</v>
      </c>
      <c r="G6" s="515">
        <v>0</v>
      </c>
      <c r="H6" s="477"/>
    </row>
    <row r="7" spans="1:8">
      <c r="A7" s="477" t="s">
        <v>3468</v>
      </c>
      <c r="B7" s="515"/>
      <c r="C7" s="515">
        <v>0</v>
      </c>
      <c r="D7" s="515"/>
      <c r="E7" s="515">
        <v>0</v>
      </c>
      <c r="F7" s="515">
        <v>0</v>
      </c>
      <c r="G7" s="515">
        <v>0</v>
      </c>
      <c r="H7" s="477"/>
    </row>
    <row r="8" spans="1:8">
      <c r="A8" s="477" t="s">
        <v>1755</v>
      </c>
      <c r="B8" s="515">
        <v>56165.193223190872</v>
      </c>
      <c r="C8" s="515"/>
      <c r="D8" s="515">
        <v>17092.876685439944</v>
      </c>
      <c r="E8" s="515"/>
      <c r="F8" s="515">
        <v>56165.193223190872</v>
      </c>
      <c r="G8" s="515">
        <v>17092.876685439944</v>
      </c>
      <c r="H8" s="477"/>
    </row>
    <row r="9" spans="1:8">
      <c r="A9" s="477" t="s">
        <v>3469</v>
      </c>
      <c r="B9" s="515"/>
      <c r="C9" s="515">
        <v>77532.015919044454</v>
      </c>
      <c r="D9" s="515"/>
      <c r="E9" s="515">
        <v>23592.257553147159</v>
      </c>
      <c r="F9" s="515">
        <v>77532.015919044454</v>
      </c>
      <c r="G9" s="515">
        <v>23592.257553147159</v>
      </c>
      <c r="H9" s="477"/>
    </row>
    <row r="10" spans="1:8">
      <c r="A10" s="477" t="s">
        <v>3470</v>
      </c>
      <c r="B10" s="515"/>
      <c r="C10" s="515">
        <v>2010.7976144242562</v>
      </c>
      <c r="D10" s="515"/>
      <c r="E10" s="515">
        <v>593.90114387690392</v>
      </c>
      <c r="F10" s="515">
        <v>2010.7976144242562</v>
      </c>
      <c r="G10" s="515">
        <v>593.90114387690392</v>
      </c>
      <c r="H10" s="477"/>
    </row>
    <row r="11" spans="1:8">
      <c r="A11" s="477" t="s">
        <v>3471</v>
      </c>
      <c r="B11" s="515">
        <v>114.362952242112</v>
      </c>
      <c r="C11" s="515"/>
      <c r="D11" s="515">
        <v>33.777784331207997</v>
      </c>
      <c r="E11" s="515"/>
      <c r="F11" s="515">
        <v>114.362952242112</v>
      </c>
      <c r="G11" s="515">
        <v>33.777784331207997</v>
      </c>
      <c r="H11" s="477"/>
    </row>
    <row r="12" spans="1:8">
      <c r="A12" s="477" t="s">
        <v>1263</v>
      </c>
      <c r="B12" s="515">
        <v>24.507724499999998</v>
      </c>
      <c r="C12" s="515"/>
      <c r="D12" s="515">
        <v>7.0422754999999997</v>
      </c>
      <c r="E12" s="515"/>
      <c r="F12" s="515">
        <v>24.507724499999998</v>
      </c>
      <c r="G12" s="515">
        <v>7.0422754999999997</v>
      </c>
      <c r="H12" s="477"/>
    </row>
    <row r="13" spans="1:8">
      <c r="A13" s="477" t="s">
        <v>2728</v>
      </c>
      <c r="B13" s="515"/>
      <c r="C13" s="515">
        <v>246907.35577404371</v>
      </c>
      <c r="D13" s="515"/>
      <c r="E13" s="515">
        <v>72856.218811564497</v>
      </c>
      <c r="F13" s="515">
        <v>246907.35577404371</v>
      </c>
      <c r="G13" s="515">
        <v>72856.218811564497</v>
      </c>
      <c r="H13" s="477"/>
    </row>
    <row r="14" spans="1:8">
      <c r="A14" s="1476" t="s">
        <v>978</v>
      </c>
      <c r="B14" s="3834">
        <v>56304.063899932982</v>
      </c>
      <c r="C14" s="3834">
        <v>326450.16930751241</v>
      </c>
      <c r="D14" s="3834">
        <v>17133.696745271151</v>
      </c>
      <c r="E14" s="3834">
        <v>97042.377508588557</v>
      </c>
      <c r="F14" s="3834">
        <v>382754.23320744542</v>
      </c>
      <c r="G14" s="3834">
        <v>114176.07425385971</v>
      </c>
      <c r="H14" s="477"/>
    </row>
    <row r="15" spans="1:8">
      <c r="A15" s="477"/>
      <c r="B15" s="477"/>
      <c r="C15" s="477"/>
      <c r="D15" s="477"/>
      <c r="E15" s="477"/>
      <c r="F15" s="477"/>
      <c r="G15" s="477"/>
      <c r="H15" s="477"/>
    </row>
    <row r="16" spans="1:8">
      <c r="A16" s="477"/>
      <c r="B16" s="477"/>
      <c r="C16" s="477"/>
      <c r="D16" s="477" t="s">
        <v>3472</v>
      </c>
      <c r="E16" s="1131">
        <v>0.5</v>
      </c>
      <c r="F16" s="1069">
        <f>F14*E16</f>
        <v>191377.11660372271</v>
      </c>
      <c r="G16" s="1069">
        <f>G14*E16</f>
        <v>57088.037126929856</v>
      </c>
      <c r="H16" s="477"/>
    </row>
    <row r="17" spans="1:8">
      <c r="A17" s="477"/>
      <c r="B17" s="477"/>
      <c r="C17" s="477"/>
      <c r="D17" s="477" t="s">
        <v>19</v>
      </c>
      <c r="E17" s="477"/>
      <c r="F17" s="1069">
        <f>F16-F14</f>
        <v>-191377.11660372271</v>
      </c>
      <c r="G17" s="1069">
        <f>G16-G14</f>
        <v>-57088.037126929856</v>
      </c>
      <c r="H17" s="477"/>
    </row>
    <row r="18" spans="1:8">
      <c r="A18" s="477"/>
      <c r="B18" s="477"/>
      <c r="C18" s="477"/>
      <c r="D18" s="477"/>
      <c r="E18" s="477"/>
      <c r="F18" s="1069"/>
      <c r="G18" s="1069"/>
      <c r="H18" s="477"/>
    </row>
    <row r="19" spans="1:8" ht="13" thickBot="1">
      <c r="A19" s="477"/>
      <c r="B19" s="477"/>
      <c r="C19" s="477"/>
      <c r="D19" s="477" t="s">
        <v>3473</v>
      </c>
      <c r="E19" s="1131">
        <v>0.9</v>
      </c>
      <c r="F19" s="1069">
        <f>F14*E19</f>
        <v>344478.80988670088</v>
      </c>
      <c r="G19" s="1069">
        <f>G14*E19</f>
        <v>102758.46682847374</v>
      </c>
      <c r="H19" s="477"/>
    </row>
    <row r="20" spans="1:8" ht="13" thickBot="1">
      <c r="A20" s="477"/>
      <c r="B20" s="477"/>
      <c r="C20" s="477"/>
      <c r="D20" s="477" t="s">
        <v>19</v>
      </c>
      <c r="E20" s="477"/>
      <c r="F20" s="3832">
        <f>F19-F14</f>
        <v>-38275.423320744536</v>
      </c>
      <c r="G20" s="3833">
        <f>G19-G14</f>
        <v>-11417.60742538597</v>
      </c>
      <c r="H20" s="477" t="s">
        <v>1712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3"/>
  <sheetViews>
    <sheetView workbookViewId="0">
      <selection sqref="A1:O1"/>
    </sheetView>
  </sheetViews>
  <sheetFormatPr defaultColWidth="11.453125" defaultRowHeight="13" outlineLevelRow="1"/>
  <cols>
    <col min="1" max="1" width="8.54296875" style="478" customWidth="1"/>
    <col min="2" max="2" width="33" style="478" customWidth="1"/>
    <col min="3" max="3" width="4.453125" style="478" customWidth="1"/>
    <col min="4" max="4" width="3.26953125" style="478" customWidth="1"/>
    <col min="5" max="5" width="12.453125" style="478" customWidth="1"/>
    <col min="6" max="6" width="11.453125" style="478" customWidth="1"/>
    <col min="7" max="7" width="4.453125" style="478" customWidth="1"/>
    <col min="8" max="9" width="11.453125" style="478" customWidth="1"/>
    <col min="10" max="10" width="4.7265625" style="478" customWidth="1"/>
    <col min="11" max="12" width="11.453125" style="478"/>
    <col min="13" max="13" width="4.453125" style="11" customWidth="1"/>
    <col min="14" max="15" width="11.453125" style="11"/>
    <col min="16" max="16" width="11.453125" style="250"/>
    <col min="17" max="17" width="5.7265625" style="60" bestFit="1" customWidth="1"/>
    <col min="18" max="18" width="8.26953125" style="250" customWidth="1"/>
    <col min="19" max="19" width="12.54296875" style="226" customWidth="1"/>
    <col min="20" max="20" width="11.453125" style="226"/>
    <col min="21" max="21" width="11.453125" style="395"/>
    <col min="22" max="28" width="11.453125" style="247"/>
    <col min="29" max="16384" width="11.453125" style="11"/>
  </cols>
  <sheetData>
    <row r="1" spans="1:28" ht="17.5">
      <c r="A1" s="4107" t="s">
        <v>434</v>
      </c>
      <c r="B1" s="4107"/>
      <c r="C1" s="4107"/>
      <c r="D1" s="4107"/>
      <c r="E1" s="4107"/>
      <c r="F1" s="4107"/>
      <c r="G1" s="4107"/>
      <c r="H1" s="4107"/>
      <c r="I1" s="4107"/>
      <c r="J1" s="4107"/>
      <c r="K1" s="4107"/>
      <c r="L1" s="4107"/>
      <c r="M1" s="4107"/>
      <c r="N1" s="4107"/>
      <c r="O1" s="4107"/>
      <c r="P1" s="208"/>
    </row>
    <row r="2" spans="1:28" ht="17.5">
      <c r="A2" s="4107" t="s">
        <v>111</v>
      </c>
      <c r="B2" s="4107"/>
      <c r="C2" s="4107"/>
      <c r="D2" s="4107"/>
      <c r="E2" s="4107"/>
      <c r="F2" s="4107"/>
      <c r="G2" s="4107"/>
      <c r="H2" s="4107"/>
      <c r="I2" s="4107"/>
      <c r="J2" s="4107"/>
      <c r="K2" s="4107"/>
      <c r="L2" s="4107"/>
      <c r="M2" s="4107"/>
      <c r="N2" s="4107"/>
      <c r="O2" s="4107"/>
      <c r="P2" s="208"/>
    </row>
    <row r="3" spans="1:28" ht="17.5">
      <c r="A3" s="4107" t="s">
        <v>162</v>
      </c>
      <c r="B3" s="4107"/>
      <c r="C3" s="4107"/>
      <c r="D3" s="4107"/>
      <c r="E3" s="4107"/>
      <c r="F3" s="4107"/>
      <c r="G3" s="4107"/>
      <c r="H3" s="4107"/>
      <c r="I3" s="4107"/>
      <c r="J3" s="4107"/>
      <c r="K3" s="4107"/>
      <c r="L3" s="4107"/>
      <c r="M3" s="4107"/>
      <c r="N3" s="4107"/>
      <c r="O3" s="4107"/>
      <c r="P3" s="208"/>
    </row>
    <row r="4" spans="1:28" s="18" customFormat="1" ht="17.5">
      <c r="A4" s="72"/>
      <c r="B4" s="72"/>
      <c r="C4" s="72"/>
      <c r="D4" s="72"/>
      <c r="E4" s="72"/>
      <c r="F4" s="72"/>
      <c r="G4" s="462"/>
      <c r="H4" s="562"/>
      <c r="I4" s="72"/>
      <c r="J4" s="72"/>
      <c r="K4" s="72"/>
      <c r="L4" s="72"/>
      <c r="M4" s="72"/>
      <c r="N4" s="71"/>
      <c r="O4" s="71"/>
      <c r="P4" s="231"/>
      <c r="Q4" s="59"/>
      <c r="R4" s="231"/>
      <c r="S4" s="231"/>
      <c r="T4" s="231"/>
      <c r="U4" s="396"/>
      <c r="V4" s="231"/>
      <c r="W4" s="231"/>
      <c r="X4" s="231"/>
      <c r="Y4" s="231"/>
      <c r="Z4" s="231"/>
      <c r="AA4" s="226"/>
      <c r="AB4" s="226"/>
    </row>
    <row r="5" spans="1:28" ht="14">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873" t="s">
        <v>156</v>
      </c>
      <c r="M7" s="3873"/>
      <c r="N7" s="3873"/>
      <c r="P7" s="231"/>
      <c r="Q7" s="59"/>
      <c r="R7" s="231"/>
      <c r="S7" s="231"/>
      <c r="T7" s="231"/>
      <c r="U7" s="396"/>
      <c r="V7" s="231"/>
      <c r="W7" s="231"/>
      <c r="X7" s="231"/>
      <c r="Y7" s="231"/>
      <c r="Z7" s="231"/>
      <c r="AA7" s="226"/>
      <c r="AB7" s="226"/>
    </row>
    <row r="8" spans="1:28" s="18" customFormat="1">
      <c r="A8" s="478"/>
      <c r="B8" s="478"/>
      <c r="C8" s="478"/>
      <c r="D8" s="478"/>
      <c r="E8" s="4108" t="s">
        <v>541</v>
      </c>
      <c r="F8" s="4108"/>
      <c r="G8" s="19"/>
      <c r="H8" s="4108"/>
      <c r="I8" s="4108"/>
      <c r="J8" s="478"/>
      <c r="K8" s="3873" t="s">
        <v>157</v>
      </c>
      <c r="L8" s="3873"/>
      <c r="N8" s="3873" t="s">
        <v>158</v>
      </c>
      <c r="O8" s="3873"/>
      <c r="P8" s="231"/>
      <c r="Q8" s="59"/>
      <c r="R8" s="231"/>
      <c r="S8" s="231"/>
      <c r="T8" s="231"/>
      <c r="U8" s="396"/>
      <c r="V8" s="231"/>
      <c r="W8" s="231"/>
      <c r="X8" s="231"/>
      <c r="Y8" s="231"/>
      <c r="Z8" s="231"/>
      <c r="AA8" s="226"/>
      <c r="AB8" s="226"/>
    </row>
    <row r="9" spans="1:28" s="18" customFormat="1">
      <c r="A9" s="462"/>
      <c r="B9" s="478"/>
      <c r="C9" s="478"/>
      <c r="D9" s="478"/>
      <c r="E9" s="3876" t="s">
        <v>68</v>
      </c>
      <c r="F9" s="3876"/>
      <c r="G9" s="20"/>
      <c r="H9" s="3876" t="s">
        <v>68</v>
      </c>
      <c r="I9" s="3876"/>
      <c r="J9" s="478"/>
      <c r="K9" s="3876" t="s">
        <v>68</v>
      </c>
      <c r="L9" s="3876"/>
      <c r="N9" s="12" t="s">
        <v>159</v>
      </c>
      <c r="O9" s="12" t="s">
        <v>18</v>
      </c>
      <c r="P9" s="231"/>
      <c r="Q9" s="59"/>
      <c r="R9" s="231"/>
      <c r="S9" s="231"/>
      <c r="T9" s="231"/>
      <c r="U9" s="398"/>
      <c r="V9" s="231"/>
      <c r="W9" s="231"/>
      <c r="X9" s="231"/>
      <c r="Y9" s="231"/>
      <c r="Z9" s="231"/>
      <c r="AA9" s="226"/>
      <c r="AB9" s="226"/>
    </row>
    <row r="10" spans="1:28">
      <c r="A10" s="561" t="s">
        <v>160</v>
      </c>
      <c r="B10" s="561" t="s">
        <v>70</v>
      </c>
      <c r="C10" s="559"/>
      <c r="D10" s="559"/>
      <c r="E10" s="561" t="s">
        <v>71</v>
      </c>
      <c r="F10" s="561" t="s">
        <v>18</v>
      </c>
      <c r="G10" s="560"/>
      <c r="H10" s="561" t="s">
        <v>71</v>
      </c>
      <c r="I10" s="561" t="s">
        <v>18</v>
      </c>
      <c r="K10" s="561" t="s">
        <v>71</v>
      </c>
      <c r="L10" s="561"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3.0493049999999999</v>
      </c>
      <c r="I12" s="249">
        <f>'ADJ DETAIL INPUT'!F$81</f>
        <v>565</v>
      </c>
      <c r="J12" s="462"/>
      <c r="K12" s="463">
        <f t="shared" ref="K12:K14" si="0">H12-E12</f>
        <v>4.2582329999999997</v>
      </c>
      <c r="L12" s="463">
        <f t="shared" ref="L12:L14" si="1">I12-F12</f>
        <v>789</v>
      </c>
      <c r="N12" s="68">
        <f t="shared" ref="N12:N14" si="2">K12/$N$10*-1</f>
        <v>-5.6576611408505153</v>
      </c>
      <c r="O12" s="68">
        <f t="shared" ref="O12:O14" si="3">L12*$O$10/$N$10</f>
        <v>79.775433170043414</v>
      </c>
      <c r="P12" s="235">
        <f t="shared" ref="P12:P14" si="4">N12+O12</f>
        <v>74.117772029192892</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36391.552048999998</v>
      </c>
      <c r="I16" s="22">
        <f>SUM(I11:I15)</f>
        <v>533346.39999999991</v>
      </c>
      <c r="J16" s="462"/>
      <c r="K16" s="22">
        <f>SUM(K11:K15)</f>
        <v>4.2582329999999997</v>
      </c>
      <c r="L16" s="22">
        <f>SUM(L11:L15)</f>
        <v>789</v>
      </c>
      <c r="N16" s="22">
        <f>SUM(N11:N15)</f>
        <v>-5.6576611408505153</v>
      </c>
      <c r="O16" s="22">
        <f>SUM(O11:O15)</f>
        <v>79.775433170043414</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328.64</v>
      </c>
      <c r="I29" s="221">
        <f>'ADJ DETAIL INPUT'!T$81</f>
        <v>0</v>
      </c>
      <c r="J29" s="482"/>
      <c r="K29" s="463">
        <f t="shared" si="5"/>
        <v>0.632000000000005</v>
      </c>
      <c r="L29" s="463">
        <f t="shared" si="6"/>
        <v>0</v>
      </c>
      <c r="M29" s="67"/>
      <c r="N29" s="68">
        <f t="shared" si="7"/>
        <v>-0.83970084328817951</v>
      </c>
      <c r="O29" s="68">
        <f t="shared" si="8"/>
        <v>0</v>
      </c>
      <c r="P29" s="235">
        <f t="shared" si="9"/>
        <v>-0.83970084328817951</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35400.394455000009</v>
      </c>
      <c r="I34" s="26">
        <f>SUM(I16:I33)</f>
        <v>545754.39999999991</v>
      </c>
      <c r="J34" s="462"/>
      <c r="K34" s="26">
        <f>SUM(K16:K33)</f>
        <v>4.8902330000000047</v>
      </c>
      <c r="L34" s="26">
        <f>SUM(L16:L33)</f>
        <v>789</v>
      </c>
      <c r="M34" s="26"/>
      <c r="N34" s="26">
        <f>SUM(N16:N33)</f>
        <v>-6.4973619841386947</v>
      </c>
      <c r="O34" s="26">
        <f>SUM(O16:O33)</f>
        <v>79.775433170043414</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-1471.2170000000001</v>
      </c>
      <c r="I40" s="221">
        <f>'ADJ DETAIL INPUT'!AD$81</f>
        <v>0</v>
      </c>
      <c r="J40" s="482"/>
      <c r="K40" s="463">
        <f t="shared" ref="K40" si="26">H40-E40</f>
        <v>-29.230000000000018</v>
      </c>
      <c r="L40" s="463">
        <f t="shared" ref="L40" si="27">I40-F40</f>
        <v>0</v>
      </c>
      <c r="M40" s="225"/>
      <c r="N40" s="234">
        <f t="shared" ref="N40" si="28">K40/$N$10*-1</f>
        <v>38.836164002078014</v>
      </c>
      <c r="O40" s="234">
        <f t="shared" ref="O40" si="29">L40*$O$10/$N$10</f>
        <v>0</v>
      </c>
      <c r="P40" s="235">
        <f t="shared" ref="P40" si="30">N40+O40</f>
        <v>38.836164002078014</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-27.65</v>
      </c>
      <c r="I41" s="221">
        <f>'ADJ DETAIL INPUT'!AE$81</f>
        <v>0</v>
      </c>
      <c r="J41" s="482"/>
      <c r="K41" s="463">
        <f t="shared" ref="K41" si="31">H41-E41</f>
        <v>-12.636049999999999</v>
      </c>
      <c r="L41" s="463">
        <f t="shared" ref="L41" si="32">I41-F41</f>
        <v>0</v>
      </c>
      <c r="M41" s="247"/>
      <c r="N41" s="234">
        <f t="shared" ref="N41" si="33">K41/$N$10*-1</f>
        <v>16.788768735492905</v>
      </c>
      <c r="O41" s="234">
        <f t="shared" ref="O41" si="34">L41*$O$10/$N$10</f>
        <v>0</v>
      </c>
      <c r="P41" s="83">
        <f t="shared" ref="P41" si="35">N41+O41</f>
        <v>16.788768735492905</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1292.6770000000001</v>
      </c>
      <c r="I42" s="249">
        <f>'ADJ DETAIL INPUT'!AF$81</f>
        <v>0</v>
      </c>
      <c r="J42" s="462"/>
      <c r="K42" s="463">
        <f t="shared" ref="K42:K44" si="36">H42-E42</f>
        <v>-41.79099999999994</v>
      </c>
      <c r="L42" s="463">
        <f t="shared" ref="L42:L44" si="37">I42-F42</f>
        <v>0</v>
      </c>
      <c r="N42" s="68">
        <f t="shared" ref="N42:N44" si="38">K42/$N$10*-1</f>
        <v>55.52521826243035</v>
      </c>
      <c r="O42" s="68">
        <f t="shared" ref="O42:O44" si="39">L42*$O$10/$N$10</f>
        <v>0</v>
      </c>
      <c r="P42" s="235">
        <f t="shared" ref="P42:P44" si="40">N42+O42</f>
        <v>55.52521826243035</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-683.35</v>
      </c>
      <c r="I46" s="249">
        <f>'ADJ DETAIL INPUT'!AJ$81</f>
        <v>0</v>
      </c>
      <c r="J46" s="462"/>
      <c r="K46" s="463">
        <f t="shared" ref="K46" si="47">H46-E46</f>
        <v>63.990000000000009</v>
      </c>
      <c r="L46" s="463">
        <f t="shared" ref="L46" si="48">I46-F46</f>
        <v>0</v>
      </c>
      <c r="N46" s="470">
        <f>K46/$N$10*-1</f>
        <v>-85.019710382927514</v>
      </c>
      <c r="O46" s="470">
        <f>L46*$O$10/$N$10</f>
        <v>0</v>
      </c>
      <c r="P46" s="471">
        <f>N46+O46</f>
        <v>-85.019710382927514</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4">
        <f>'ADJ DETAIL INPUT'!AM$10</f>
        <v>3.139999999999997</v>
      </c>
      <c r="B49" s="565" t="str">
        <f>TRIM(CONCATENATE('ADJ DETAIL INPUT'!AM$7," ",'ADJ DETAIL INPUT'!AM$8," ",'ADJ DETAIL INPUT'!AM$9))</f>
        <v>Pro Forma Misc O&amp;M Exp</v>
      </c>
      <c r="C49" s="482"/>
      <c r="D49" s="482"/>
      <c r="E49" s="566">
        <v>-1290.5929799999999</v>
      </c>
      <c r="F49" s="566">
        <v>0</v>
      </c>
      <c r="G49" s="566"/>
      <c r="H49" s="566">
        <f>'ADJ DETAIL INPUT'!AM$58</f>
        <v>-176.50416999999999</v>
      </c>
      <c r="I49" s="566">
        <f>'ADJ DETAIL INPUT'!AM$81</f>
        <v>0</v>
      </c>
      <c r="J49" s="482"/>
      <c r="K49" s="567">
        <f t="shared" ref="K49" si="53">H49-E49</f>
        <v>1114.08881</v>
      </c>
      <c r="L49" s="567">
        <f t="shared" ref="L49" si="54">I49-F49</f>
        <v>0</v>
      </c>
      <c r="M49" s="226"/>
      <c r="N49" s="255">
        <f t="shared" ref="N49" si="55">K49/$N$10*-1</f>
        <v>-1480.2235969223368</v>
      </c>
      <c r="O49" s="255">
        <f t="shared" ref="O49" si="56">L49*$O$10/$N$10</f>
        <v>0</v>
      </c>
      <c r="P49" s="83">
        <f t="shared" ref="P49" si="57">N49+O49</f>
        <v>-1480.2235969223368</v>
      </c>
      <c r="Q49" s="231"/>
      <c r="R49" s="231"/>
      <c r="S49" s="231"/>
      <c r="T49" s="231"/>
      <c r="U49" s="396"/>
    </row>
    <row r="50" spans="1:28" s="468" customFormat="1">
      <c r="A50" s="564">
        <f>'ADJ DETAIL INPUT'!AN$10</f>
        <v>3.1499999999999968</v>
      </c>
      <c r="B50" s="565" t="str">
        <f>TRIM(CONCATENATE('ADJ DETAIL INPUT'!AN$7," ",'ADJ DETAIL INPUT'!AN$8," ",'ADJ DETAIL INPUT'!AN$9))</f>
        <v>Pro Forma Capital Additions to 12.31.2023 EOP</v>
      </c>
      <c r="C50" s="482"/>
      <c r="D50" s="482"/>
      <c r="E50" s="566">
        <v>-898.12380370000005</v>
      </c>
      <c r="F50" s="566">
        <v>19487.900000000001</v>
      </c>
      <c r="G50" s="566"/>
      <c r="H50" s="566">
        <f>'ADJ DETAIL INPUT'!AN$58</f>
        <v>-915.09831170000007</v>
      </c>
      <c r="I50" s="566">
        <f>'ADJ DETAIL INPUT'!AN$81</f>
        <v>19123.900000000001</v>
      </c>
      <c r="J50" s="482"/>
      <c r="K50" s="567">
        <f t="shared" ref="K50:K54" si="58">H50-E50</f>
        <v>-16.974508000000014</v>
      </c>
      <c r="L50" s="567">
        <f t="shared" ref="L50:L54" si="59">I50-F50</f>
        <v>-364</v>
      </c>
      <c r="M50" s="462"/>
      <c r="N50" s="255">
        <f t="shared" ref="N50:N54" si="60">K50/$N$10*-1</f>
        <v>22.553020066458622</v>
      </c>
      <c r="O50" s="255">
        <f t="shared" ref="O50:O54" si="61">L50*$O$10/$N$10</f>
        <v>-36.803875378828643</v>
      </c>
      <c r="P50" s="472">
        <f t="shared" ref="P50:P54" si="62">N50+O50</f>
        <v>-14.250855312370021</v>
      </c>
      <c r="Q50" s="467"/>
      <c r="R50" s="467"/>
      <c r="S50" s="467"/>
      <c r="T50" s="467"/>
      <c r="U50" s="473"/>
    </row>
    <row r="51" spans="1:28" s="493" customFormat="1">
      <c r="A51" s="564">
        <f>'ADJ DETAIL INPUT'!AO$10</f>
        <v>3.1599999999999966</v>
      </c>
      <c r="B51" s="565" t="str">
        <f>TRIM(CONCATENATE('ADJ DETAIL INPUT'!AO$7," ",'ADJ DETAIL INPUT'!AO$8," ",'ADJ DETAIL INPUT'!AO$9))</f>
        <v>Pro Forma Depreciation Expense</v>
      </c>
      <c r="C51" s="482"/>
      <c r="D51" s="482"/>
      <c r="E51" s="566">
        <v>714.31799999999998</v>
      </c>
      <c r="F51" s="566">
        <v>0</v>
      </c>
      <c r="G51" s="566"/>
      <c r="H51" s="566">
        <f>'ADJ DETAIL INPUT'!AO$58</f>
        <v>712.73800000000006</v>
      </c>
      <c r="I51" s="566">
        <f>'ADJ DETAIL INPUT'!AO$81</f>
        <v>0</v>
      </c>
      <c r="J51" s="482"/>
      <c r="K51" s="567">
        <f t="shared" ref="K51:K53" si="63">H51-E51</f>
        <v>-1.5799999999999272</v>
      </c>
      <c r="L51" s="567">
        <f t="shared" ref="L51:L53" si="64">I51-F51</f>
        <v>0</v>
      </c>
      <c r="M51" s="462"/>
      <c r="N51" s="255">
        <f t="shared" ref="N51:N53" si="65">K51/$N$10*-1</f>
        <v>2.0992521082203353</v>
      </c>
      <c r="O51" s="255">
        <f t="shared" ref="O51:O53" si="66">L51*$O$10/$N$10</f>
        <v>0</v>
      </c>
      <c r="P51" s="491">
        <f t="shared" ref="P51:P53" si="67">N51+O51</f>
        <v>2.0992521082203353</v>
      </c>
      <c r="Q51" s="482"/>
      <c r="R51" s="482"/>
      <c r="S51" s="482"/>
      <c r="T51" s="482"/>
      <c r="U51" s="473"/>
    </row>
    <row r="52" spans="1:28" s="493" customFormat="1">
      <c r="A52" s="564">
        <f>'ADJ DETAIL INPUT'!AP$10</f>
        <v>3.1699999999999964</v>
      </c>
      <c r="B52" s="565" t="str">
        <f>TRIM(CONCATENATE('ADJ DETAIL INPUT'!AP$7," ",'ADJ DETAIL INPUT'!AP$8," ",'ADJ DETAIL INPUT'!AP$9))</f>
        <v>Pro Forma Capital Additions to 12.31.2024 EOP</v>
      </c>
      <c r="C52" s="482"/>
      <c r="D52" s="482"/>
      <c r="E52" s="566">
        <v>-1435.024504</v>
      </c>
      <c r="F52" s="566">
        <v>20568</v>
      </c>
      <c r="G52" s="566"/>
      <c r="H52" s="566">
        <f>'ADJ DETAIL INPUT'!AP$58</f>
        <v>-1730.5177569</v>
      </c>
      <c r="I52" s="566">
        <f>'ADJ DETAIL INPUT'!AP$81</f>
        <v>25392.3</v>
      </c>
      <c r="J52" s="482"/>
      <c r="K52" s="567">
        <f t="shared" si="63"/>
        <v>-295.49325290000002</v>
      </c>
      <c r="L52" s="567">
        <f t="shared" si="64"/>
        <v>4824.2999999999993</v>
      </c>
      <c r="M52" s="462"/>
      <c r="N52" s="255">
        <f t="shared" si="65"/>
        <v>392.60432538939136</v>
      </c>
      <c r="O52" s="255">
        <f t="shared" si="66"/>
        <v>487.78279118154671</v>
      </c>
      <c r="P52" s="491">
        <f t="shared" si="67"/>
        <v>880.38711657093813</v>
      </c>
      <c r="Q52" s="482"/>
      <c r="R52" s="482"/>
      <c r="S52" s="482"/>
      <c r="T52" s="482"/>
      <c r="U52" s="473"/>
    </row>
    <row r="53" spans="1:28" s="493" customFormat="1">
      <c r="A53" s="564">
        <f>'ADJ DETAIL INPUT'!AQ$10</f>
        <v>3.1799999999999962</v>
      </c>
      <c r="B53" s="565" t="str">
        <f>TRIM(CONCATENATE('ADJ DETAIL INPUT'!AQ$7," ",'ADJ DETAIL INPUT'!AQ$8," ",'ADJ DETAIL INPUT'!AQ$9))</f>
        <v>Pro Forma New Regulatory Amortizations</v>
      </c>
      <c r="C53" s="482"/>
      <c r="D53" s="482"/>
      <c r="E53" s="566">
        <v>-237</v>
      </c>
      <c r="F53" s="566">
        <v>0</v>
      </c>
      <c r="G53" s="566"/>
      <c r="H53" s="566">
        <f>'ADJ DETAIL INPUT'!AQ$58</f>
        <v>-237</v>
      </c>
      <c r="I53" s="566">
        <f>'ADJ DETAIL INPUT'!AQ$81</f>
        <v>0</v>
      </c>
      <c r="J53" s="482"/>
      <c r="K53" s="567">
        <f t="shared" si="63"/>
        <v>0</v>
      </c>
      <c r="L53" s="567">
        <f t="shared" si="64"/>
        <v>0</v>
      </c>
      <c r="M53" s="462"/>
      <c r="N53" s="255">
        <f t="shared" si="65"/>
        <v>0</v>
      </c>
      <c r="O53" s="255">
        <f t="shared" si="66"/>
        <v>0</v>
      </c>
      <c r="P53" s="491">
        <f t="shared" si="67"/>
        <v>0</v>
      </c>
      <c r="Q53" s="482"/>
      <c r="R53" s="482"/>
      <c r="S53" s="482"/>
      <c r="T53" s="482"/>
      <c r="U53" s="473"/>
    </row>
    <row r="54" spans="1:28" s="468" customFormat="1">
      <c r="A54" s="564">
        <f>'ADJ DETAIL INPUT'!AR$10</f>
        <v>3.1899999999999959</v>
      </c>
      <c r="B54" s="565" t="str">
        <f>TRIM(CONCATENATE('ADJ DETAIL INPUT'!AR$7," ",'ADJ DETAIL INPUT'!AR$8," ",'ADJ DETAIL INPUT'!AR$9))</f>
        <v>Pro Forma Nucleus/ETRM Expense</v>
      </c>
      <c r="C54" s="482"/>
      <c r="D54" s="482"/>
      <c r="E54" s="566">
        <v>-140.62</v>
      </c>
      <c r="F54" s="566">
        <v>0</v>
      </c>
      <c r="G54" s="566"/>
      <c r="H54" s="566">
        <f>'ADJ DETAIL INPUT'!AR$58</f>
        <v>-140.62</v>
      </c>
      <c r="I54" s="566">
        <f>'ADJ DETAIL INPUT'!AR$81</f>
        <v>0</v>
      </c>
      <c r="J54" s="482"/>
      <c r="K54" s="567">
        <f t="shared" si="58"/>
        <v>0</v>
      </c>
      <c r="L54" s="567">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-1679.8036560999999</v>
      </c>
      <c r="I56" s="221">
        <f>'ADJ DETAIL INPUT'!AT$81</f>
        <v>2878.7000000000007</v>
      </c>
      <c r="J56" s="482"/>
      <c r="K56" s="463">
        <f t="shared" ref="K56:K57" si="73">H56-E56</f>
        <v>17.2048956000001</v>
      </c>
      <c r="L56" s="463">
        <f t="shared" ref="L56:L57" si="74">I56-F56</f>
        <v>-325.20000000000073</v>
      </c>
      <c r="M56" s="247"/>
      <c r="N56" s="234">
        <f t="shared" ref="N56:N57" si="75">K56/$N$10*-1</f>
        <v>-22.85912237975484</v>
      </c>
      <c r="O56" s="234">
        <f t="shared" ref="O56:O57" si="76">L56*$O$10/$N$10</f>
        <v>-32.88082492636017</v>
      </c>
      <c r="P56" s="83">
        <f t="shared" ref="P56:P57" si="77">N56+O56</f>
        <v>-55.739947306115013</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424.78852999999998</v>
      </c>
      <c r="I57" s="221">
        <f>'ADJ DETAIL INPUT'!AU$81</f>
        <v>0</v>
      </c>
      <c r="J57" s="482"/>
      <c r="K57" s="463">
        <f t="shared" si="73"/>
        <v>-67.150000000000034</v>
      </c>
      <c r="L57" s="463">
        <f t="shared" si="74"/>
        <v>0</v>
      </c>
      <c r="M57" s="247"/>
      <c r="N57" s="234">
        <f t="shared" si="75"/>
        <v>89.218214599368409</v>
      </c>
      <c r="O57" s="234">
        <f t="shared" si="76"/>
        <v>0</v>
      </c>
      <c r="P57" s="83">
        <f t="shared" si="77"/>
        <v>89.218214599368409</v>
      </c>
      <c r="Q57" s="231"/>
      <c r="R57" s="231"/>
      <c r="S57" s="231"/>
      <c r="T57" s="231"/>
      <c r="U57" s="396"/>
    </row>
    <row r="58" spans="1:28" s="232" customFormat="1">
      <c r="A58" s="133" t="str">
        <f>'ADJ DETAIL INPUT'!AV$10</f>
        <v>PC Sch. 3.7</v>
      </c>
      <c r="B58" s="252" t="str">
        <f>TRIM(CONCATENATE('ADJ DETAIL INPUT'!AV$7," ",'ADJ DETAIL INPUT'!AV$8," ",'ADJ DETAIL INPUT'!AV$9))</f>
        <v>Investor Relations Expense</v>
      </c>
      <c r="C58" s="493"/>
      <c r="D58" s="493"/>
      <c r="E58" s="221">
        <v>0</v>
      </c>
      <c r="F58" s="221">
        <v>0</v>
      </c>
      <c r="G58" s="221"/>
      <c r="H58" s="221">
        <f>'ADJ DETAIL INPUT'!AV$58</f>
        <v>8.69</v>
      </c>
      <c r="I58" s="221">
        <f>'ADJ DETAIL INPUT'!AV$81</f>
        <v>0</v>
      </c>
      <c r="J58" s="482"/>
      <c r="K58" s="463">
        <f t="shared" ref="K58" si="78">H58-E58</f>
        <v>8.69</v>
      </c>
      <c r="L58" s="463">
        <f t="shared" ref="L58" si="79">I58-F58</f>
        <v>0</v>
      </c>
      <c r="M58" s="225"/>
      <c r="N58" s="234">
        <f t="shared" ref="N58" si="80">K58/$N$10*-1</f>
        <v>-11.545886595212375</v>
      </c>
      <c r="O58" s="234">
        <f t="shared" ref="O58" si="81">L58*$O$10/$N$10</f>
        <v>0</v>
      </c>
      <c r="P58" s="83">
        <f t="shared" ref="P58" si="82">N58+O58</f>
        <v>-11.545886595212375</v>
      </c>
      <c r="Q58" s="231"/>
      <c r="R58" s="231"/>
      <c r="S58" s="231"/>
      <c r="T58" s="231"/>
      <c r="U58" s="396"/>
      <c r="V58" s="250"/>
      <c r="W58" s="250"/>
      <c r="X58" s="250"/>
      <c r="Y58" s="250"/>
      <c r="Z58" s="250"/>
      <c r="AA58" s="250"/>
      <c r="AB58" s="250"/>
    </row>
    <row r="59" spans="1:28" s="60" customFormat="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32329.808003300019</v>
      </c>
      <c r="I60" s="26">
        <f>SUM(I34:I59)</f>
        <v>591008.29999999993</v>
      </c>
      <c r="J60" s="462"/>
      <c r="K60" s="26">
        <f>SUM(K34:K59)</f>
        <v>744.00912770000014</v>
      </c>
      <c r="L60" s="26">
        <f>SUM(L34:L59)</f>
        <v>4924.0999999999985</v>
      </c>
      <c r="M60" s="70"/>
      <c r="N60" s="26">
        <f>SUM(N34:N59)</f>
        <v>-988.52071510093015</v>
      </c>
      <c r="O60" s="26">
        <f>SUM(O34:O59)</f>
        <v>497.87352404640131</v>
      </c>
      <c r="P60" s="231"/>
      <c r="Q60" s="59"/>
      <c r="R60" s="231"/>
      <c r="S60" s="87"/>
      <c r="T60" s="258"/>
      <c r="V60" s="226"/>
    </row>
    <row r="61" spans="1:28" ht="13.5" thickTop="1">
      <c r="A61" s="25"/>
      <c r="D61" s="229"/>
      <c r="E61" s="229"/>
      <c r="H61" s="88"/>
      <c r="I61" s="88"/>
      <c r="J61" s="462"/>
      <c r="K61" s="463"/>
      <c r="L61" s="463"/>
      <c r="O61" s="17">
        <f>N60+O60</f>
        <v>-490.64719105452883</v>
      </c>
      <c r="P61" s="231"/>
      <c r="Q61" s="59"/>
      <c r="R61" s="231"/>
      <c r="S61" s="231"/>
      <c r="V61" s="226"/>
    </row>
    <row r="62" spans="1:28">
      <c r="A62" s="568"/>
      <c r="B62" s="252"/>
      <c r="D62" s="229"/>
      <c r="E62" s="229"/>
      <c r="F62" s="463"/>
      <c r="H62" s="229"/>
      <c r="I62" s="259"/>
      <c r="J62" s="462"/>
      <c r="K62" s="569"/>
      <c r="N62" s="69" t="s">
        <v>542</v>
      </c>
      <c r="O62" s="256"/>
      <c r="P62" s="231"/>
      <c r="Q62" s="59"/>
      <c r="R62" s="231"/>
      <c r="S62" s="83"/>
      <c r="V62" s="226"/>
    </row>
    <row r="63" spans="1:28" ht="13.5" thickBot="1">
      <c r="A63" s="570"/>
      <c r="B63" s="229"/>
      <c r="D63" s="229"/>
      <c r="E63" s="229"/>
      <c r="F63" s="463"/>
      <c r="H63" s="229"/>
      <c r="J63" s="462"/>
      <c r="N63" s="69" t="s">
        <v>161</v>
      </c>
      <c r="O63" s="82">
        <f>SUM(O61:O62)</f>
        <v>-490.64719105452883</v>
      </c>
      <c r="P63" s="231"/>
      <c r="Q63" s="59"/>
      <c r="R63" s="84"/>
      <c r="S63" s="231"/>
      <c r="V63" s="226"/>
    </row>
    <row r="64" spans="1:28" ht="13.5" thickTop="1">
      <c r="A64" s="571"/>
      <c r="B64" s="229"/>
      <c r="D64" s="229"/>
      <c r="E64" s="229"/>
      <c r="F64" s="463"/>
      <c r="H64" s="229"/>
      <c r="J64" s="462"/>
      <c r="N64" s="69" t="s">
        <v>544</v>
      </c>
      <c r="O64" s="256">
        <v>17293</v>
      </c>
      <c r="P64" s="231"/>
      <c r="Q64" s="59"/>
      <c r="R64" s="231"/>
      <c r="S64" s="231"/>
      <c r="V64" s="226"/>
    </row>
    <row r="65" spans="1:22" ht="13.5" thickBot="1">
      <c r="A65" s="571"/>
      <c r="B65" s="229"/>
      <c r="D65" s="229"/>
      <c r="E65" s="229"/>
      <c r="F65" s="463"/>
      <c r="H65" s="229"/>
      <c r="J65" s="462"/>
      <c r="N65" s="69" t="s">
        <v>163</v>
      </c>
      <c r="O65" s="26">
        <f>O64+O63</f>
        <v>16802.35280894547</v>
      </c>
      <c r="P65" s="231"/>
      <c r="Q65" s="59"/>
      <c r="R65" s="231"/>
      <c r="S65" s="231"/>
      <c r="V65" s="226"/>
    </row>
    <row r="66" spans="1:22" ht="13.5" thickTop="1">
      <c r="A66" s="571"/>
      <c r="B66" s="229"/>
      <c r="D66" s="229"/>
      <c r="H66" s="229"/>
      <c r="J66" s="462"/>
      <c r="N66" s="85"/>
      <c r="O66" s="83">
        <f>'RR SUMMARY'!F24</f>
        <v>16802</v>
      </c>
      <c r="P66" s="83">
        <f>O65-O66</f>
        <v>0.35280894547031494</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-464.67800000000005</v>
      </c>
      <c r="I70" s="221">
        <f>'ADJ DETAIL INPUT'!BA$81</f>
        <v>0</v>
      </c>
      <c r="J70" s="482"/>
      <c r="K70" s="463">
        <f t="shared" ref="K70:K76" si="88">H70-E70</f>
        <v>115.89299999999997</v>
      </c>
      <c r="L70" s="463">
        <f t="shared" ref="L70:L76" si="89">I70-F70</f>
        <v>0</v>
      </c>
      <c r="M70" s="478"/>
      <c r="N70" s="484">
        <f t="shared" ref="N70:N76" si="90">K70/$N$10*-1</f>
        <v>-153.98014213796864</v>
      </c>
      <c r="O70" s="484">
        <f t="shared" ref="O70:O76" si="91">L70*$O$10/$N$10</f>
        <v>0</v>
      </c>
      <c r="P70" s="491">
        <f t="shared" ref="P70:P76" si="92">N70+O70</f>
        <v>-153.98014213796864</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-41.08</v>
      </c>
      <c r="I71" s="221">
        <f>'ADJ DETAIL INPUT'!BB$81</f>
        <v>0</v>
      </c>
      <c r="J71" s="482"/>
      <c r="K71" s="463">
        <f t="shared" si="88"/>
        <v>74.89200000000001</v>
      </c>
      <c r="L71" s="463">
        <f t="shared" si="89"/>
        <v>0</v>
      </c>
      <c r="M71" s="478"/>
      <c r="N71" s="484">
        <f t="shared" si="90"/>
        <v>-99.504549929648491</v>
      </c>
      <c r="O71" s="484">
        <f t="shared" si="91"/>
        <v>0</v>
      </c>
      <c r="P71" s="491">
        <f t="shared" si="92"/>
        <v>-99.504549929648491</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-22.91</v>
      </c>
      <c r="I72" s="221">
        <f>'ADJ DETAIL INPUT'!BC$81</f>
        <v>0</v>
      </c>
      <c r="J72" s="482"/>
      <c r="K72" s="463">
        <f t="shared" si="88"/>
        <v>0.78999999999999915</v>
      </c>
      <c r="L72" s="463">
        <f t="shared" si="89"/>
        <v>0</v>
      </c>
      <c r="M72" s="478"/>
      <c r="N72" s="484">
        <f t="shared" si="90"/>
        <v>-1.0496260541102149</v>
      </c>
      <c r="O72" s="484">
        <f t="shared" si="91"/>
        <v>0</v>
      </c>
      <c r="P72" s="491">
        <f t="shared" si="92"/>
        <v>-1.0496260541102149</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-272.91419000000002</v>
      </c>
      <c r="I74" s="221">
        <f>'ADJ DETAIL INPUT'!BE$81</f>
        <v>0</v>
      </c>
      <c r="J74" s="482"/>
      <c r="K74" s="463">
        <f t="shared" si="88"/>
        <v>243.32395000000002</v>
      </c>
      <c r="L74" s="463">
        <f t="shared" si="89"/>
        <v>0</v>
      </c>
      <c r="M74" s="478"/>
      <c r="N74" s="484">
        <f t="shared" si="90"/>
        <v>-323.29007279621715</v>
      </c>
      <c r="O74" s="484">
        <f t="shared" si="91"/>
        <v>0</v>
      </c>
      <c r="P74" s="491">
        <f t="shared" si="92"/>
        <v>-323.29007279621715</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-1269.7797797000001</v>
      </c>
      <c r="I75" s="221">
        <f>'ADJ DETAIL INPUT'!BF$81</f>
        <v>17079.900000000001</v>
      </c>
      <c r="J75" s="482"/>
      <c r="K75" s="463">
        <f t="shared" si="88"/>
        <v>12.591427000000067</v>
      </c>
      <c r="L75" s="463">
        <f t="shared" si="89"/>
        <v>-9</v>
      </c>
      <c r="M75" s="478"/>
      <c r="N75" s="484">
        <f t="shared" si="90"/>
        <v>-16.729480807122666</v>
      </c>
      <c r="O75" s="484">
        <f t="shared" si="91"/>
        <v>-0.90998592969631265</v>
      </c>
      <c r="P75" s="491">
        <f t="shared" si="92"/>
        <v>-17.639466736818978</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152.37441000000001</v>
      </c>
      <c r="I76" s="221">
        <f>'ADJ DETAIL INPUT'!BG$81</f>
        <v>0</v>
      </c>
      <c r="J76" s="482"/>
      <c r="K76" s="463">
        <f t="shared" si="88"/>
        <v>-37.129999999999995</v>
      </c>
      <c r="L76" s="463">
        <f t="shared" si="89"/>
        <v>0</v>
      </c>
      <c r="M76" s="478"/>
      <c r="N76" s="484">
        <f t="shared" si="90"/>
        <v>49.332424543180146</v>
      </c>
      <c r="O76" s="484">
        <f t="shared" si="91"/>
        <v>0</v>
      </c>
      <c r="P76" s="491">
        <f t="shared" si="92"/>
        <v>49.332424543180146</v>
      </c>
      <c r="Q76" s="482"/>
      <c r="R76" s="482"/>
      <c r="S76" s="482"/>
      <c r="T76" s="482"/>
      <c r="U76" s="473"/>
    </row>
    <row r="77" spans="1:22" ht="13.5" thickBot="1">
      <c r="B77" s="478" t="str">
        <f>'ADJ SUMMARY'!C67</f>
        <v xml:space="preserve">     Pro Forma Study Ending 12.2026</v>
      </c>
      <c r="E77" s="26">
        <f>SUM(E60:E76)</f>
        <v>29386.17428290001</v>
      </c>
      <c r="F77" s="26">
        <f>SUM(F60:F76)</f>
        <v>602325.1</v>
      </c>
      <c r="H77" s="26">
        <f>SUM(H60:H76)</f>
        <v>30540.543787600018</v>
      </c>
      <c r="I77" s="26">
        <f>SUM(I60:I76)</f>
        <v>607240.19999999995</v>
      </c>
      <c r="K77" s="26">
        <f>SUM(K68:K76)</f>
        <v>410.36037700000008</v>
      </c>
      <c r="L77" s="26">
        <f>SUM(L68:L76)</f>
        <v>-9</v>
      </c>
      <c r="M77" s="453"/>
      <c r="N77" s="26">
        <f>SUM(N68:N76)</f>
        <v>-545.2214471818869</v>
      </c>
      <c r="O77" s="26">
        <f>SUM(O68:O76)</f>
        <v>-0.90998592969631265</v>
      </c>
      <c r="P77" s="26">
        <f>SUM(P68:P76)</f>
        <v>-546.13143311158331</v>
      </c>
    </row>
    <row r="78" spans="1:22" ht="13.5" thickTop="1">
      <c r="N78" s="477"/>
      <c r="O78" s="481">
        <f>N77+O77</f>
        <v>-546.13143311158319</v>
      </c>
    </row>
    <row r="79" spans="1:22">
      <c r="N79" s="486" t="s">
        <v>543</v>
      </c>
      <c r="O79" s="492"/>
    </row>
    <row r="80" spans="1:22" ht="13.5" thickBot="1">
      <c r="N80" s="486" t="s">
        <v>161</v>
      </c>
      <c r="O80" s="490">
        <f>SUM(O78:O79)</f>
        <v>-546.13143311158319</v>
      </c>
    </row>
    <row r="81" spans="14:16" ht="13.5" thickTop="1">
      <c r="N81" s="487" t="s">
        <v>544</v>
      </c>
      <c r="O81" s="572">
        <v>4564</v>
      </c>
    </row>
    <row r="82" spans="14:16" ht="13.5" thickBot="1">
      <c r="N82" s="488" t="s">
        <v>163</v>
      </c>
      <c r="O82" s="489">
        <f>O80+O81</f>
        <v>4017.8685668884168</v>
      </c>
    </row>
    <row r="83" spans="14:16" ht="13.5" thickTop="1">
      <c r="N83" s="479"/>
      <c r="O83" s="480">
        <f>'RR SUMMARY'!H24</f>
        <v>4017.1601459644257</v>
      </c>
      <c r="P83" s="485">
        <f>O83-O82</f>
        <v>-0.70842092399107059</v>
      </c>
    </row>
  </sheetData>
  <mergeCells count="11">
    <mergeCell ref="E9:F9"/>
    <mergeCell ref="H9:I9"/>
    <mergeCell ref="K9:L9"/>
    <mergeCell ref="A1:O1"/>
    <mergeCell ref="A2:O2"/>
    <mergeCell ref="A3:O3"/>
    <mergeCell ref="L7:N7"/>
    <mergeCell ref="E8:F8"/>
    <mergeCell ref="H8:I8"/>
    <mergeCell ref="K8:L8"/>
    <mergeCell ref="N8:O8"/>
  </mergeCells>
  <phoneticPr fontId="27" type="noConversion"/>
  <pageMargins left="0.75" right="0.5" top="1" bottom="1" header="0.5" footer="0.5"/>
  <pageSetup scale="53" orientation="landscape"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election activeCell="G33" sqref="G33"/>
    </sheetView>
  </sheetViews>
  <sheetFormatPr defaultColWidth="10.54296875" defaultRowHeight="11.5"/>
  <cols>
    <col min="1" max="1" width="5.54296875" style="116" customWidth="1"/>
    <col min="2" max="3" width="1.54296875" style="92" customWidth="1"/>
    <col min="4" max="4" width="28.54296875" style="92" customWidth="1"/>
    <col min="5" max="5" width="17.453125" style="94" customWidth="1"/>
    <col min="6" max="56" width="20.453125" style="94" customWidth="1"/>
    <col min="57" max="16384" width="10.5429687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t="e">
        <f>'ADJ DETAIL INPUT'!#REF!</f>
        <v>#REF!</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t="e">
        <f>'ADJ DETAIL INPUT'!#REF!</f>
        <v>#REF!</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t="e">
        <f>'ADJ DETAIL INPUT'!#REF!</f>
        <v>#REF!</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t="e">
        <f>'ADJ DETAIL INPUT'!#REF!</f>
        <v>#REF!</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t="e">
        <f>'ADJ DETAIL INPUT'!#REF!</f>
        <v>#REF!</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t="e">
        <f>'ADJ DETAIL INPUT'!#REF!</f>
        <v>#REF!</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t="e">
        <f>'ADJ DETAIL INPUT'!#REF!</f>
        <v>#REF!</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259</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-8</v>
      </c>
      <c r="BD17" s="135" t="e">
        <f>'ADJ DETAIL INPUT'!#REF!</f>
        <v>#REF!</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259</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-8</v>
      </c>
      <c r="BD18" s="134" t="e">
        <f t="shared" si="3"/>
        <v>#REF!</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t="e">
        <f>'ADJ DETAIL INPUT'!#REF!</f>
        <v>#REF!</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63</v>
      </c>
      <c r="AD23" s="134">
        <f>'ADJ DETAIL INPUT'!AE22</f>
        <v>0</v>
      </c>
      <c r="AE23" s="134">
        <f>'ADJ DETAIL INPUT'!AF22</f>
        <v>3.8</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7.72</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19</v>
      </c>
      <c r="AX23" s="134">
        <f>'ADJ DETAIL INPUT'!BB22</f>
        <v>2.1</v>
      </c>
      <c r="AY23" s="134">
        <f>'ADJ DETAIL INPUT'!BC22</f>
        <v>0</v>
      </c>
      <c r="AZ23" s="134">
        <f>'ADJ DETAIL INPUT'!BD22</f>
        <v>0</v>
      </c>
      <c r="BA23" s="134">
        <f>'ADJ DETAIL INPUT'!BE22</f>
        <v>2.8039999999999998</v>
      </c>
      <c r="BB23" s="134">
        <f>'ADJ DETAIL INPUT'!BF22</f>
        <v>0</v>
      </c>
      <c r="BC23" s="134">
        <f>'ADJ DETAIL INPUT'!BG22</f>
        <v>0</v>
      </c>
      <c r="BD23" s="134" t="e">
        <f>'ADJ DETAIL INPUT'!#REF!</f>
        <v>#REF!</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t="e">
        <f>'ADJ DETAIL INPUT'!#REF!</f>
        <v>#REF!</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63</v>
      </c>
      <c r="AD25" s="136">
        <f t="shared" si="11"/>
        <v>0</v>
      </c>
      <c r="AE25" s="136">
        <f t="shared" si="11"/>
        <v>3.8</v>
      </c>
      <c r="AF25" s="136">
        <f t="shared" ref="AF25" si="12">SUM(AF22:AF24)</f>
        <v>0</v>
      </c>
      <c r="AG25" s="136">
        <f t="shared" si="11"/>
        <v>0</v>
      </c>
      <c r="AH25" s="136">
        <f t="shared" si="11"/>
        <v>0</v>
      </c>
      <c r="AI25" s="136">
        <f t="shared" si="11"/>
        <v>0</v>
      </c>
      <c r="AJ25" s="136">
        <f t="shared" si="11"/>
        <v>0</v>
      </c>
      <c r="AK25" s="136">
        <f t="shared" si="11"/>
        <v>0</v>
      </c>
      <c r="AL25" s="136">
        <f t="shared" si="11"/>
        <v>7.72</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19</v>
      </c>
      <c r="AX25" s="136">
        <f t="shared" si="11"/>
        <v>2.1</v>
      </c>
      <c r="AY25" s="136">
        <f t="shared" si="11"/>
        <v>0</v>
      </c>
      <c r="AZ25" s="136">
        <f t="shared" si="11"/>
        <v>0</v>
      </c>
      <c r="BA25" s="136">
        <f t="shared" si="11"/>
        <v>2.8039999999999998</v>
      </c>
      <c r="BB25" s="136">
        <f t="shared" si="11"/>
        <v>0</v>
      </c>
      <c r="BC25" s="136">
        <f t="shared" si="11"/>
        <v>0</v>
      </c>
      <c r="BD25" s="136" t="e">
        <f t="shared" si="11"/>
        <v>#REF!</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-33.328000000000003</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48.308999999999997</v>
      </c>
      <c r="BB28" s="134">
        <f>'ADJ DETAIL INPUT'!BF27</f>
        <v>0</v>
      </c>
      <c r="BC28" s="134">
        <f>'ADJ DETAIL INPUT'!BG27</f>
        <v>0</v>
      </c>
      <c r="BD28" s="134" t="e">
        <f>'ADJ DETAIL INPUT'!#REF!</f>
        <v>#REF!</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20</v>
      </c>
      <c r="AP29" s="134">
        <f>'ADJ DETAIL INPUT'!AQ28</f>
        <v>0</v>
      </c>
      <c r="AQ29" s="134">
        <f>'ADJ DETAIL INPUT'!AR28</f>
        <v>0</v>
      </c>
      <c r="AR29" s="134">
        <f>'ADJ DETAIL INPUT'!AS28</f>
        <v>0</v>
      </c>
      <c r="AS29" s="134">
        <f>'ADJ DETAIL INPUT'!AT28</f>
        <v>24</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23</v>
      </c>
      <c r="BC29" s="134">
        <f>'ADJ DETAIL INPUT'!BG28</f>
        <v>0</v>
      </c>
      <c r="BD29" s="134" t="e">
        <f>'ADJ DETAIL INPUT'!#REF!</f>
        <v>#REF!</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52</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t="e">
        <f>'ADJ DETAIL INPUT'!#REF!</f>
        <v>#REF!</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52</v>
      </c>
      <c r="AJ31" s="134">
        <f t="shared" si="20"/>
        <v>0</v>
      </c>
      <c r="AK31" s="134">
        <f t="shared" si="20"/>
        <v>0</v>
      </c>
      <c r="AL31" s="134">
        <f t="shared" si="20"/>
        <v>-33.328000000000003</v>
      </c>
      <c r="AM31" s="134">
        <f t="shared" si="20"/>
        <v>12</v>
      </c>
      <c r="AN31" s="134">
        <f t="shared" ref="AN31:AO31" si="22">SUM(AN28:AN30)</f>
        <v>-6.8</v>
      </c>
      <c r="AO31" s="134">
        <f t="shared" si="22"/>
        <v>20</v>
      </c>
      <c r="AP31" s="134">
        <f t="shared" ref="AP31" si="23">SUM(AP28:AP30)</f>
        <v>0</v>
      </c>
      <c r="AQ31" s="134">
        <f t="shared" si="20"/>
        <v>0</v>
      </c>
      <c r="AR31" s="134">
        <f t="shared" si="20"/>
        <v>0</v>
      </c>
      <c r="AS31" s="134">
        <f t="shared" si="20"/>
        <v>24</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48.308999999999997</v>
      </c>
      <c r="BB31" s="134">
        <f t="shared" si="20"/>
        <v>23</v>
      </c>
      <c r="BC31" s="134">
        <f t="shared" si="20"/>
        <v>0</v>
      </c>
      <c r="BD31" s="134" t="e">
        <f t="shared" si="20"/>
        <v>#REF!</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903</v>
      </c>
      <c r="AD34" s="134">
        <f>'ADJ DETAIL INPUT'!AE33</f>
        <v>0</v>
      </c>
      <c r="AE34" s="134">
        <f>'ADJ DETAIL INPUT'!AF33</f>
        <v>41.6</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102.03100000000001</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292</v>
      </c>
      <c r="AX34" s="134">
        <f>'ADJ DETAIL INPUT'!BB33</f>
        <v>22.9</v>
      </c>
      <c r="AY34" s="134">
        <f>'ADJ DETAIL INPUT'!BC33</f>
        <v>0</v>
      </c>
      <c r="AZ34" s="134">
        <f>'ADJ DETAIL INPUT'!BD33</f>
        <v>0</v>
      </c>
      <c r="BA34" s="134">
        <f>'ADJ DETAIL INPUT'!BE33</f>
        <v>123.26600000000001</v>
      </c>
      <c r="BB34" s="134">
        <f>'ADJ DETAIL INPUT'!BF33</f>
        <v>0</v>
      </c>
      <c r="BC34" s="134">
        <f>'ADJ DETAIL INPUT'!BG33</f>
        <v>-70.043999999999997</v>
      </c>
      <c r="BD34" s="134" t="e">
        <f>'ADJ DETAIL INPUT'!#REF!</f>
        <v>#REF!</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643</v>
      </c>
      <c r="AN35" s="136">
        <f>'ADJ DETAIL INPUT'!AO34</f>
        <v>-433.7</v>
      </c>
      <c r="AO35" s="136">
        <f>'ADJ DETAIL INPUT'!AP34</f>
        <v>1046</v>
      </c>
      <c r="AP35" s="136">
        <f>'ADJ DETAIL INPUT'!AQ34</f>
        <v>0</v>
      </c>
      <c r="AQ35" s="136">
        <f>'ADJ DETAIL INPUT'!AR34</f>
        <v>0</v>
      </c>
      <c r="AR35" s="136">
        <f>'ADJ DETAIL INPUT'!AS34</f>
        <v>0</v>
      </c>
      <c r="AS35" s="136">
        <f>'ADJ DETAIL INPUT'!AT34</f>
        <v>879</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t="e">
        <f>'ADJ DETAIL INPUT'!#REF!</f>
        <v>#REF!</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813</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27</v>
      </c>
      <c r="AZ36" s="135">
        <f>'ADJ DETAIL INPUT'!BD35</f>
        <v>0</v>
      </c>
      <c r="BA36" s="135">
        <f>'ADJ DETAIL INPUT'!BE35</f>
        <v>0</v>
      </c>
      <c r="BB36" s="135">
        <f>'ADJ DETAIL INPUT'!BF35</f>
        <v>0</v>
      </c>
      <c r="BC36" s="135">
        <f>'ADJ DETAIL INPUT'!BG35</f>
        <v>0</v>
      </c>
      <c r="BD36" s="135" t="e">
        <f>'ADJ DETAIL INPUT'!#REF!</f>
        <v>#REF!</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903</v>
      </c>
      <c r="AD37" s="134">
        <f t="shared" si="29"/>
        <v>0</v>
      </c>
      <c r="AE37" s="134">
        <f t="shared" si="29"/>
        <v>41.6</v>
      </c>
      <c r="AF37" s="134">
        <f t="shared" ref="AF37" si="30">SUM(AF34:AF36)</f>
        <v>0</v>
      </c>
      <c r="AG37" s="134">
        <f t="shared" si="29"/>
        <v>0</v>
      </c>
      <c r="AH37" s="134">
        <f t="shared" si="29"/>
        <v>0</v>
      </c>
      <c r="AI37" s="134">
        <f t="shared" si="29"/>
        <v>813</v>
      </c>
      <c r="AJ37" s="134">
        <f t="shared" si="29"/>
        <v>0</v>
      </c>
      <c r="AK37" s="134">
        <f t="shared" si="29"/>
        <v>0</v>
      </c>
      <c r="AL37" s="134">
        <f t="shared" si="29"/>
        <v>102.03100000000001</v>
      </c>
      <c r="AM37" s="134">
        <f t="shared" si="29"/>
        <v>643</v>
      </c>
      <c r="AN37" s="134">
        <f t="shared" ref="AN37:AO37" si="31">SUM(AN34:AN36)</f>
        <v>-433.7</v>
      </c>
      <c r="AO37" s="134">
        <f t="shared" si="31"/>
        <v>1046</v>
      </c>
      <c r="AP37" s="134">
        <f t="shared" ref="AP37" si="32">SUM(AP34:AP36)</f>
        <v>0</v>
      </c>
      <c r="AQ37" s="134">
        <f t="shared" si="29"/>
        <v>0</v>
      </c>
      <c r="AR37" s="134">
        <f t="shared" si="29"/>
        <v>0</v>
      </c>
      <c r="AS37" s="134">
        <f t="shared" si="29"/>
        <v>879</v>
      </c>
      <c r="AT37" s="134">
        <f t="shared" si="29"/>
        <v>-190.31200000000001</v>
      </c>
      <c r="AU37" s="134">
        <f t="shared" ref="AU37" si="33">SUM(AU34:AU36)</f>
        <v>0</v>
      </c>
      <c r="AV37" s="134">
        <f t="shared" si="29"/>
        <v>-105</v>
      </c>
      <c r="AW37" s="134">
        <f t="shared" si="29"/>
        <v>292</v>
      </c>
      <c r="AX37" s="134">
        <f t="shared" si="29"/>
        <v>22.9</v>
      </c>
      <c r="AY37" s="134">
        <f t="shared" si="29"/>
        <v>27</v>
      </c>
      <c r="AZ37" s="134">
        <f t="shared" si="29"/>
        <v>0</v>
      </c>
      <c r="BA37" s="134">
        <f t="shared" si="29"/>
        <v>123.26600000000001</v>
      </c>
      <c r="BB37" s="134">
        <f t="shared" si="29"/>
        <v>823</v>
      </c>
      <c r="BC37" s="134">
        <f t="shared" si="29"/>
        <v>-70.043999999999997</v>
      </c>
      <c r="BD37" s="134" t="e">
        <f t="shared" si="29"/>
        <v>#REF!</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261</v>
      </c>
      <c r="AD39" s="134">
        <f>'ADJ DETAIL INPUT'!AE38</f>
        <v>0</v>
      </c>
      <c r="AE39" s="134">
        <f>'ADJ DETAIL INPUT'!AF38</f>
        <v>14.2</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79.146000000000001</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80.599999999999994</v>
      </c>
      <c r="AX39" s="134">
        <f>'ADJ DETAIL INPUT'!BB38</f>
        <v>7.8</v>
      </c>
      <c r="AY39" s="134">
        <f>'ADJ DETAIL INPUT'!BC38</f>
        <v>0</v>
      </c>
      <c r="AZ39" s="134">
        <f>'ADJ DETAIL INPUT'!BD38</f>
        <v>0</v>
      </c>
      <c r="BA39" s="134">
        <f>'ADJ DETAIL INPUT'!BE38</f>
        <v>40.097999999999999</v>
      </c>
      <c r="BB39" s="134">
        <f>'ADJ DETAIL INPUT'!BF38</f>
        <v>0</v>
      </c>
      <c r="BC39" s="134">
        <f>'ADJ DETAIL INPUT'!BG38</f>
        <v>0</v>
      </c>
      <c r="BD39" s="134" t="e">
        <f>'ADJ DETAIL INPUT'!#REF!</f>
        <v>#REF!</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18</v>
      </c>
      <c r="AD40" s="134">
        <f>'ADJ DETAIL INPUT'!AE39</f>
        <v>0</v>
      </c>
      <c r="AE40" s="134">
        <f>'ADJ DETAIL INPUT'!AF39</f>
        <v>1</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-86.698999999999998</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5.6</v>
      </c>
      <c r="AX40" s="134">
        <f>'ADJ DETAIL INPUT'!BB39</f>
        <v>0.5</v>
      </c>
      <c r="AY40" s="134">
        <f>'ADJ DETAIL INPUT'!BC39</f>
        <v>0</v>
      </c>
      <c r="AZ40" s="134">
        <f>'ADJ DETAIL INPUT'!BD39</f>
        <v>0</v>
      </c>
      <c r="BA40" s="134">
        <f>'ADJ DETAIL INPUT'!BE39</f>
        <v>11.464</v>
      </c>
      <c r="BB40" s="134">
        <f>'ADJ DETAIL INPUT'!BF39</f>
        <v>0</v>
      </c>
      <c r="BC40" s="134">
        <f>'ADJ DETAIL INPUT'!BG39</f>
        <v>0</v>
      </c>
      <c r="BD40" s="134" t="e">
        <f>'ADJ DETAIL INPUT'!#REF!</f>
        <v>#REF!</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t="e">
        <f>'ADJ DETAIL INPUT'!#REF!</f>
        <v>#REF!</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-410</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617</v>
      </c>
      <c r="AD44" s="134">
        <f>'ADJ DETAIL INPUT'!AE43</f>
        <v>35</v>
      </c>
      <c r="AE44" s="134">
        <f>'ADJ DETAIL INPUT'!AF43</f>
        <v>34.1</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154.553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191</v>
      </c>
      <c r="AX44" s="134">
        <f>'ADJ DETAIL INPUT'!BB43</f>
        <v>18.7</v>
      </c>
      <c r="AY44" s="134">
        <f>'ADJ DETAIL INPUT'!BC43</f>
        <v>0</v>
      </c>
      <c r="AZ44" s="134">
        <f>'ADJ DETAIL INPUT'!BD43</f>
        <v>-65</v>
      </c>
      <c r="BA44" s="134">
        <f>'ADJ DETAIL INPUT'!BE43</f>
        <v>119.52</v>
      </c>
      <c r="BB44" s="134">
        <f>'ADJ DETAIL INPUT'!BF43</f>
        <v>0</v>
      </c>
      <c r="BC44" s="134">
        <f>'ADJ DETAIL INPUT'!BG43</f>
        <v>-130.83500000000001</v>
      </c>
      <c r="BD44" s="134" t="e">
        <f>'ADJ DETAIL INPUT'!#REF!</f>
        <v>#REF!</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634</v>
      </c>
      <c r="AN45" s="134">
        <f>'ADJ DETAIL INPUT'!AO44</f>
        <v>-461.7</v>
      </c>
      <c r="AO45" s="134">
        <f>'ADJ DETAIL INPUT'!AP44</f>
        <v>1298</v>
      </c>
      <c r="AP45" s="134">
        <f>'ADJ DETAIL INPUT'!AQ44</f>
        <v>0</v>
      </c>
      <c r="AQ45" s="134">
        <f>'ADJ DETAIL INPUT'!AR44</f>
        <v>0</v>
      </c>
      <c r="AR45" s="134">
        <f>'ADJ DETAIL INPUT'!AS44</f>
        <v>0</v>
      </c>
      <c r="AS45" s="134">
        <f>'ADJ DETAIL INPUT'!AT44</f>
        <v>1243</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878</v>
      </c>
      <c r="BC45" s="134">
        <f>'ADJ DETAIL INPUT'!BG44</f>
        <v>0</v>
      </c>
      <c r="BD45" s="134" t="e">
        <f>'ADJ DETAIL INPUT'!#REF!</f>
        <v>#REF!</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t="e">
        <f>'ADJ DETAIL INPUT'!#REF!</f>
        <v>#REF!</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t="e">
        <f>'ADJ DETAIL INPUT'!#REF!</f>
        <v>#REF!</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-410</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617</v>
      </c>
      <c r="AD48" s="135">
        <f t="shared" si="37"/>
        <v>35</v>
      </c>
      <c r="AE48" s="135">
        <f t="shared" si="37"/>
        <v>-1696.9</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154.553</v>
      </c>
      <c r="AM48" s="135">
        <f t="shared" si="37"/>
        <v>634</v>
      </c>
      <c r="AN48" s="135">
        <f t="shared" ref="AN48:AO48" si="39">SUM(AN44:AN47)</f>
        <v>-461.7</v>
      </c>
      <c r="AO48" s="135">
        <f t="shared" si="39"/>
        <v>1298</v>
      </c>
      <c r="AP48" s="135">
        <f t="shared" ref="AP48" si="40">SUM(AP44:AP47)</f>
        <v>300</v>
      </c>
      <c r="AQ48" s="135">
        <f t="shared" si="37"/>
        <v>178</v>
      </c>
      <c r="AR48" s="135">
        <f t="shared" si="37"/>
        <v>150</v>
      </c>
      <c r="AS48" s="135">
        <f t="shared" si="37"/>
        <v>1243</v>
      </c>
      <c r="AT48" s="135">
        <f t="shared" si="37"/>
        <v>-88.394999999999996</v>
      </c>
      <c r="AU48" s="135">
        <f t="shared" ref="AU48" si="41">SUM(AU44:AU47)</f>
        <v>0</v>
      </c>
      <c r="AV48" s="135">
        <f t="shared" si="37"/>
        <v>0</v>
      </c>
      <c r="AW48" s="135">
        <f t="shared" si="37"/>
        <v>191</v>
      </c>
      <c r="AX48" s="135">
        <f t="shared" si="37"/>
        <v>18.7</v>
      </c>
      <c r="AY48" s="135">
        <f t="shared" si="37"/>
        <v>0</v>
      </c>
      <c r="AZ48" s="135">
        <f t="shared" si="37"/>
        <v>-65</v>
      </c>
      <c r="BA48" s="135">
        <f t="shared" si="37"/>
        <v>119.52</v>
      </c>
      <c r="BB48" s="135">
        <f t="shared" si="37"/>
        <v>878</v>
      </c>
      <c r="BC48" s="135">
        <f t="shared" si="37"/>
        <v>-130.83500000000001</v>
      </c>
      <c r="BD48" s="135" t="e">
        <f t="shared" si="37"/>
        <v>#REF!</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-416</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1862.3</v>
      </c>
      <c r="AD49" s="135">
        <f t="shared" si="46"/>
        <v>35</v>
      </c>
      <c r="AE49" s="135">
        <f t="shared" si="46"/>
        <v>-1636.3000000000002</v>
      </c>
      <c r="AF49" s="135">
        <f t="shared" ref="AF49" si="47">AF21+AF25+AF31+AF37+AF39+AF40+AF41+AF48</f>
        <v>368.79999999999995</v>
      </c>
      <c r="AG49" s="135">
        <f t="shared" si="46"/>
        <v>78</v>
      </c>
      <c r="AH49" s="135">
        <f t="shared" si="46"/>
        <v>112.90900000000001</v>
      </c>
      <c r="AI49" s="135">
        <f t="shared" si="46"/>
        <v>865</v>
      </c>
      <c r="AJ49" s="135">
        <f t="shared" si="46"/>
        <v>598</v>
      </c>
      <c r="AK49" s="135">
        <f t="shared" si="46"/>
        <v>20.6</v>
      </c>
      <c r="AL49" s="135">
        <f t="shared" si="46"/>
        <v>223.423</v>
      </c>
      <c r="AM49" s="135">
        <f t="shared" si="46"/>
        <v>1289</v>
      </c>
      <c r="AN49" s="135">
        <f t="shared" ref="AN49:AO49" si="48">AN21+AN25+AN31+AN37+AN39+AN40+AN41+AN48</f>
        <v>-902.2</v>
      </c>
      <c r="AO49" s="135">
        <f t="shared" si="48"/>
        <v>2364</v>
      </c>
      <c r="AP49" s="135">
        <f t="shared" ref="AP49" si="49">AP21+AP25+AP31+AP37+AP39+AP40+AP41+AP48</f>
        <v>300</v>
      </c>
      <c r="AQ49" s="135">
        <f t="shared" si="46"/>
        <v>178</v>
      </c>
      <c r="AR49" s="135">
        <f t="shared" si="46"/>
        <v>150</v>
      </c>
      <c r="AS49" s="135">
        <f t="shared" si="46"/>
        <v>2146</v>
      </c>
      <c r="AT49" s="135">
        <f t="shared" si="46"/>
        <v>-278.70699999999999</v>
      </c>
      <c r="AU49" s="135">
        <f t="shared" ref="AU49" si="50">AU21+AU25+AU31+AU37+AU39+AU40+AU41+AU48</f>
        <v>0</v>
      </c>
      <c r="AV49" s="135">
        <f t="shared" si="46"/>
        <v>-105</v>
      </c>
      <c r="AW49" s="135">
        <f t="shared" si="46"/>
        <v>588.20000000000005</v>
      </c>
      <c r="AX49" s="135">
        <f t="shared" si="46"/>
        <v>52</v>
      </c>
      <c r="AY49" s="135">
        <f t="shared" si="46"/>
        <v>29</v>
      </c>
      <c r="AZ49" s="135">
        <f t="shared" si="46"/>
        <v>-65</v>
      </c>
      <c r="BA49" s="135">
        <f t="shared" si="46"/>
        <v>345.46100000000001</v>
      </c>
      <c r="BB49" s="135">
        <f t="shared" si="46"/>
        <v>1724</v>
      </c>
      <c r="BC49" s="135">
        <f t="shared" si="46"/>
        <v>-200.87900000000002</v>
      </c>
      <c r="BD49" s="135" t="e">
        <f t="shared" si="46"/>
        <v>#REF!</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416</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-1862.3</v>
      </c>
      <c r="AD51" s="134">
        <f t="shared" si="54"/>
        <v>-35</v>
      </c>
      <c r="AE51" s="134">
        <f t="shared" si="54"/>
        <v>1636.3000000000002</v>
      </c>
      <c r="AF51" s="134">
        <f t="shared" ref="AF51" si="55">AF18-AF49</f>
        <v>-368.79999999999995</v>
      </c>
      <c r="AG51" s="134">
        <f t="shared" si="54"/>
        <v>-78</v>
      </c>
      <c r="AH51" s="134">
        <f t="shared" si="54"/>
        <v>-112.90900000000001</v>
      </c>
      <c r="AI51" s="134">
        <f t="shared" si="54"/>
        <v>-865</v>
      </c>
      <c r="AJ51" s="134">
        <f t="shared" si="54"/>
        <v>-598</v>
      </c>
      <c r="AK51" s="134">
        <f t="shared" si="54"/>
        <v>-20.6</v>
      </c>
      <c r="AL51" s="134">
        <f t="shared" si="54"/>
        <v>-223.423</v>
      </c>
      <c r="AM51" s="134">
        <f t="shared" si="54"/>
        <v>-1289</v>
      </c>
      <c r="AN51" s="134">
        <f t="shared" ref="AN51:AO51" si="56">AN18-AN49</f>
        <v>902.2</v>
      </c>
      <c r="AO51" s="134">
        <f t="shared" si="56"/>
        <v>-2364</v>
      </c>
      <c r="AP51" s="134">
        <f t="shared" ref="AP51" si="57">AP18-AP49</f>
        <v>-300</v>
      </c>
      <c r="AQ51" s="134">
        <f t="shared" si="54"/>
        <v>-178</v>
      </c>
      <c r="AR51" s="134">
        <f t="shared" si="54"/>
        <v>-150</v>
      </c>
      <c r="AS51" s="134">
        <f t="shared" si="54"/>
        <v>-2146</v>
      </c>
      <c r="AT51" s="134">
        <f t="shared" si="54"/>
        <v>537.70699999999999</v>
      </c>
      <c r="AU51" s="134">
        <f t="shared" ref="AU51" si="58">AU18-AU49</f>
        <v>0</v>
      </c>
      <c r="AV51" s="134">
        <f t="shared" si="54"/>
        <v>105</v>
      </c>
      <c r="AW51" s="134">
        <f t="shared" si="54"/>
        <v>-588.20000000000005</v>
      </c>
      <c r="AX51" s="134">
        <f t="shared" si="54"/>
        <v>-52</v>
      </c>
      <c r="AY51" s="134">
        <f t="shared" si="54"/>
        <v>-29</v>
      </c>
      <c r="AZ51" s="134">
        <f t="shared" si="54"/>
        <v>65</v>
      </c>
      <c r="BA51" s="134">
        <f t="shared" si="54"/>
        <v>-345.46100000000001</v>
      </c>
      <c r="BB51" s="134">
        <f t="shared" si="54"/>
        <v>-1724</v>
      </c>
      <c r="BC51" s="134">
        <f t="shared" si="54"/>
        <v>192.87900000000002</v>
      </c>
      <c r="BD51" s="134" t="e">
        <f t="shared" si="54"/>
        <v>#REF!</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87.36</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-391.08299999999997</v>
      </c>
      <c r="AD54" s="134">
        <f>'ADJ DETAIL INPUT'!AE53</f>
        <v>-7.35</v>
      </c>
      <c r="AE54" s="134">
        <f>'ADJ DETAIL INPUT'!AF53</f>
        <v>343.62300000000005</v>
      </c>
      <c r="AF54" s="134">
        <f>'ADJ DETAIL INPUT'!AG53</f>
        <v>-77.447999999999993</v>
      </c>
      <c r="AG54" s="134">
        <f>'ADJ DETAIL INPUT'!AH53</f>
        <v>-16.38</v>
      </c>
      <c r="AH54" s="134">
        <f>'ADJ DETAIL INPUT'!AI53</f>
        <v>-23.710889999999999</v>
      </c>
      <c r="AI54" s="134">
        <f>'ADJ DETAIL INPUT'!AJ53</f>
        <v>-181.65</v>
      </c>
      <c r="AJ54" s="134">
        <f>'ADJ DETAIL INPUT'!AK53</f>
        <v>-125.58</v>
      </c>
      <c r="AK54" s="134">
        <f>'ADJ DETAIL INPUT'!AL53</f>
        <v>-4.3260000000000005</v>
      </c>
      <c r="AL54" s="134">
        <f>'ADJ DETAIL INPUT'!AM53</f>
        <v>-46.91883</v>
      </c>
      <c r="AM54" s="134">
        <f>'ADJ DETAIL INPUT'!AN53</f>
        <v>-270.69</v>
      </c>
      <c r="AN54" s="134">
        <f>'ADJ DETAIL INPUT'!AO53</f>
        <v>189.46199999999999</v>
      </c>
      <c r="AO54" s="134">
        <f>'ADJ DETAIL INPUT'!AP53</f>
        <v>-496.44</v>
      </c>
      <c r="AP54" s="134">
        <f>'ADJ DETAIL INPUT'!AQ53</f>
        <v>-63</v>
      </c>
      <c r="AQ54" s="134">
        <f>'ADJ DETAIL INPUT'!AR53</f>
        <v>-37.379999999999995</v>
      </c>
      <c r="AR54" s="134">
        <f>'ADJ DETAIL INPUT'!AS53</f>
        <v>-31.5</v>
      </c>
      <c r="AS54" s="134">
        <f>'ADJ DETAIL INPUT'!AT53</f>
        <v>-450.65999999999997</v>
      </c>
      <c r="AT54" s="134">
        <f>'ADJ DETAIL INPUT'!AU53</f>
        <v>112.91847</v>
      </c>
      <c r="AU54" s="134">
        <f>'ADJ DETAIL INPUT'!AY53</f>
        <v>0</v>
      </c>
      <c r="AV54" s="134">
        <f>'ADJ DETAIL INPUT'!AZ53</f>
        <v>22.05</v>
      </c>
      <c r="AW54" s="134">
        <f>'ADJ DETAIL INPUT'!BA53</f>
        <v>-123.52200000000001</v>
      </c>
      <c r="AX54" s="134">
        <f>'ADJ DETAIL INPUT'!BB53</f>
        <v>-10.92</v>
      </c>
      <c r="AY54" s="134">
        <f>'ADJ DETAIL INPUT'!BC53</f>
        <v>-6.09</v>
      </c>
      <c r="AZ54" s="134">
        <f>'ADJ DETAIL INPUT'!BD53</f>
        <v>13.65</v>
      </c>
      <c r="BA54" s="134">
        <f>'ADJ DETAIL INPUT'!BE53</f>
        <v>-72.546809999999994</v>
      </c>
      <c r="BB54" s="134">
        <f>'ADJ DETAIL INPUT'!BF53</f>
        <v>-362.03999999999996</v>
      </c>
      <c r="BC54" s="134">
        <f>'ADJ DETAIL INPUT'!BG53</f>
        <v>40.50459</v>
      </c>
      <c r="BD54" s="134" t="e">
        <f>'ADJ DETAIL INPUT'!#REF!</f>
        <v>#REF!</v>
      </c>
    </row>
    <row r="55" spans="1:56">
      <c r="A55" s="116">
        <v>28</v>
      </c>
      <c r="B55" s="118" t="s">
        <v>170</v>
      </c>
      <c r="D55" s="118"/>
      <c r="E55" s="134">
        <f>'ADJ DETAIL INPUT'!E54</f>
        <v>0</v>
      </c>
      <c r="F55" s="134">
        <f>'ADJ DETAIL INPUT'!F54</f>
        <v>-3.0493049999999999</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-103.21168830000001</v>
      </c>
      <c r="AN55" s="134">
        <f>'ADJ DETAIL INPUT'!AO54</f>
        <v>0</v>
      </c>
      <c r="AO55" s="134">
        <f>'ADJ DETAIL INPUT'!AP54</f>
        <v>-137.04224309999998</v>
      </c>
      <c r="AP55" s="134">
        <f>'ADJ DETAIL INPUT'!AQ54</f>
        <v>0</v>
      </c>
      <c r="AQ55" s="134">
        <f>'ADJ DETAIL INPUT'!AR54</f>
        <v>0</v>
      </c>
      <c r="AR55" s="134">
        <f>'ADJ DETAIL INPUT'!AS54</f>
        <v>0</v>
      </c>
      <c r="AS55" s="134">
        <f>'ADJ DETAIL INPUT'!AT54</f>
        <v>-15.536343900000002</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-92.180220300000002</v>
      </c>
      <c r="BC55" s="134">
        <f>'ADJ DETAIL INPUT'!BG54</f>
        <v>0</v>
      </c>
      <c r="BD55" s="134" t="e">
        <f>'ADJ DETAIL INPUT'!#REF!</f>
        <v>#REF!</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t="e">
        <f>'ADJ DETAIL INPUT'!#REF!</f>
        <v>#REF!</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t="e">
        <f>'ADJ DETAIL INPUT'!#REF!</f>
        <v>#REF!</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 thickBot="1">
      <c r="A59" s="116">
        <v>31</v>
      </c>
      <c r="B59" s="117" t="s">
        <v>58</v>
      </c>
      <c r="E59" s="203">
        <f>E51-SUM(E54:E57)</f>
        <v>36392</v>
      </c>
      <c r="F59" s="203">
        <f t="shared" ref="F59:R59" si="59">F51-SUM(F54:F57)</f>
        <v>3.0493049999999999</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328.64</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-1471.2170000000001</v>
      </c>
      <c r="AD59" s="203">
        <f t="shared" si="62"/>
        <v>-27.65</v>
      </c>
      <c r="AE59" s="203">
        <f t="shared" si="62"/>
        <v>1292.6770000000001</v>
      </c>
      <c r="AF59" s="203">
        <f t="shared" ref="AF59" si="63">AF51-SUM(AF54:AF57)</f>
        <v>-291.35199999999998</v>
      </c>
      <c r="AG59" s="203">
        <f t="shared" si="62"/>
        <v>-61.620000000000005</v>
      </c>
      <c r="AH59" s="203">
        <f t="shared" si="62"/>
        <v>-89.198110000000014</v>
      </c>
      <c r="AI59" s="203">
        <f t="shared" si="62"/>
        <v>-683.35</v>
      </c>
      <c r="AJ59" s="203">
        <f t="shared" si="62"/>
        <v>-472.42</v>
      </c>
      <c r="AK59" s="203">
        <f t="shared" si="62"/>
        <v>-16.274000000000001</v>
      </c>
      <c r="AL59" s="203">
        <f t="shared" si="62"/>
        <v>-176.50416999999999</v>
      </c>
      <c r="AM59" s="203">
        <f t="shared" si="62"/>
        <v>-915.09831170000007</v>
      </c>
      <c r="AN59" s="203">
        <f t="shared" ref="AN59:AO59" si="64">AN51-SUM(AN54:AN57)</f>
        <v>712.73800000000006</v>
      </c>
      <c r="AO59" s="203">
        <f t="shared" si="64"/>
        <v>-1730.5177569</v>
      </c>
      <c r="AP59" s="203">
        <f t="shared" ref="AP59" si="65">AP51-SUM(AP54:AP57)</f>
        <v>-237</v>
      </c>
      <c r="AQ59" s="203">
        <f t="shared" si="62"/>
        <v>-140.62</v>
      </c>
      <c r="AR59" s="203">
        <f t="shared" si="62"/>
        <v>-118.5</v>
      </c>
      <c r="AS59" s="203">
        <f t="shared" si="62"/>
        <v>-1679.8036560999999</v>
      </c>
      <c r="AT59" s="203">
        <f t="shared" si="62"/>
        <v>424.78852999999998</v>
      </c>
      <c r="AU59" s="203">
        <f t="shared" ref="AU59" si="66">AU51-SUM(AU54:AU57)</f>
        <v>0</v>
      </c>
      <c r="AV59" s="203">
        <f t="shared" si="62"/>
        <v>78.373344000000003</v>
      </c>
      <c r="AW59" s="203">
        <f t="shared" si="62"/>
        <v>-464.67800000000005</v>
      </c>
      <c r="AX59" s="203">
        <f t="shared" si="62"/>
        <v>-41.08</v>
      </c>
      <c r="AY59" s="203">
        <f t="shared" si="62"/>
        <v>-22.91</v>
      </c>
      <c r="AZ59" s="203">
        <f t="shared" si="62"/>
        <v>51.35</v>
      </c>
      <c r="BA59" s="203">
        <f t="shared" si="62"/>
        <v>-272.91419000000002</v>
      </c>
      <c r="BB59" s="203">
        <f t="shared" si="62"/>
        <v>-1269.7797797000001</v>
      </c>
      <c r="BC59" s="203">
        <f t="shared" si="62"/>
        <v>152.37441000000001</v>
      </c>
      <c r="BD59" s="203" t="e">
        <f t="shared" si="62"/>
        <v>#REF!</v>
      </c>
    </row>
    <row r="60" spans="1:56" ht="12"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797</v>
      </c>
      <c r="AN63" s="171">
        <f>'ADJ DETAIL INPUT'!AO62</f>
        <v>0</v>
      </c>
      <c r="AO63" s="171">
        <f>'ADJ DETAIL INPUT'!AP62</f>
        <v>1522</v>
      </c>
      <c r="AP63" s="171">
        <f>'ADJ DETAIL INPUT'!AQ62</f>
        <v>0</v>
      </c>
      <c r="AQ63" s="171">
        <f>'ADJ DETAIL INPUT'!AR62</f>
        <v>0</v>
      </c>
      <c r="AR63" s="171">
        <f>'ADJ DETAIL INPUT'!AS62</f>
        <v>0</v>
      </c>
      <c r="AS63" s="171">
        <f>'ADJ DETAIL INPUT'!AT62</f>
        <v>754</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t="e">
        <f>'ADJ DETAIL INPUT'!#REF!</f>
        <v>#REF!</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23831</v>
      </c>
      <c r="AN64" s="134">
        <f>'ADJ DETAIL INPUT'!AO63</f>
        <v>0</v>
      </c>
      <c r="AO64" s="134">
        <f>'ADJ DETAIL INPUT'!AP63</f>
        <v>36634</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32044</v>
      </c>
      <c r="BC64" s="134">
        <f>'ADJ DETAIL INPUT'!BG63</f>
        <v>0</v>
      </c>
      <c r="BD64" s="134" t="e">
        <f>'ADJ DETAIL INPUT'!#REF!</f>
        <v>#REF!</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835</v>
      </c>
      <c r="AN65" s="135">
        <f>'ADJ DETAIL INPUT'!AO64</f>
        <v>0</v>
      </c>
      <c r="AO65" s="135">
        <f>'ADJ DETAIL INPUT'!AP64</f>
        <v>5859</v>
      </c>
      <c r="AP65" s="135">
        <f>'ADJ DETAIL INPUT'!AQ64</f>
        <v>0</v>
      </c>
      <c r="AQ65" s="135">
        <f>'ADJ DETAIL INPUT'!AR64</f>
        <v>0</v>
      </c>
      <c r="AR65" s="135">
        <f>'ADJ DETAIL INPUT'!AS64</f>
        <v>0</v>
      </c>
      <c r="AS65" s="135">
        <f>'ADJ DETAIL INPUT'!AT64</f>
        <v>1128</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2720</v>
      </c>
      <c r="BC65" s="135">
        <f>'ADJ DETAIL INPUT'!BG64</f>
        <v>0</v>
      </c>
      <c r="BD65" s="135" t="e">
        <f>'ADJ DETAIL INPUT'!#REF!</f>
        <v>#REF!</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25463</v>
      </c>
      <c r="AN66" s="134">
        <f t="shared" ref="AN66:AO66" si="72">SUM(AN63:AN65)</f>
        <v>0</v>
      </c>
      <c r="AO66" s="134">
        <f t="shared" si="72"/>
        <v>44015</v>
      </c>
      <c r="AP66" s="134">
        <f t="shared" ref="AP66" si="73">SUM(AP63:AP65)</f>
        <v>0</v>
      </c>
      <c r="AQ66" s="134">
        <f t="shared" si="70"/>
        <v>0</v>
      </c>
      <c r="AR66" s="134">
        <f t="shared" si="70"/>
        <v>0</v>
      </c>
      <c r="AS66" s="134">
        <f t="shared" si="70"/>
        <v>16629</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36270</v>
      </c>
      <c r="BC66" s="134">
        <f t="shared" si="70"/>
        <v>0</v>
      </c>
      <c r="BD66" s="134" t="e">
        <f t="shared" si="70"/>
        <v>#REF!</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-264.5</v>
      </c>
      <c r="AN69" s="134">
        <f>'ADJ DETAIL INPUT'!AO68</f>
        <v>0</v>
      </c>
      <c r="AO69" s="134">
        <f>'ADJ DETAIL INPUT'!AP68</f>
        <v>-534.20000000000005</v>
      </c>
      <c r="AP69" s="134">
        <f>'ADJ DETAIL INPUT'!AQ68</f>
        <v>0</v>
      </c>
      <c r="AQ69" s="134">
        <f>'ADJ DETAIL INPUT'!AR68</f>
        <v>0</v>
      </c>
      <c r="AR69" s="134">
        <f>'ADJ DETAIL INPUT'!AS68</f>
        <v>0</v>
      </c>
      <c r="AS69" s="134">
        <f>'ADJ DETAIL INPUT'!AT68</f>
        <v>-278</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-570</v>
      </c>
      <c r="BC69" s="134">
        <f>'ADJ DETAIL INPUT'!BG68</f>
        <v>0</v>
      </c>
      <c r="BD69" s="134" t="e">
        <f>'ADJ DETAIL INPUT'!#REF!</f>
        <v>#REF!</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-7018.6</v>
      </c>
      <c r="AN70" s="134">
        <f>'ADJ DETAIL INPUT'!AO69</f>
        <v>0</v>
      </c>
      <c r="AO70" s="134">
        <f>'ADJ DETAIL INPUT'!AP69</f>
        <v>-15138.5</v>
      </c>
      <c r="AP70" s="134">
        <f>'ADJ DETAIL INPUT'!AQ69</f>
        <v>0</v>
      </c>
      <c r="AQ70" s="134">
        <f>'ADJ DETAIL INPUT'!AR69</f>
        <v>0</v>
      </c>
      <c r="AR70" s="134">
        <f>'ADJ DETAIL INPUT'!AS69</f>
        <v>0</v>
      </c>
      <c r="AS70" s="134">
        <f>'ADJ DETAIL INPUT'!AT69</f>
        <v>-8194</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-16810</v>
      </c>
      <c r="BC70" s="134">
        <f>'ADJ DETAIL INPUT'!BG69</f>
        <v>0</v>
      </c>
      <c r="BD70" s="134" t="e">
        <f>'ADJ DETAIL INPUT'!#REF!</f>
        <v>#REF!</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346</v>
      </c>
      <c r="AN71" s="135">
        <f>'ADJ DETAIL INPUT'!AO70</f>
        <v>0</v>
      </c>
      <c r="AO71" s="135">
        <f>'ADJ DETAIL INPUT'!AP70</f>
        <v>-2995</v>
      </c>
      <c r="AP71" s="135">
        <f>'ADJ DETAIL INPUT'!AQ70</f>
        <v>0</v>
      </c>
      <c r="AQ71" s="135">
        <f>'ADJ DETAIL INPUT'!AR70</f>
        <v>0</v>
      </c>
      <c r="AR71" s="135">
        <f>'ADJ DETAIL INPUT'!AS70</f>
        <v>0</v>
      </c>
      <c r="AS71" s="135">
        <f>'ADJ DETAIL INPUT'!AT70</f>
        <v>-3713.2999999999997</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-1691.1</v>
      </c>
      <c r="BC71" s="135">
        <f>'ADJ DETAIL INPUT'!BG70</f>
        <v>0</v>
      </c>
      <c r="BD71" s="135" t="e">
        <f>'ADJ DETAIL INPUT'!#REF!</f>
        <v>#REF!</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-6937.1</v>
      </c>
      <c r="AN72" s="137">
        <f t="shared" ref="AN72:AO72" si="80">SUM(AN69:AN71)</f>
        <v>0</v>
      </c>
      <c r="AO72" s="137">
        <f t="shared" si="80"/>
        <v>-18667.7</v>
      </c>
      <c r="AP72" s="137">
        <f t="shared" ref="AP72" si="81">SUM(AP69:AP71)</f>
        <v>0</v>
      </c>
      <c r="AQ72" s="137">
        <f t="shared" si="78"/>
        <v>0</v>
      </c>
      <c r="AR72" s="137">
        <f t="shared" si="78"/>
        <v>0</v>
      </c>
      <c r="AS72" s="137">
        <f t="shared" si="78"/>
        <v>-12185.3</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-19071.099999999999</v>
      </c>
      <c r="BC72" s="137">
        <f t="shared" si="78"/>
        <v>0</v>
      </c>
      <c r="BD72" s="137" t="e">
        <f t="shared" si="78"/>
        <v>#REF!</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18525.900000000001</v>
      </c>
      <c r="AN73" s="138">
        <f t="shared" ref="AN73:AO73" si="88">AN66+AN72</f>
        <v>0</v>
      </c>
      <c r="AO73" s="138">
        <f t="shared" si="88"/>
        <v>25347.3</v>
      </c>
      <c r="AP73" s="138">
        <f t="shared" ref="AP73" si="89">AP66+AP72</f>
        <v>0</v>
      </c>
      <c r="AQ73" s="138">
        <f t="shared" si="86"/>
        <v>0</v>
      </c>
      <c r="AR73" s="138">
        <f t="shared" si="86"/>
        <v>0</v>
      </c>
      <c r="AS73" s="138">
        <f t="shared" si="86"/>
        <v>4443.7000000000007</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17198.900000000001</v>
      </c>
      <c r="BC73" s="138">
        <f t="shared" si="86"/>
        <v>0</v>
      </c>
      <c r="BD73" s="138" t="e">
        <f t="shared" si="86"/>
        <v>#REF!</v>
      </c>
    </row>
    <row r="74" spans="1:56" s="121" customFormat="1" ht="19.149999999999999" customHeight="1">
      <c r="A74" s="119">
        <v>41</v>
      </c>
      <c r="B74" s="120" t="s">
        <v>193</v>
      </c>
      <c r="C74" s="120"/>
      <c r="D74" s="120"/>
      <c r="E74" s="135">
        <f>'ADJ DETAIL INPUT'!E73</f>
        <v>-84772</v>
      </c>
      <c r="F74" s="135">
        <f>'ADJ DETAIL INPUT'!F73</f>
        <v>565</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598</v>
      </c>
      <c r="AN74" s="135">
        <f>'ADJ DETAIL INPUT'!AO73</f>
        <v>0</v>
      </c>
      <c r="AO74" s="135">
        <f>'ADJ DETAIL INPUT'!AP73</f>
        <v>45</v>
      </c>
      <c r="AP74" s="135">
        <f>'ADJ DETAIL INPUT'!AQ73</f>
        <v>0</v>
      </c>
      <c r="AQ74" s="135">
        <f>'ADJ DETAIL INPUT'!AR73</f>
        <v>0</v>
      </c>
      <c r="AR74" s="135">
        <f>'ADJ DETAIL INPUT'!AS73</f>
        <v>0</v>
      </c>
      <c r="AS74" s="135">
        <f>'ADJ DETAIL INPUT'!AT73</f>
        <v>-1565</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-119</v>
      </c>
      <c r="BC74" s="135">
        <f>'ADJ DETAIL INPUT'!BG73</f>
        <v>0</v>
      </c>
      <c r="BD74" s="135" t="e">
        <f>'ADJ DETAIL INPUT'!#REF!</f>
        <v>#REF!</v>
      </c>
    </row>
    <row r="75" spans="1:56" s="121" customFormat="1" ht="19.149999999999999" customHeight="1">
      <c r="A75" s="119">
        <v>42</v>
      </c>
      <c r="B75" s="120" t="s">
        <v>191</v>
      </c>
      <c r="C75" s="120"/>
      <c r="D75" s="120"/>
      <c r="E75" s="138">
        <f>E73+E74</f>
        <v>497887.39999999991</v>
      </c>
      <c r="F75" s="138">
        <f t="shared" ref="F75:R75" si="91">F73+F74</f>
        <v>565</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19123.900000000001</v>
      </c>
      <c r="AN75" s="138">
        <f t="shared" ref="AN75:AO75" si="96">AN73+AN74</f>
        <v>0</v>
      </c>
      <c r="AO75" s="138">
        <f t="shared" si="96"/>
        <v>25392.3</v>
      </c>
      <c r="AP75" s="138">
        <f t="shared" ref="AP75" si="97">AP73+AP74</f>
        <v>0</v>
      </c>
      <c r="AQ75" s="138">
        <f t="shared" si="94"/>
        <v>0</v>
      </c>
      <c r="AR75" s="138">
        <f t="shared" si="94"/>
        <v>0</v>
      </c>
      <c r="AS75" s="138">
        <f t="shared" si="94"/>
        <v>2878.7000000000007</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17079.900000000001</v>
      </c>
      <c r="BC75" s="138">
        <f t="shared" si="94"/>
        <v>0</v>
      </c>
      <c r="BD75" s="138" t="e">
        <f t="shared" si="94"/>
        <v>#REF!</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t="e">
        <f>'ADJ DETAIL INPUT'!#REF!</f>
        <v>#REF!</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t="e">
        <f>'ADJ DETAIL INPUT'!#REF!</f>
        <v>#REF!</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t="e">
        <f>'ADJ DETAIL INPUT'!#REF!</f>
        <v>#REF!</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t="e">
        <f>'ADJ DETAIL INPUT'!#REF!</f>
        <v>#REF!</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 thickBot="1">
      <c r="A82" s="98">
        <v>47</v>
      </c>
      <c r="B82" s="202" t="s">
        <v>67</v>
      </c>
      <c r="E82" s="204">
        <f>E75+E76+E77+E79+E78</f>
        <v>533429.39999999991</v>
      </c>
      <c r="F82" s="204">
        <f t="shared" ref="F82:R82" si="99">F75+F76+F77+F79+F78</f>
        <v>565</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19123.900000000001</v>
      </c>
      <c r="AN82" s="204">
        <f t="shared" ref="AN82:AO82" si="104">AN75+AN76+AN77+AN79+AN78</f>
        <v>0</v>
      </c>
      <c r="AO82" s="204">
        <f t="shared" si="104"/>
        <v>25392.3</v>
      </c>
      <c r="AP82" s="204">
        <f t="shared" ref="AP82" si="105">AP75+AP76+AP77+AP79+AP78</f>
        <v>0</v>
      </c>
      <c r="AQ82" s="204">
        <f t="shared" si="102"/>
        <v>0</v>
      </c>
      <c r="AR82" s="204">
        <f t="shared" si="102"/>
        <v>0</v>
      </c>
      <c r="AS82" s="204">
        <f t="shared" si="102"/>
        <v>2878.7000000000007</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17079.900000000001</v>
      </c>
      <c r="BC82" s="204">
        <f t="shared" si="102"/>
        <v>0</v>
      </c>
      <c r="BD82" s="204" t="e">
        <f t="shared" si="102"/>
        <v>#REF!</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29C35809-682E-4BAA-93EF-3401AA24B541}"/>
</file>

<file path=customXml/itemProps2.xml><?xml version="1.0" encoding="utf-8"?>
<ds:datastoreItem xmlns:ds="http://schemas.openxmlformats.org/officeDocument/2006/customXml" ds:itemID="{81E86448-FAB0-406C-9D47-20EA5EDDF1D8}"/>
</file>

<file path=customXml/itemProps3.xml><?xml version="1.0" encoding="utf-8"?>
<ds:datastoreItem xmlns:ds="http://schemas.openxmlformats.org/officeDocument/2006/customXml" ds:itemID="{78050215-707D-4DFA-B12D-01F68B8B0B6F}"/>
</file>

<file path=customXml/itemProps4.xml><?xml version="1.0" encoding="utf-8"?>
<ds:datastoreItem xmlns:ds="http://schemas.openxmlformats.org/officeDocument/2006/customXml" ds:itemID="{5207C830-C787-41B2-BD98-3A28844F6C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16</vt:i4>
      </vt:variant>
    </vt:vector>
  </HeadingPairs>
  <TitlesOfParts>
    <vt:vector size="62"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G-PC Adj. Investor Relations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Schultz, Kaylene</cp:lastModifiedBy>
  <cp:lastPrinted>2024-01-04T17:48:09Z</cp:lastPrinted>
  <dcterms:created xsi:type="dcterms:W3CDTF">1997-05-15T21:41:44Z</dcterms:created>
  <dcterms:modified xsi:type="dcterms:W3CDTF">2024-08-15T05:10:26Z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