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haredStrings.xml" ContentType="application/vnd.openxmlformats-officedocument.spreadsheetml.sharedStrings+xml"/>
  <Override PartName="/xl/worksheets/sheet12.xml" ContentType="application/vnd.openxmlformats-officedocument.spreadsheetml.worksheet+xml"/>
  <Override PartName="/xl/worksheets/sheet10.xml" ContentType="application/vnd.openxmlformats-officedocument.spreadsheetml.worksheet+xml"/>
  <Override PartName="/xl/worksheets/sheet5.xml" ContentType="application/vnd.openxmlformats-officedocument.spreadsheetml.worksheet+xml"/>
  <Override PartName="/xl/worksheets/sheet11.xml" ContentType="application/vnd.openxmlformats-officedocument.spreadsheetml.worksheet+xml"/>
  <Override PartName="/xl/worksheets/sheet6.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docProps/custom.xml" ContentType="application/vnd.openxmlformats-officedocument.custom-properties+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24226"/>
  <mc:AlternateContent xmlns:mc="http://schemas.openxmlformats.org/markup-compatibility/2006">
    <mc:Choice Requires="x15">
      <x15ac:absPath xmlns:x15ac="http://schemas.microsoft.com/office/spreadsheetml/2010/11/ac" url="Z:\(03200-03299) - Projects\03236 - Cascade 2015 Washington Rate Filing\Testimony\Direct Exhibits\10.30.15 Update\"/>
    </mc:Choice>
  </mc:AlternateContent>
  <bookViews>
    <workbookView xWindow="0" yWindow="0" windowWidth="28800" windowHeight="12435" tabRatio="828" firstSheet="1" activeTab="1"/>
  </bookViews>
  <sheets>
    <sheet name="__snloffice" sheetId="28" state="veryHidden" r:id="rId1"/>
    <sheet name="Sched 1 Econ Stats" sheetId="14" r:id="rId2"/>
    <sheet name="Sched 1 Bond Yields" sheetId="23" r:id="rId3"/>
    <sheet name="Sched 2 Flot Cost" sheetId="13" r:id="rId4"/>
    <sheet name="Sched 3 Size" sheetId="10" r:id="rId5"/>
    <sheet name="Sched 3 Credit Ratings" sheetId="2" r:id="rId6"/>
    <sheet name="Sched 4 Div Yld" sheetId="3" r:id="rId7"/>
    <sheet name="Sched 4 Ret Growth" sheetId="4" r:id="rId8"/>
    <sheet name="Sched 4 Earnings Growth" sheetId="5" r:id="rId9"/>
    <sheet name="Sched 4 Blended Growth" sheetId="24" r:id="rId10"/>
    <sheet name="Sched 4 DCF Retention" sheetId="18" r:id="rId11"/>
    <sheet name="Sched 4 DCF Basic" sheetId="7" r:id="rId12"/>
    <sheet name="Sched 4 DCF Blended" sheetId="6" r:id="rId13"/>
    <sheet name="Sched 5 Market DCF" sheetId="19" r:id="rId14"/>
    <sheet name="Sched 6 Beta" sheetId="27" r:id="rId15"/>
    <sheet name="Sched 7 Decoupling" sheetId="26" r:id="rId16"/>
    <sheet name="Sched 8 Capital Structure" sheetId="16" r:id="rId17"/>
  </sheets>
  <externalReferences>
    <externalReference r:id="rId18"/>
  </externalReferences>
  <definedNames>
    <definedName name="_Fill" localSheetId="9" hidden="1">#REF!</definedName>
    <definedName name="_Fill" localSheetId="10" hidden="1">#REF!</definedName>
    <definedName name="_Fill" localSheetId="14" hidden="1">#REF!</definedName>
    <definedName name="_Fill" localSheetId="15" hidden="1">#REF!</definedName>
    <definedName name="_Fill" localSheetId="16" hidden="1">#REF!</definedName>
    <definedName name="_Fill" hidden="1">#REF!</definedName>
    <definedName name="_Key1" hidden="1">#REF!</definedName>
    <definedName name="_Key11" hidden="1">#REF!</definedName>
    <definedName name="_Key2" hidden="1">#REF!</definedName>
    <definedName name="_Order1" hidden="1">255</definedName>
    <definedName name="_Order2" hidden="1">255</definedName>
    <definedName name="_Regression_Int" hidden="1">1</definedName>
    <definedName name="_Regression_Out" hidden="1">#REF!</definedName>
    <definedName name="_Regression_X" hidden="1">#REF!</definedName>
    <definedName name="_Regression_Y" hidden="1">#REF!</definedName>
    <definedName name="_Sort" hidden="1">#REF!</definedName>
    <definedName name="cover" hidden="1">#REF!</definedName>
    <definedName name="Credit_Rating" localSheetId="2">#REF!</definedName>
    <definedName name="Credit_Rating" localSheetId="9">#REF!</definedName>
    <definedName name="Credit_Rating" localSheetId="15">#REF!</definedName>
    <definedName name="Credit_Rating">#REF!</definedName>
    <definedName name="Credit_Rating_Ticker" localSheetId="2">#REF!</definedName>
    <definedName name="Credit_Rating_Ticker" localSheetId="9">#REF!</definedName>
    <definedName name="Credit_Rating_Ticker">#REF!</definedName>
    <definedName name="Dividend" localSheetId="2">#REF!</definedName>
    <definedName name="Dividend" localSheetId="9">#REF!</definedName>
    <definedName name="Dividend">#REF!</definedName>
    <definedName name="Dividend_Ticker" localSheetId="2">#REF!</definedName>
    <definedName name="Dividend_Ticker" localSheetId="9">#REF!</definedName>
    <definedName name="Dividend_Ticker">#REF!</definedName>
    <definedName name="DIVIDENDS" localSheetId="9">#REF!</definedName>
    <definedName name="DIVIDENDS">#REF!</definedName>
    <definedName name="EV__LASTREFTIME__" hidden="1">39198.5712152778</definedName>
    <definedName name="f" hidden="1">#REF!</definedName>
    <definedName name="ff" hidden="1">#REF!</definedName>
    <definedName name="fffff" hidden="1">#REF!</definedName>
    <definedName name="fffffffffffffffffffff" hidden="1">#REF!</definedName>
    <definedName name="Inputs_Group" localSheetId="2">#REF!</definedName>
    <definedName name="Inputs_Group" localSheetId="9">#REF!</definedName>
    <definedName name="Inputs_Group">#REF!</definedName>
    <definedName name="Inputs_Ticker" localSheetId="2">#REF!</definedName>
    <definedName name="Inputs_Ticker" localSheetId="9">#REF!</definedName>
    <definedName name="Inputs_Ticker">#REF!</definedName>
    <definedName name="IQ_ADDIN" hidden="1">"AUTO"</definedName>
    <definedName name="IQ_CH" hidden="1">110000</definedName>
    <definedName name="IQ_CQ" hidden="1">5000</definedName>
    <definedName name="IQ_CY" hidden="1">10000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MONTH" hidden="1">15000</definedName>
    <definedName name="IQ_NAMES_REVISION_DATE_" hidden="1">40164.5046875</definedName>
    <definedName name="IQ_NTM" hidden="1">6000</definedName>
    <definedName name="IQ_TODAY" hidden="1">0</definedName>
    <definedName name="IQ_WEEK" hidden="1">50000</definedName>
    <definedName name="IQ_YTD" hidden="1">3000</definedName>
    <definedName name="l" hidden="1">#REF!</definedName>
    <definedName name="_xlnm.Print_Area" localSheetId="2">'Sched 1 Bond Yields'!$A$1:$H$97</definedName>
    <definedName name="_xlnm.Print_Area" localSheetId="1">'Sched 1 Econ Stats'!$A$1:$F$59</definedName>
    <definedName name="_xlnm.Print_Area" localSheetId="3">'Sched 2 Flot Cost'!$A$1:$F$45</definedName>
    <definedName name="_xlnm.Print_Area" localSheetId="5">'Sched 3 Credit Ratings'!$A$1:$D$25</definedName>
    <definedName name="_xlnm.Print_Area" localSheetId="4">'Sched 3 Size'!$A$1:$I$30</definedName>
    <definedName name="_xlnm.Print_Area" localSheetId="9">'Sched 4 Blended Growth'!$A$1:$E$20</definedName>
    <definedName name="_xlnm.Print_Area" localSheetId="8">'Sched 4 Earnings Growth'!$A$1:$E$20</definedName>
    <definedName name="_xlnm.Print_Area" localSheetId="7">'Sched 4 Ret Growth'!$A$1:$G$20</definedName>
    <definedName name="_xlnm.Print_Area" localSheetId="13">'Sched 5 Market DCF'!$A$1:$K$535</definedName>
    <definedName name="_xlnm.Print_Area" localSheetId="14">'Sched 6 Beta'!$A$1:$F$19</definedName>
    <definedName name="_xlnm.Print_Area" localSheetId="15">'Sched 7 Decoupling'!$A$1:$G$38</definedName>
    <definedName name="_xlnm.Print_Area" localSheetId="16">'Sched 8 Capital Structure'!$A$1:$L$22</definedName>
    <definedName name="_xlnm.Print_Titles" localSheetId="2">'Sched 1 Bond Yields'!$1:$11</definedName>
    <definedName name="_xlnm.Print_Titles" localSheetId="3">'Sched 2 Flot Cost'!$1:$7</definedName>
    <definedName name="_xlnm.Print_Titles" localSheetId="6">'Sched 4 Div Yld'!$1:$24</definedName>
    <definedName name="_xlnm.Print_Titles" localSheetId="13">'Sched 5 Market DCF'!$1:$13</definedName>
    <definedName name="S" hidden="1">#REF!</definedName>
    <definedName name="wrn.MFR." hidden="1">{#N/A,#N/A,FALSE,"Index";#N/A,#N/A,FALSE,"SCH_B1";#N/A,#N/A,FALSE,"SCH_B2";#N/A,#N/A,FALSE,"SCH_B2.1";#N/A,#N/A,FALSE,"SCH_B2.2";#N/A,#N/A,FALSE,"SCH_B2.3";#N/A,#N/A,FALSE,"SCH_B2.4";#N/A,#N/A,FALSE,"SCH_B3";#N/A,#N/A,FALSE,"SCH_B3.1";#N/A,#N/A,FALSE,"SCH_C1-a";#N/A,#N/A,FALSE,"SCH_C2";#N/A,#N/A,FALSE,"SCH_C2.1";#N/A,#N/A,FALSE,"SCH_D1A";#N/A,#N/A,FALSE,"SCH_D2";#N/A,#N/A,FALSE,"SCH_D2.1";#N/A,#N/A,FALSE,"SCH_E1";#N/A,#N/A,FALSE,"SCH_F1";#N/A,#N/A,FALSE,"SCH_F-2";#N/A,#N/A,FALSE,"SCH_F-3";#N/A,#N/A,FALSE,"SCH_H1";#N/A,#N/A,FALSE,"SCH_H2";#N/A,#N/A,FALSE,"SCH_H2.1";#N/A,#N/A,FALSE,"SCH_I1";#N/A,#N/A,FALSE,"SCH_I1a";#N/A,#N/A,FALSE,"SCH_J1";#N/A,#N/A,FALSE,"SCH_J3";#N/A,#N/A,FALSE,"SCH_J4"}</definedName>
    <definedName name="wrn.SUP." hidden="1">{#N/A,#N/A,FALSE,"WP_B5";#N/A,#N/A,FALSE,"WP_B6";#N/A,#N/A,FALSE,"WP_B6.1";#N/A,#N/A,FALSE,"WP_B6.2";#N/A,#N/A,FALSE,"WP_B7";#N/A,#N/A,FALSE,"WP_B8";#N/A,#N/A,FALSE,"WP_B9";#N/A,#N/A,FALSE,"WP_C1";#N/A,#N/A,FALSE,"WP_C1.1";"WP_C1.2.1",#N/A,FALSE,"WP_C1.2";"WP_C1.2.2",#N/A,FALSE,"WP_C1.2";"WP_C1.2.3",#N/A,FALSE,"WP_C1.2";"WP_C1.2.4",#N/A,FALSE,"WP_C1.2";"WP_C1.2.5",#N/A,FALSE,"WP_C1.2";#N/A,#N/A,FALSE,"WP_C4";#N/A,#N/A,FALSE,"WP_C4a";#N/A,#N/A,FALSE,"WP_C4.1";#N/A,#N/A,FALSE,"WP_C4.2";#N/A,#N/A,FALSE,"WP_C4.3";#N/A,#N/A,FALSE,"WP_C5";#N/A,#N/A,FALSE,"WP_C7";#N/A,#N/A,FALSE,"WP_C8";#N/A,#N/A,FALSE,"WP_C9";#N/A,#N/A,FALSE,"WP_C10";#N/A,#N/A,FALSE,"WP_C11";#N/A,#N/A,FALSE,"WP_C12";#N/A,#N/A,FALSE,"WP_C13";#N/A,#N/A,FALSE,"WP_C14";"WP_D1.1",#N/A,FALSE,"WP_D1";"WP_D1.2",#N/A,FALSE,"WP_D1";"WP_D1.3",#N/A,FALSE,"WP_D1";"WP_D1.4",#N/A,FALSE,"WP_D1";"WP_D1.5",#N/A,FALSE,"WP_D1";#N/A,#N/A,FALSE,"WP_E1 ";#N/A,#N/A,FALSE,"WP_E1.1";#N/A,#N/A,FALSE,"WP_E2";#N/A,#N/A,FALSE,"WP_E3";#N/A,#N/A,FALSE,"WP_E4";#N/A,#N/A,FALSE,"WP_F1";#N/A,#N/A,FALSE,"WP_F-2";#N/A,#N/A,FALSE,"WP_F-2-1";#N/A,#N/A,FALSE,"WP_F-2-2";#N/A,#N/A,FALSE,"WP_F-3";#N/A,#N/A,FALSE,"WP_F-3-1";#N/A,#N/A,FALSE,"WP_F-3-2";#N/A,#N/A,FALSE,"WP_F-4";#N/A,#N/A,FALSE,"WP_F-4.1";#N/A,#N/A,FALSE,"WP_F-4.2";#N/A,#N/A,FALSE,"WP_F-5";#N/A,#N/A,FALSE,"WP_F-6";#N/A,#N/A,FALSE,"WP_F-7"}</definedName>
    <definedName name="X" hidden="1">#REF!</definedName>
    <definedName name="Y" hidden="1">#REF!</definedName>
    <definedName name="Z" hidden="1">#REF!</definedName>
  </definedNames>
  <calcPr calcId="152511"/>
</workbook>
</file>

<file path=xl/calcChain.xml><?xml version="1.0" encoding="utf-8"?>
<calcChain xmlns="http://schemas.openxmlformats.org/spreadsheetml/2006/main">
  <c r="F47" i="14" l="1"/>
  <c r="E47" i="14"/>
  <c r="E46" i="14"/>
  <c r="E45" i="14"/>
  <c r="C45" i="14" l="1"/>
  <c r="B45" i="14"/>
  <c r="C16" i="27" l="1"/>
  <c r="F518" i="19"/>
  <c r="F517" i="19"/>
  <c r="F516" i="19"/>
  <c r="F515" i="19"/>
  <c r="F514" i="19"/>
  <c r="F513" i="19"/>
  <c r="F512" i="19"/>
  <c r="F511" i="19"/>
  <c r="F510" i="19"/>
  <c r="F509" i="19"/>
  <c r="F508" i="19"/>
  <c r="F507" i="19"/>
  <c r="F506" i="19"/>
  <c r="F505" i="19"/>
  <c r="F504" i="19"/>
  <c r="F503" i="19"/>
  <c r="F502" i="19"/>
  <c r="F501" i="19"/>
  <c r="F500" i="19"/>
  <c r="F499" i="19"/>
  <c r="F498" i="19"/>
  <c r="F497" i="19"/>
  <c r="F496" i="19"/>
  <c r="F495" i="19"/>
  <c r="F494" i="19"/>
  <c r="F493" i="19"/>
  <c r="F492" i="19"/>
  <c r="F491" i="19"/>
  <c r="F490" i="19"/>
  <c r="F489" i="19"/>
  <c r="F488" i="19"/>
  <c r="F487" i="19"/>
  <c r="F486" i="19"/>
  <c r="F485" i="19"/>
  <c r="F484" i="19"/>
  <c r="F483" i="19"/>
  <c r="F482" i="19"/>
  <c r="F481" i="19"/>
  <c r="F480" i="19"/>
  <c r="F479" i="19"/>
  <c r="F478" i="19"/>
  <c r="F477" i="19"/>
  <c r="F476" i="19"/>
  <c r="F475" i="19"/>
  <c r="F474" i="19"/>
  <c r="F473" i="19"/>
  <c r="F472" i="19"/>
  <c r="F471" i="19"/>
  <c r="F470" i="19"/>
  <c r="F469" i="19"/>
  <c r="F468" i="19"/>
  <c r="F467" i="19"/>
  <c r="F466" i="19"/>
  <c r="F465" i="19"/>
  <c r="F464" i="19"/>
  <c r="F463" i="19"/>
  <c r="F462" i="19"/>
  <c r="F461" i="19"/>
  <c r="F460" i="19"/>
  <c r="F459" i="19"/>
  <c r="F458" i="19"/>
  <c r="F457" i="19"/>
  <c r="F456" i="19"/>
  <c r="F455" i="19"/>
  <c r="F454" i="19"/>
  <c r="F453" i="19"/>
  <c r="F452" i="19"/>
  <c r="F451" i="19"/>
  <c r="F450" i="19"/>
  <c r="F449" i="19"/>
  <c r="F448" i="19"/>
  <c r="F447" i="19"/>
  <c r="F446" i="19"/>
  <c r="F445" i="19"/>
  <c r="F444" i="19"/>
  <c r="F443" i="19"/>
  <c r="F442" i="19"/>
  <c r="F441" i="19"/>
  <c r="F440" i="19"/>
  <c r="F439" i="19"/>
  <c r="F438" i="19"/>
  <c r="F437" i="19"/>
  <c r="F436" i="19"/>
  <c r="F435" i="19"/>
  <c r="F434" i="19"/>
  <c r="F433" i="19"/>
  <c r="F432" i="19"/>
  <c r="F431" i="19"/>
  <c r="F430" i="19"/>
  <c r="F429" i="19"/>
  <c r="F428" i="19"/>
  <c r="F427" i="19"/>
  <c r="F426" i="19"/>
  <c r="F425" i="19"/>
  <c r="F424" i="19"/>
  <c r="F423" i="19"/>
  <c r="F422" i="19"/>
  <c r="F421" i="19"/>
  <c r="F420" i="19"/>
  <c r="F419" i="19"/>
  <c r="F418" i="19"/>
  <c r="F417" i="19"/>
  <c r="F416" i="19"/>
  <c r="F415" i="19"/>
  <c r="F414" i="19"/>
  <c r="F413" i="19"/>
  <c r="F412" i="19"/>
  <c r="F411" i="19"/>
  <c r="F410" i="19"/>
  <c r="F409" i="19"/>
  <c r="F408" i="19"/>
  <c r="F407" i="19"/>
  <c r="F406" i="19"/>
  <c r="F405" i="19"/>
  <c r="F404" i="19"/>
  <c r="F403" i="19"/>
  <c r="F402" i="19"/>
  <c r="F401" i="19"/>
  <c r="F400" i="19"/>
  <c r="F399" i="19"/>
  <c r="F398" i="19"/>
  <c r="F397" i="19"/>
  <c r="F396" i="19"/>
  <c r="F395" i="19"/>
  <c r="F394" i="19"/>
  <c r="F393" i="19"/>
  <c r="F392" i="19"/>
  <c r="F391" i="19"/>
  <c r="F390" i="19"/>
  <c r="F389" i="19"/>
  <c r="F388" i="19"/>
  <c r="F387" i="19"/>
  <c r="F386" i="19"/>
  <c r="F385" i="19"/>
  <c r="F384" i="19"/>
  <c r="F383" i="19"/>
  <c r="F382" i="19"/>
  <c r="F381" i="19"/>
  <c r="F380" i="19"/>
  <c r="F379" i="19"/>
  <c r="F378" i="19"/>
  <c r="F377" i="19"/>
  <c r="F376" i="19"/>
  <c r="F375" i="19"/>
  <c r="F374" i="19"/>
  <c r="F373" i="19"/>
  <c r="F372" i="19"/>
  <c r="F371" i="19"/>
  <c r="F370" i="19"/>
  <c r="F369" i="19"/>
  <c r="F368" i="19"/>
  <c r="F367" i="19"/>
  <c r="F366" i="19"/>
  <c r="F365" i="19"/>
  <c r="F364" i="19"/>
  <c r="F363" i="19"/>
  <c r="F362" i="19"/>
  <c r="F361" i="19"/>
  <c r="F360" i="19"/>
  <c r="F359" i="19"/>
  <c r="F358" i="19"/>
  <c r="F357" i="19"/>
  <c r="F356" i="19"/>
  <c r="F355" i="19"/>
  <c r="F354" i="19"/>
  <c r="F353" i="19"/>
  <c r="F352" i="19"/>
  <c r="F351" i="19"/>
  <c r="F350" i="19"/>
  <c r="F349" i="19"/>
  <c r="F348" i="19"/>
  <c r="F347" i="19"/>
  <c r="F346" i="19"/>
  <c r="F345" i="19"/>
  <c r="F344" i="19"/>
  <c r="F343" i="19"/>
  <c r="F342" i="19"/>
  <c r="F341" i="19"/>
  <c r="F340" i="19"/>
  <c r="F339" i="19"/>
  <c r="F338" i="19"/>
  <c r="F337" i="19"/>
  <c r="F336" i="19"/>
  <c r="F335" i="19"/>
  <c r="F334" i="19"/>
  <c r="F333" i="19"/>
  <c r="F332" i="19"/>
  <c r="F331" i="19"/>
  <c r="F330" i="19"/>
  <c r="F329" i="19"/>
  <c r="F328" i="19"/>
  <c r="F327" i="19"/>
  <c r="F326" i="19"/>
  <c r="F325" i="19"/>
  <c r="F324" i="19"/>
  <c r="F323" i="19"/>
  <c r="F322" i="19"/>
  <c r="F321" i="19"/>
  <c r="F320" i="19"/>
  <c r="F319" i="19"/>
  <c r="F318" i="19"/>
  <c r="F317" i="19"/>
  <c r="F316" i="19"/>
  <c r="F315" i="19"/>
  <c r="F314" i="19"/>
  <c r="F313" i="19"/>
  <c r="F312" i="19"/>
  <c r="F311" i="19"/>
  <c r="F310" i="19"/>
  <c r="F309" i="19"/>
  <c r="F308" i="19"/>
  <c r="F307" i="19"/>
  <c r="F306" i="19"/>
  <c r="F305" i="19"/>
  <c r="F304" i="19"/>
  <c r="F303" i="19"/>
  <c r="F302" i="19"/>
  <c r="F301" i="19"/>
  <c r="F300" i="19"/>
  <c r="F299" i="19"/>
  <c r="F298" i="19"/>
  <c r="F297" i="19"/>
  <c r="F296" i="19"/>
  <c r="F295" i="19"/>
  <c r="F294" i="19"/>
  <c r="F293" i="19"/>
  <c r="F292" i="19"/>
  <c r="F291" i="19"/>
  <c r="F290" i="19"/>
  <c r="F289" i="19"/>
  <c r="F288" i="19"/>
  <c r="F287" i="19"/>
  <c r="F286" i="19"/>
  <c r="F285" i="19"/>
  <c r="F284" i="19"/>
  <c r="F283" i="19"/>
  <c r="F282" i="19"/>
  <c r="F281" i="19"/>
  <c r="F280" i="19"/>
  <c r="F279" i="19"/>
  <c r="F278" i="19"/>
  <c r="F277" i="19"/>
  <c r="F276" i="19"/>
  <c r="F275" i="19"/>
  <c r="F274" i="19"/>
  <c r="F273" i="19"/>
  <c r="F272" i="19"/>
  <c r="F271" i="19"/>
  <c r="F270" i="19"/>
  <c r="F269" i="19"/>
  <c r="F268" i="19"/>
  <c r="F267" i="19"/>
  <c r="F266" i="19"/>
  <c r="F265" i="19"/>
  <c r="F264" i="19"/>
  <c r="F263" i="19"/>
  <c r="F262" i="19"/>
  <c r="F261" i="19"/>
  <c r="F260" i="19"/>
  <c r="F259" i="19"/>
  <c r="F258" i="19"/>
  <c r="F257" i="19"/>
  <c r="F256" i="19"/>
  <c r="F255" i="19"/>
  <c r="F254" i="19"/>
  <c r="F253" i="19"/>
  <c r="F252" i="19"/>
  <c r="F251" i="19"/>
  <c r="F250" i="19"/>
  <c r="F249" i="19"/>
  <c r="F248" i="19"/>
  <c r="F247" i="19"/>
  <c r="F246" i="19"/>
  <c r="F245" i="19"/>
  <c r="F244" i="19"/>
  <c r="F243" i="19"/>
  <c r="F242" i="19"/>
  <c r="F241" i="19"/>
  <c r="F240" i="19"/>
  <c r="F239" i="19"/>
  <c r="F238" i="19"/>
  <c r="F237" i="19"/>
  <c r="F236" i="19"/>
  <c r="F235" i="19"/>
  <c r="F234" i="19"/>
  <c r="F233" i="19"/>
  <c r="F232" i="19"/>
  <c r="F231" i="19"/>
  <c r="F230" i="19"/>
  <c r="F229" i="19"/>
  <c r="F228" i="19"/>
  <c r="F227" i="19"/>
  <c r="F226" i="19"/>
  <c r="F225" i="19"/>
  <c r="F224" i="19"/>
  <c r="F223" i="19"/>
  <c r="F222" i="19"/>
  <c r="F221" i="19"/>
  <c r="F220" i="19"/>
  <c r="F219" i="19"/>
  <c r="F218" i="19"/>
  <c r="F217" i="19"/>
  <c r="F216" i="19"/>
  <c r="F215" i="19"/>
  <c r="F214" i="19"/>
  <c r="F213" i="19"/>
  <c r="F212" i="19"/>
  <c r="F211" i="19"/>
  <c r="F210" i="19"/>
  <c r="F209" i="19"/>
  <c r="F208" i="19"/>
  <c r="F207" i="19"/>
  <c r="F206" i="19"/>
  <c r="F205" i="19"/>
  <c r="F204" i="19"/>
  <c r="F203" i="19"/>
  <c r="F202" i="19"/>
  <c r="F201" i="19"/>
  <c r="F200" i="19"/>
  <c r="F199" i="19"/>
  <c r="F198" i="19"/>
  <c r="F197" i="19"/>
  <c r="F196" i="19"/>
  <c r="F195" i="19"/>
  <c r="F194" i="19"/>
  <c r="F193" i="19"/>
  <c r="F192" i="19"/>
  <c r="F191" i="19"/>
  <c r="F190" i="19"/>
  <c r="F189" i="19"/>
  <c r="F188" i="19"/>
  <c r="F187" i="19"/>
  <c r="F186" i="19"/>
  <c r="F185" i="19"/>
  <c r="F184" i="19"/>
  <c r="F183" i="19"/>
  <c r="F182" i="19"/>
  <c r="F181" i="19"/>
  <c r="F180" i="19"/>
  <c r="F179" i="19"/>
  <c r="F178" i="19"/>
  <c r="F177" i="19"/>
  <c r="F176" i="19"/>
  <c r="F175" i="19"/>
  <c r="F174" i="19"/>
  <c r="F173" i="19"/>
  <c r="F172" i="19"/>
  <c r="F171" i="19"/>
  <c r="F170" i="19"/>
  <c r="F169" i="19"/>
  <c r="F168" i="19"/>
  <c r="F167" i="19"/>
  <c r="F166" i="19"/>
  <c r="F165" i="19"/>
  <c r="F164" i="19"/>
  <c r="F163" i="19"/>
  <c r="F162" i="19"/>
  <c r="F161" i="19"/>
  <c r="F160" i="19"/>
  <c r="F159" i="19"/>
  <c r="F158" i="19"/>
  <c r="F157" i="19"/>
  <c r="F156" i="19"/>
  <c r="F155" i="19"/>
  <c r="F154" i="19"/>
  <c r="F153" i="19"/>
  <c r="F152" i="19"/>
  <c r="F151" i="19"/>
  <c r="F150" i="19"/>
  <c r="F149" i="19"/>
  <c r="F148" i="19"/>
  <c r="F147" i="19"/>
  <c r="F146" i="19"/>
  <c r="F145" i="19"/>
  <c r="F144" i="19"/>
  <c r="F143" i="19"/>
  <c r="F142" i="19"/>
  <c r="F141" i="19"/>
  <c r="F140" i="19"/>
  <c r="F139" i="19"/>
  <c r="F138" i="19"/>
  <c r="F137" i="19"/>
  <c r="F136" i="19"/>
  <c r="F135" i="19"/>
  <c r="F134" i="19"/>
  <c r="F133" i="19"/>
  <c r="F132" i="19"/>
  <c r="F131" i="19"/>
  <c r="F130" i="19"/>
  <c r="F129" i="19"/>
  <c r="F128" i="19"/>
  <c r="F127" i="19"/>
  <c r="F126" i="19"/>
  <c r="F125" i="19"/>
  <c r="F124" i="19"/>
  <c r="F123" i="19"/>
  <c r="F122" i="19"/>
  <c r="F121" i="19"/>
  <c r="F120" i="19"/>
  <c r="F119" i="19"/>
  <c r="F118" i="19"/>
  <c r="F117" i="19"/>
  <c r="F116" i="19"/>
  <c r="F115" i="19"/>
  <c r="F114" i="19"/>
  <c r="F113" i="19"/>
  <c r="F112" i="19"/>
  <c r="F111" i="19"/>
  <c r="F110" i="19"/>
  <c r="F109" i="19"/>
  <c r="F108" i="19"/>
  <c r="F107" i="19"/>
  <c r="F106" i="19"/>
  <c r="F105" i="19"/>
  <c r="F104" i="19"/>
  <c r="F103" i="19"/>
  <c r="F102" i="19"/>
  <c r="F101" i="19"/>
  <c r="F100" i="19"/>
  <c r="F99" i="19"/>
  <c r="F98" i="19"/>
  <c r="F97" i="19"/>
  <c r="F96" i="19"/>
  <c r="F95" i="19"/>
  <c r="F94" i="19"/>
  <c r="F93" i="19"/>
  <c r="F92" i="19"/>
  <c r="F91" i="19"/>
  <c r="F90" i="19"/>
  <c r="F89" i="19"/>
  <c r="F88" i="19"/>
  <c r="F87" i="19"/>
  <c r="F86" i="19"/>
  <c r="F85" i="19"/>
  <c r="F84" i="19"/>
  <c r="F83" i="19"/>
  <c r="F82" i="19"/>
  <c r="F81" i="19"/>
  <c r="F80" i="19"/>
  <c r="F79" i="19"/>
  <c r="F78" i="19"/>
  <c r="F77" i="19"/>
  <c r="F76" i="19"/>
  <c r="F75" i="19"/>
  <c r="F74" i="19"/>
  <c r="F73" i="19"/>
  <c r="F72" i="19"/>
  <c r="F71" i="19"/>
  <c r="F70" i="19"/>
  <c r="F69" i="19"/>
  <c r="F68" i="19"/>
  <c r="F67" i="19"/>
  <c r="F66" i="19"/>
  <c r="F65" i="19"/>
  <c r="F64" i="19"/>
  <c r="F63" i="19"/>
  <c r="F62" i="19"/>
  <c r="F61" i="19"/>
  <c r="F60" i="19"/>
  <c r="F59" i="19"/>
  <c r="F58" i="19"/>
  <c r="F57" i="19"/>
  <c r="F56" i="19"/>
  <c r="F55" i="19"/>
  <c r="F54" i="19"/>
  <c r="F53" i="19"/>
  <c r="F52" i="19"/>
  <c r="F51" i="19"/>
  <c r="F50" i="19"/>
  <c r="F49" i="19"/>
  <c r="F48" i="19"/>
  <c r="F47" i="19"/>
  <c r="F46" i="19"/>
  <c r="F45" i="19"/>
  <c r="F44" i="19"/>
  <c r="F43" i="19"/>
  <c r="F42" i="19"/>
  <c r="F41" i="19"/>
  <c r="F40" i="19"/>
  <c r="F39" i="19"/>
  <c r="F38" i="19"/>
  <c r="F37" i="19"/>
  <c r="F36" i="19"/>
  <c r="F35" i="19"/>
  <c r="F34" i="19"/>
  <c r="F33" i="19"/>
  <c r="F32" i="19"/>
  <c r="F31" i="19"/>
  <c r="F30" i="19"/>
  <c r="F29" i="19"/>
  <c r="F28" i="19"/>
  <c r="F27" i="19"/>
  <c r="F26" i="19"/>
  <c r="F25" i="19"/>
  <c r="F24" i="19"/>
  <c r="F23" i="19"/>
  <c r="F22" i="19"/>
  <c r="F21" i="19"/>
  <c r="F20" i="19"/>
  <c r="F19" i="19"/>
  <c r="F18" i="19"/>
  <c r="F17" i="19"/>
  <c r="F16" i="19"/>
  <c r="F15" i="19"/>
  <c r="F14" i="19"/>
  <c r="E18" i="5"/>
  <c r="E17" i="5"/>
  <c r="D18" i="5"/>
  <c r="D17" i="5"/>
  <c r="C18" i="5"/>
  <c r="C17" i="5"/>
  <c r="H521" i="19" l="1"/>
  <c r="G521" i="19"/>
  <c r="E516" i="19"/>
  <c r="I516" i="19"/>
  <c r="E517" i="19"/>
  <c r="I517" i="19"/>
  <c r="E518" i="19"/>
  <c r="J518" i="19"/>
  <c r="I518" i="19"/>
  <c r="E13" i="5"/>
  <c r="E14" i="5"/>
  <c r="G17" i="2"/>
  <c r="F17" i="2"/>
  <c r="G16" i="2"/>
  <c r="D16" i="2" s="1"/>
  <c r="F16" i="2"/>
  <c r="C16" i="2" s="1"/>
  <c r="D17" i="2"/>
  <c r="C17" i="2"/>
  <c r="C88" i="23"/>
  <c r="D88" i="23"/>
  <c r="E88" i="23"/>
  <c r="F88" i="23"/>
  <c r="H86" i="23"/>
  <c r="G86" i="23"/>
  <c r="H85" i="23"/>
  <c r="H88" i="23" s="1"/>
  <c r="G85" i="23"/>
  <c r="G88" i="23" s="1"/>
  <c r="H84" i="23"/>
  <c r="G84" i="23"/>
  <c r="J517" i="19" l="1"/>
  <c r="J516" i="19"/>
  <c r="F25" i="3" l="1"/>
  <c r="E14" i="19" l="1"/>
  <c r="F24" i="26" l="1"/>
  <c r="F23" i="26"/>
  <c r="F33" i="26" l="1"/>
  <c r="G10" i="26" s="1"/>
  <c r="G27" i="26"/>
  <c r="G16" i="26"/>
  <c r="G12" i="26"/>
  <c r="G30" i="26"/>
  <c r="G19" i="26"/>
  <c r="G15" i="26"/>
  <c r="G11" i="26"/>
  <c r="G29" i="26"/>
  <c r="G25" i="26"/>
  <c r="G22" i="26"/>
  <c r="G18" i="26"/>
  <c r="G14" i="26"/>
  <c r="G28" i="26"/>
  <c r="G21" i="26"/>
  <c r="G17" i="26"/>
  <c r="G13" i="26"/>
  <c r="G24" i="26"/>
  <c r="G23" i="26"/>
  <c r="G41" i="3"/>
  <c r="G33" i="3"/>
  <c r="G25" i="3"/>
  <c r="G31" i="26" l="1"/>
  <c r="G26" i="26"/>
  <c r="G20" i="26"/>
  <c r="G34" i="26"/>
  <c r="G83" i="23"/>
  <c r="H83" i="23"/>
  <c r="G81" i="23"/>
  <c r="H81" i="23"/>
  <c r="G82" i="23"/>
  <c r="H82" i="23"/>
  <c r="J56" i="19" l="1"/>
  <c r="L9" i="13" l="1"/>
  <c r="L10" i="13"/>
  <c r="L11" i="13"/>
  <c r="L12" i="13"/>
  <c r="L13" i="13"/>
  <c r="L14" i="13"/>
  <c r="L15" i="13"/>
  <c r="L16" i="13"/>
  <c r="L17" i="13"/>
  <c r="L18" i="13"/>
  <c r="L19" i="13"/>
  <c r="L20" i="13"/>
  <c r="L21" i="13"/>
  <c r="L22" i="13"/>
  <c r="L23" i="13"/>
  <c r="L24" i="13"/>
  <c r="L25" i="13"/>
  <c r="L26" i="13"/>
  <c r="L27" i="13"/>
  <c r="L28" i="13"/>
  <c r="L29" i="13"/>
  <c r="L30" i="13"/>
  <c r="L31" i="13"/>
  <c r="L32" i="13"/>
  <c r="L33" i="13"/>
  <c r="L34" i="13"/>
  <c r="L35" i="13"/>
  <c r="L36" i="13"/>
  <c r="L37" i="13"/>
  <c r="L38" i="13"/>
  <c r="L39" i="13"/>
  <c r="G9" i="13"/>
  <c r="H9" i="13"/>
  <c r="M9" i="13" s="1"/>
  <c r="I9" i="13"/>
  <c r="N9" i="13" s="1"/>
  <c r="J9" i="13"/>
  <c r="O9" i="13" s="1"/>
  <c r="G10" i="13"/>
  <c r="H10" i="13"/>
  <c r="M10" i="13" s="1"/>
  <c r="I10" i="13"/>
  <c r="N10" i="13" s="1"/>
  <c r="J10" i="13"/>
  <c r="O10" i="13" s="1"/>
  <c r="K10" i="13"/>
  <c r="P10" i="13" s="1"/>
  <c r="G11" i="13"/>
  <c r="H11" i="13"/>
  <c r="M11" i="13" s="1"/>
  <c r="I11" i="13"/>
  <c r="N11" i="13" s="1"/>
  <c r="J11" i="13"/>
  <c r="O11" i="13" s="1"/>
  <c r="K11" i="13"/>
  <c r="P11" i="13" s="1"/>
  <c r="G12" i="13"/>
  <c r="H12" i="13"/>
  <c r="M12" i="13" s="1"/>
  <c r="I12" i="13"/>
  <c r="N12" i="13" s="1"/>
  <c r="J12" i="13"/>
  <c r="O12" i="13" s="1"/>
  <c r="K12" i="13"/>
  <c r="P12" i="13" s="1"/>
  <c r="G13" i="13"/>
  <c r="H13" i="13"/>
  <c r="M13" i="13" s="1"/>
  <c r="I13" i="13"/>
  <c r="N13" i="13" s="1"/>
  <c r="J13" i="13"/>
  <c r="O13" i="13" s="1"/>
  <c r="K13" i="13"/>
  <c r="P13" i="13" s="1"/>
  <c r="G14" i="13"/>
  <c r="H14" i="13"/>
  <c r="M14" i="13" s="1"/>
  <c r="I14" i="13"/>
  <c r="N14" i="13" s="1"/>
  <c r="J14" i="13"/>
  <c r="O14" i="13" s="1"/>
  <c r="K14" i="13"/>
  <c r="P14" i="13" s="1"/>
  <c r="G15" i="13"/>
  <c r="H15" i="13"/>
  <c r="M15" i="13" s="1"/>
  <c r="I15" i="13"/>
  <c r="N15" i="13" s="1"/>
  <c r="J15" i="13"/>
  <c r="O15" i="13" s="1"/>
  <c r="K15" i="13"/>
  <c r="P15" i="13" s="1"/>
  <c r="G16" i="13"/>
  <c r="H16" i="13"/>
  <c r="M16" i="13" s="1"/>
  <c r="I16" i="13"/>
  <c r="N16" i="13" s="1"/>
  <c r="J16" i="13"/>
  <c r="O16" i="13" s="1"/>
  <c r="K16" i="13"/>
  <c r="P16" i="13" s="1"/>
  <c r="G17" i="13"/>
  <c r="H17" i="13"/>
  <c r="M17" i="13" s="1"/>
  <c r="I17" i="13"/>
  <c r="N17" i="13" s="1"/>
  <c r="J17" i="13"/>
  <c r="O17" i="13" s="1"/>
  <c r="K17" i="13"/>
  <c r="P17" i="13" s="1"/>
  <c r="G18" i="13"/>
  <c r="H18" i="13"/>
  <c r="M18" i="13" s="1"/>
  <c r="I18" i="13"/>
  <c r="N18" i="13" s="1"/>
  <c r="J18" i="13"/>
  <c r="O18" i="13" s="1"/>
  <c r="K18" i="13"/>
  <c r="P18" i="13" s="1"/>
  <c r="G19" i="13"/>
  <c r="H19" i="13"/>
  <c r="M19" i="13" s="1"/>
  <c r="I19" i="13"/>
  <c r="N19" i="13" s="1"/>
  <c r="J19" i="13"/>
  <c r="O19" i="13" s="1"/>
  <c r="K19" i="13"/>
  <c r="P19" i="13" s="1"/>
  <c r="G20" i="13"/>
  <c r="H20" i="13"/>
  <c r="M20" i="13" s="1"/>
  <c r="I20" i="13"/>
  <c r="N20" i="13" s="1"/>
  <c r="J20" i="13"/>
  <c r="O20" i="13" s="1"/>
  <c r="K20" i="13"/>
  <c r="P20" i="13" s="1"/>
  <c r="G21" i="13"/>
  <c r="H21" i="13"/>
  <c r="M21" i="13" s="1"/>
  <c r="I21" i="13"/>
  <c r="N21" i="13" s="1"/>
  <c r="J21" i="13"/>
  <c r="O21" i="13" s="1"/>
  <c r="K21" i="13"/>
  <c r="P21" i="13" s="1"/>
  <c r="G22" i="13"/>
  <c r="H22" i="13"/>
  <c r="M22" i="13" s="1"/>
  <c r="I22" i="13"/>
  <c r="N22" i="13" s="1"/>
  <c r="J22" i="13"/>
  <c r="O22" i="13" s="1"/>
  <c r="K22" i="13"/>
  <c r="P22" i="13" s="1"/>
  <c r="G23" i="13"/>
  <c r="H23" i="13"/>
  <c r="M23" i="13" s="1"/>
  <c r="I23" i="13"/>
  <c r="N23" i="13" s="1"/>
  <c r="J23" i="13"/>
  <c r="O23" i="13" s="1"/>
  <c r="K23" i="13"/>
  <c r="P23" i="13" s="1"/>
  <c r="G24" i="13"/>
  <c r="H24" i="13"/>
  <c r="M24" i="13" s="1"/>
  <c r="I24" i="13"/>
  <c r="N24" i="13" s="1"/>
  <c r="J24" i="13"/>
  <c r="O24" i="13" s="1"/>
  <c r="K24" i="13"/>
  <c r="P24" i="13" s="1"/>
  <c r="G25" i="13"/>
  <c r="H25" i="13"/>
  <c r="M25" i="13" s="1"/>
  <c r="I25" i="13"/>
  <c r="N25" i="13" s="1"/>
  <c r="J25" i="13"/>
  <c r="O25" i="13" s="1"/>
  <c r="K25" i="13"/>
  <c r="P25" i="13" s="1"/>
  <c r="G26" i="13"/>
  <c r="H26" i="13"/>
  <c r="M26" i="13" s="1"/>
  <c r="I26" i="13"/>
  <c r="N26" i="13" s="1"/>
  <c r="J26" i="13"/>
  <c r="O26" i="13" s="1"/>
  <c r="K26" i="13"/>
  <c r="P26" i="13" s="1"/>
  <c r="G27" i="13"/>
  <c r="H27" i="13"/>
  <c r="M27" i="13" s="1"/>
  <c r="I27" i="13"/>
  <c r="N27" i="13" s="1"/>
  <c r="J27" i="13"/>
  <c r="O27" i="13" s="1"/>
  <c r="K27" i="13"/>
  <c r="P27" i="13" s="1"/>
  <c r="G28" i="13"/>
  <c r="H28" i="13"/>
  <c r="M28" i="13" s="1"/>
  <c r="I28" i="13"/>
  <c r="N28" i="13" s="1"/>
  <c r="J28" i="13"/>
  <c r="O28" i="13" s="1"/>
  <c r="G29" i="13"/>
  <c r="H29" i="13"/>
  <c r="M29" i="13" s="1"/>
  <c r="I29" i="13"/>
  <c r="N29" i="13" s="1"/>
  <c r="J29" i="13"/>
  <c r="O29" i="13" s="1"/>
  <c r="K29" i="13"/>
  <c r="P29" i="13" s="1"/>
  <c r="G30" i="13"/>
  <c r="H30" i="13"/>
  <c r="M30" i="13" s="1"/>
  <c r="I30" i="13"/>
  <c r="N30" i="13" s="1"/>
  <c r="J30" i="13"/>
  <c r="O30" i="13" s="1"/>
  <c r="K30" i="13"/>
  <c r="P30" i="13" s="1"/>
  <c r="G31" i="13"/>
  <c r="H31" i="13"/>
  <c r="M31" i="13" s="1"/>
  <c r="I31" i="13"/>
  <c r="N31" i="13" s="1"/>
  <c r="J31" i="13"/>
  <c r="O31" i="13" s="1"/>
  <c r="K31" i="13"/>
  <c r="P31" i="13" s="1"/>
  <c r="G32" i="13"/>
  <c r="H32" i="13"/>
  <c r="M32" i="13" s="1"/>
  <c r="I32" i="13"/>
  <c r="N32" i="13" s="1"/>
  <c r="J32" i="13"/>
  <c r="O32" i="13" s="1"/>
  <c r="K32" i="13"/>
  <c r="P32" i="13" s="1"/>
  <c r="G33" i="13"/>
  <c r="H33" i="13"/>
  <c r="M33" i="13" s="1"/>
  <c r="I33" i="13"/>
  <c r="N33" i="13" s="1"/>
  <c r="J33" i="13"/>
  <c r="O33" i="13" s="1"/>
  <c r="K33" i="13"/>
  <c r="P33" i="13" s="1"/>
  <c r="G34" i="13"/>
  <c r="H34" i="13"/>
  <c r="M34" i="13" s="1"/>
  <c r="I34" i="13"/>
  <c r="N34" i="13" s="1"/>
  <c r="J34" i="13"/>
  <c r="O34" i="13" s="1"/>
  <c r="K34" i="13"/>
  <c r="P34" i="13" s="1"/>
  <c r="G35" i="13"/>
  <c r="H35" i="13"/>
  <c r="M35" i="13" s="1"/>
  <c r="I35" i="13"/>
  <c r="N35" i="13" s="1"/>
  <c r="J35" i="13"/>
  <c r="O35" i="13" s="1"/>
  <c r="K35" i="13"/>
  <c r="G36" i="13"/>
  <c r="H36" i="13"/>
  <c r="M36" i="13" s="1"/>
  <c r="I36" i="13"/>
  <c r="N36" i="13" s="1"/>
  <c r="J36" i="13"/>
  <c r="O36" i="13" s="1"/>
  <c r="K36" i="13"/>
  <c r="G37" i="13"/>
  <c r="H37" i="13"/>
  <c r="M37" i="13" s="1"/>
  <c r="I37" i="13"/>
  <c r="N37" i="13" s="1"/>
  <c r="J37" i="13"/>
  <c r="O37" i="13" s="1"/>
  <c r="K37" i="13"/>
  <c r="G38" i="13"/>
  <c r="H38" i="13"/>
  <c r="M38" i="13" s="1"/>
  <c r="I38" i="13"/>
  <c r="N38" i="13" s="1"/>
  <c r="J38" i="13"/>
  <c r="O38" i="13" s="1"/>
  <c r="K38" i="13"/>
  <c r="G39" i="13"/>
  <c r="H39" i="13"/>
  <c r="M39" i="13" s="1"/>
  <c r="I39" i="13"/>
  <c r="N39" i="13" s="1"/>
  <c r="J39" i="13"/>
  <c r="O39" i="13" s="1"/>
  <c r="K39" i="13"/>
  <c r="P39" i="13" s="1"/>
  <c r="K9" i="13" l="1"/>
  <c r="P9" i="13" s="1"/>
  <c r="K28" i="13"/>
  <c r="P28" i="13" s="1"/>
  <c r="F35" i="3" l="1"/>
  <c r="H35" i="3" s="1"/>
  <c r="F36" i="3"/>
  <c r="H36" i="3" s="1"/>
  <c r="F37" i="3"/>
  <c r="H37" i="3" s="1"/>
  <c r="F38" i="3"/>
  <c r="H38" i="3" s="1"/>
  <c r="F34" i="3"/>
  <c r="H34" i="3" s="1"/>
  <c r="F33" i="3"/>
  <c r="H33" i="3" s="1"/>
  <c r="F27" i="3"/>
  <c r="H27" i="3" s="1"/>
  <c r="F28" i="3"/>
  <c r="H28" i="3" s="1"/>
  <c r="F29" i="3"/>
  <c r="H29" i="3" s="1"/>
  <c r="F30" i="3"/>
  <c r="H30" i="3" s="1"/>
  <c r="F26" i="3"/>
  <c r="H26" i="3" s="1"/>
  <c r="H25" i="3"/>
  <c r="H39" i="3" l="1"/>
  <c r="H31" i="3"/>
  <c r="G10" i="18" l="1"/>
  <c r="G11" i="18"/>
  <c r="G12" i="18"/>
  <c r="G13" i="18"/>
  <c r="G14" i="18"/>
  <c r="G15" i="18"/>
  <c r="F9" i="4"/>
  <c r="G9" i="4" s="1"/>
  <c r="C9" i="24" l="1"/>
  <c r="E9" i="18" l="1"/>
  <c r="D19" i="10" l="1"/>
  <c r="F19" i="10"/>
  <c r="H19" i="10"/>
  <c r="H18" i="10"/>
  <c r="H17" i="10"/>
  <c r="F17" i="10"/>
  <c r="F16" i="10"/>
  <c r="D17" i="10"/>
  <c r="D16" i="10"/>
  <c r="D13" i="24" l="1"/>
  <c r="E13" i="7"/>
  <c r="F65" i="3"/>
  <c r="H80" i="23"/>
  <c r="G80" i="23"/>
  <c r="H79" i="23"/>
  <c r="G79" i="23"/>
  <c r="H78" i="23"/>
  <c r="G78" i="23"/>
  <c r="H77" i="23"/>
  <c r="G77" i="23"/>
  <c r="H75" i="23"/>
  <c r="G75" i="23"/>
  <c r="H74" i="23"/>
  <c r="G74" i="23"/>
  <c r="H73" i="23"/>
  <c r="G73" i="23"/>
  <c r="H72" i="23"/>
  <c r="G72" i="23"/>
  <c r="H71" i="23"/>
  <c r="G71" i="23"/>
  <c r="H70" i="23"/>
  <c r="G70" i="23"/>
  <c r="H69" i="23"/>
  <c r="G69" i="23"/>
  <c r="H68" i="23"/>
  <c r="G68" i="23"/>
  <c r="H67" i="23"/>
  <c r="G67" i="23"/>
  <c r="H66" i="23"/>
  <c r="G66" i="23"/>
  <c r="H65" i="23"/>
  <c r="G65" i="23"/>
  <c r="H64" i="23"/>
  <c r="G64" i="23"/>
  <c r="H62" i="23"/>
  <c r="G62" i="23"/>
  <c r="H61" i="23"/>
  <c r="G61" i="23"/>
  <c r="H60" i="23"/>
  <c r="G60" i="23"/>
  <c r="H59" i="23"/>
  <c r="G59" i="23"/>
  <c r="H58" i="23"/>
  <c r="G58" i="23"/>
  <c r="H57" i="23"/>
  <c r="G57" i="23"/>
  <c r="H56" i="23"/>
  <c r="G56" i="23"/>
  <c r="H55" i="23"/>
  <c r="G55" i="23"/>
  <c r="H54" i="23"/>
  <c r="G54" i="23"/>
  <c r="H53" i="23"/>
  <c r="G53" i="23"/>
  <c r="H52" i="23"/>
  <c r="G52" i="23"/>
  <c r="H51" i="23"/>
  <c r="G51" i="23"/>
  <c r="H49" i="23"/>
  <c r="G49" i="23"/>
  <c r="H48" i="23"/>
  <c r="G48" i="23"/>
  <c r="H47" i="23"/>
  <c r="G47" i="23"/>
  <c r="H46" i="23"/>
  <c r="G46" i="23"/>
  <c r="H45" i="23"/>
  <c r="G45" i="23"/>
  <c r="H44" i="23"/>
  <c r="G44" i="23"/>
  <c r="H43" i="23"/>
  <c r="G43" i="23"/>
  <c r="H42" i="23"/>
  <c r="G42" i="23"/>
  <c r="H41" i="23"/>
  <c r="G41" i="23"/>
  <c r="H40" i="23"/>
  <c r="G40" i="23"/>
  <c r="H39" i="23"/>
  <c r="G39" i="23"/>
  <c r="H38" i="23"/>
  <c r="G38" i="23"/>
  <c r="H36" i="23"/>
  <c r="G36" i="23"/>
  <c r="H35" i="23"/>
  <c r="G35" i="23"/>
  <c r="H34" i="23"/>
  <c r="G34" i="23"/>
  <c r="H33" i="23"/>
  <c r="G33" i="23"/>
  <c r="H32" i="23"/>
  <c r="G32" i="23"/>
  <c r="H31" i="23"/>
  <c r="G31" i="23"/>
  <c r="H30" i="23"/>
  <c r="G30" i="23"/>
  <c r="H29" i="23"/>
  <c r="G29" i="23"/>
  <c r="H28" i="23"/>
  <c r="G28" i="23"/>
  <c r="H27" i="23"/>
  <c r="G27" i="23"/>
  <c r="H26" i="23"/>
  <c r="G26" i="23"/>
  <c r="H25" i="23"/>
  <c r="G25" i="23"/>
  <c r="H23" i="23"/>
  <c r="G23" i="23"/>
  <c r="H22" i="23"/>
  <c r="G22" i="23"/>
  <c r="H21" i="23"/>
  <c r="G21" i="23"/>
  <c r="H20" i="23"/>
  <c r="G20" i="23"/>
  <c r="H19" i="23"/>
  <c r="G19" i="23"/>
  <c r="H18" i="23"/>
  <c r="G18" i="23"/>
  <c r="H17" i="23"/>
  <c r="G17" i="23"/>
  <c r="H16" i="23"/>
  <c r="G16" i="23"/>
  <c r="H15" i="23"/>
  <c r="G15" i="23"/>
  <c r="H14" i="23"/>
  <c r="G14" i="23"/>
  <c r="H13" i="23"/>
  <c r="G13" i="23"/>
  <c r="H12" i="23"/>
  <c r="G12" i="23"/>
  <c r="D18" i="10" l="1"/>
  <c r="F78" i="3"/>
  <c r="H78" i="3" s="1"/>
  <c r="F77" i="3"/>
  <c r="H77" i="3" s="1"/>
  <c r="F76" i="3"/>
  <c r="H76" i="3" s="1"/>
  <c r="F75" i="3"/>
  <c r="H75" i="3" s="1"/>
  <c r="F74" i="3"/>
  <c r="H74" i="3" s="1"/>
  <c r="F73" i="3"/>
  <c r="H73" i="3" s="1"/>
  <c r="H79" i="3" l="1"/>
  <c r="H17" i="3" s="1"/>
  <c r="C15" i="7" l="1"/>
  <c r="C15" i="18"/>
  <c r="C15" i="6"/>
  <c r="D47" i="14" l="1"/>
  <c r="C47" i="14"/>
  <c r="B47" i="14"/>
  <c r="D46" i="14"/>
  <c r="C46" i="14"/>
  <c r="B46" i="14"/>
  <c r="D45" i="14"/>
  <c r="F42" i="14"/>
  <c r="K11" i="16" l="1"/>
  <c r="D11" i="16" l="1"/>
  <c r="J11" i="16"/>
  <c r="H11" i="16"/>
  <c r="F11" i="16"/>
  <c r="G11" i="6"/>
  <c r="G11" i="7"/>
  <c r="F10" i="4"/>
  <c r="G10" i="4" s="1"/>
  <c r="E10" i="18" l="1"/>
  <c r="C10" i="24"/>
  <c r="E11" i="5"/>
  <c r="F46" i="3"/>
  <c r="H46" i="3" s="1"/>
  <c r="F45" i="3"/>
  <c r="H45" i="3" s="1"/>
  <c r="F44" i="3"/>
  <c r="H44" i="3" s="1"/>
  <c r="F43" i="3"/>
  <c r="H43" i="3" s="1"/>
  <c r="F42" i="3"/>
  <c r="H42" i="3" s="1"/>
  <c r="F41" i="3"/>
  <c r="H41" i="3" s="1"/>
  <c r="F10" i="2"/>
  <c r="G10" i="2"/>
  <c r="H47" i="3" l="1"/>
  <c r="H13" i="3" s="1"/>
  <c r="D11" i="24"/>
  <c r="E11" i="7"/>
  <c r="C11" i="6" l="1"/>
  <c r="C11" i="18"/>
  <c r="C11" i="7"/>
  <c r="D11" i="7" s="1"/>
  <c r="F11" i="7" s="1"/>
  <c r="H11" i="7" s="1"/>
  <c r="G14" i="2"/>
  <c r="E189" i="19" l="1"/>
  <c r="E195" i="19"/>
  <c r="E299" i="19"/>
  <c r="E201" i="19"/>
  <c r="E198" i="19"/>
  <c r="E223" i="19"/>
  <c r="E235" i="19"/>
  <c r="E251" i="19"/>
  <c r="E238" i="19"/>
  <c r="E79" i="19"/>
  <c r="E293" i="19"/>
  <c r="E402" i="19"/>
  <c r="E348" i="19"/>
  <c r="E352" i="19"/>
  <c r="E367" i="19"/>
  <c r="E369" i="19"/>
  <c r="E366" i="19"/>
  <c r="E364" i="19"/>
  <c r="E398" i="19"/>
  <c r="E413" i="19"/>
  <c r="E414" i="19"/>
  <c r="E64" i="19"/>
  <c r="E438" i="19"/>
  <c r="E275" i="19"/>
  <c r="E437" i="19"/>
  <c r="E440" i="19"/>
  <c r="E478" i="19"/>
  <c r="E444" i="19"/>
  <c r="E446" i="19"/>
  <c r="E281" i="19"/>
  <c r="E493" i="19"/>
  <c r="E99" i="19"/>
  <c r="E19" i="19"/>
  <c r="E500" i="19"/>
  <c r="E133" i="19"/>
  <c r="E508" i="19"/>
  <c r="E147" i="19"/>
  <c r="E514" i="19"/>
  <c r="E263" i="19"/>
  <c r="E261" i="19"/>
  <c r="E330" i="19"/>
  <c r="E321" i="19"/>
  <c r="E18" i="19"/>
  <c r="E107" i="19"/>
  <c r="E361" i="19"/>
  <c r="E36" i="19"/>
  <c r="E202" i="19"/>
  <c r="E183" i="19"/>
  <c r="E82" i="19"/>
  <c r="E341" i="19"/>
  <c r="E477" i="19"/>
  <c r="E427" i="19"/>
  <c r="E165" i="19"/>
  <c r="E67" i="19"/>
  <c r="E392" i="19"/>
  <c r="E471" i="19"/>
  <c r="E56" i="19"/>
  <c r="E490" i="19"/>
  <c r="E314" i="19"/>
  <c r="E294" i="19"/>
  <c r="E47" i="19"/>
  <c r="E91" i="19"/>
  <c r="E93" i="19"/>
  <c r="E494" i="19"/>
  <c r="E155" i="19"/>
  <c r="E142" i="19"/>
  <c r="E418" i="19"/>
  <c r="E149" i="19"/>
  <c r="E338" i="19"/>
  <c r="E117" i="19"/>
  <c r="E225" i="19"/>
  <c r="E143" i="19"/>
  <c r="E234" i="19"/>
  <c r="E264" i="19"/>
  <c r="E185" i="19"/>
  <c r="E296" i="19"/>
  <c r="E511" i="19"/>
  <c r="E388" i="19"/>
  <c r="E33" i="19"/>
  <c r="E441" i="19"/>
  <c r="E475" i="19"/>
  <c r="E164" i="19"/>
  <c r="E428" i="19"/>
  <c r="E336" i="19"/>
  <c r="E400" i="19"/>
  <c r="E411" i="19"/>
  <c r="E45" i="19"/>
  <c r="E406" i="19"/>
  <c r="E39" i="19"/>
  <c r="E401" i="19"/>
  <c r="E83" i="19"/>
  <c r="E50" i="19"/>
  <c r="E379" i="19"/>
  <c r="J379" i="19"/>
  <c r="E479" i="19"/>
  <c r="E284" i="19"/>
  <c r="E497" i="19"/>
  <c r="E105" i="19"/>
  <c r="E17" i="19"/>
  <c r="E512" i="19"/>
  <c r="E391" i="19"/>
  <c r="E200" i="19"/>
  <c r="E482" i="19"/>
  <c r="E399" i="19"/>
  <c r="E40" i="19"/>
  <c r="E240" i="19"/>
  <c r="E86" i="19"/>
  <c r="E356" i="19"/>
  <c r="E423" i="19"/>
  <c r="E124" i="19"/>
  <c r="E262" i="19"/>
  <c r="E131" i="19"/>
  <c r="E24" i="19"/>
  <c r="E23" i="19"/>
  <c r="E408" i="19"/>
  <c r="E167" i="19"/>
  <c r="E224" i="19"/>
  <c r="E424" i="19"/>
  <c r="E329" i="19"/>
  <c r="E387" i="19"/>
  <c r="E192" i="19"/>
  <c r="E30" i="19"/>
  <c r="E397" i="19"/>
  <c r="E409" i="19"/>
  <c r="E148" i="19"/>
  <c r="E226" i="19"/>
  <c r="E405" i="19"/>
  <c r="E249" i="19"/>
  <c r="E34" i="19"/>
  <c r="E339" i="19"/>
  <c r="E26" i="19"/>
  <c r="E53" i="19"/>
  <c r="E119" i="19"/>
  <c r="E271" i="19"/>
  <c r="E80" i="19"/>
  <c r="E161" i="19"/>
  <c r="E335" i="19"/>
  <c r="E376" i="19"/>
  <c r="E457" i="19"/>
  <c r="E417" i="19"/>
  <c r="E319" i="19"/>
  <c r="E327" i="19"/>
  <c r="E121" i="19"/>
  <c r="E204" i="19"/>
  <c r="E163" i="19"/>
  <c r="E170" i="19"/>
  <c r="E46" i="19"/>
  <c r="E506" i="19"/>
  <c r="E412" i="19"/>
  <c r="E206" i="19"/>
  <c r="E513" i="19"/>
  <c r="E98" i="19"/>
  <c r="E309" i="19"/>
  <c r="E212" i="19"/>
  <c r="E95" i="19"/>
  <c r="E256" i="19"/>
  <c r="E197" i="19"/>
  <c r="E109" i="19"/>
  <c r="E316" i="19"/>
  <c r="E370" i="19"/>
  <c r="E505" i="19"/>
  <c r="E150" i="19"/>
  <c r="E247" i="19"/>
  <c r="E60" i="19"/>
  <c r="E354" i="19"/>
  <c r="E222" i="19"/>
  <c r="E407" i="19"/>
  <c r="E451" i="19"/>
  <c r="E331" i="19"/>
  <c r="E188" i="19"/>
  <c r="E152" i="19"/>
  <c r="E104" i="19"/>
  <c r="E486" i="19"/>
  <c r="E504" i="19"/>
  <c r="E227" i="19"/>
  <c r="E434" i="19"/>
  <c r="E199" i="19"/>
  <c r="E315" i="19"/>
  <c r="E177" i="19"/>
  <c r="E448" i="19"/>
  <c r="E151" i="19"/>
  <c r="E465" i="19"/>
  <c r="E160" i="19"/>
  <c r="E421" i="19"/>
  <c r="E487" i="19"/>
  <c r="E510" i="19"/>
  <c r="E304" i="19"/>
  <c r="E291" i="19"/>
  <c r="E462" i="19"/>
  <c r="E463" i="19"/>
  <c r="E184" i="19"/>
  <c r="E218" i="19"/>
  <c r="E404" i="19"/>
  <c r="E422" i="19"/>
  <c r="E496" i="19"/>
  <c r="E208" i="19"/>
  <c r="E286" i="19"/>
  <c r="E324" i="19"/>
  <c r="E368" i="19"/>
  <c r="E328" i="19"/>
  <c r="E484" i="19"/>
  <c r="E193" i="19"/>
  <c r="E472" i="19"/>
  <c r="E146" i="19"/>
  <c r="E337" i="19"/>
  <c r="E302" i="19"/>
  <c r="E274" i="19"/>
  <c r="E300" i="19"/>
  <c r="E307" i="19"/>
  <c r="E32" i="19"/>
  <c r="E176" i="19"/>
  <c r="E343" i="19"/>
  <c r="E137" i="19"/>
  <c r="E145" i="19"/>
  <c r="E320" i="19"/>
  <c r="E35" i="19"/>
  <c r="E215" i="19"/>
  <c r="E112" i="19"/>
  <c r="E515" i="19"/>
  <c r="E182" i="19"/>
  <c r="E153" i="19"/>
  <c r="E103" i="19"/>
  <c r="E113" i="19"/>
  <c r="E89" i="19"/>
  <c r="E159" i="19"/>
  <c r="E203" i="19"/>
  <c r="E172" i="19"/>
  <c r="E190" i="19"/>
  <c r="E298" i="19"/>
  <c r="E43" i="19"/>
  <c r="E483" i="19"/>
  <c r="E66" i="19"/>
  <c r="E81" i="19"/>
  <c r="E97" i="19"/>
  <c r="E270" i="19"/>
  <c r="E108" i="19"/>
  <c r="E122" i="19"/>
  <c r="E16" i="19"/>
  <c r="E492" i="19"/>
  <c r="E171" i="19"/>
  <c r="E191" i="19"/>
  <c r="E377" i="19"/>
  <c r="E217" i="19"/>
  <c r="E243" i="19"/>
  <c r="E244" i="19"/>
  <c r="E257" i="19"/>
  <c r="E267" i="19"/>
  <c r="E312" i="19"/>
  <c r="E318" i="19"/>
  <c r="E71" i="19"/>
  <c r="E374" i="19"/>
  <c r="E389" i="19"/>
  <c r="E61" i="19"/>
  <c r="E464" i="19"/>
  <c r="E473" i="19"/>
  <c r="E52" i="19"/>
  <c r="E491" i="19"/>
  <c r="E115" i="19"/>
  <c r="E255" i="19"/>
  <c r="E220" i="19"/>
  <c r="E323" i="19"/>
  <c r="E154" i="19"/>
  <c r="E278" i="19"/>
  <c r="E116" i="19"/>
  <c r="E345" i="19"/>
  <c r="E44" i="19"/>
  <c r="E245" i="19"/>
  <c r="E38" i="19"/>
  <c r="E236" i="19"/>
  <c r="E469" i="19"/>
  <c r="E259" i="19"/>
  <c r="E15" i="19"/>
  <c r="E25" i="19"/>
  <c r="E28" i="19"/>
  <c r="E29" i="19"/>
  <c r="E415" i="19"/>
  <c r="E42" i="19"/>
  <c r="E242" i="19"/>
  <c r="E51" i="19"/>
  <c r="E54" i="19"/>
  <c r="E55" i="19"/>
  <c r="E59" i="19"/>
  <c r="E27" i="19"/>
  <c r="E63" i="19"/>
  <c r="E65" i="19"/>
  <c r="E68" i="19"/>
  <c r="E69" i="19"/>
  <c r="E70" i="19"/>
  <c r="E72" i="19"/>
  <c r="E136" i="19"/>
  <c r="E73" i="19"/>
  <c r="E75" i="19"/>
  <c r="E77" i="19"/>
  <c r="E78" i="19"/>
  <c r="E228" i="19"/>
  <c r="E84" i="19"/>
  <c r="E85" i="19"/>
  <c r="E87" i="19"/>
  <c r="E90" i="19"/>
  <c r="E92" i="19"/>
  <c r="E272" i="19"/>
  <c r="E96" i="19"/>
  <c r="E102" i="19"/>
  <c r="E110" i="19"/>
  <c r="E111" i="19"/>
  <c r="E211" i="19"/>
  <c r="E118" i="19"/>
  <c r="E120" i="19"/>
  <c r="E123" i="19"/>
  <c r="E125" i="19"/>
  <c r="E127" i="19"/>
  <c r="E88" i="19"/>
  <c r="E128" i="19"/>
  <c r="E129" i="19"/>
  <c r="E132" i="19"/>
  <c r="E429" i="19"/>
  <c r="E134" i="19"/>
  <c r="E138" i="19"/>
  <c r="E139" i="19"/>
  <c r="E141" i="19"/>
  <c r="E447" i="19"/>
  <c r="E144" i="19"/>
  <c r="E156" i="19"/>
  <c r="E157" i="19"/>
  <c r="E158" i="19"/>
  <c r="E162" i="19"/>
  <c r="E166" i="19"/>
  <c r="E168" i="19"/>
  <c r="E372" i="19"/>
  <c r="E174" i="19"/>
  <c r="E175" i="19"/>
  <c r="E179" i="19"/>
  <c r="E178" i="19"/>
  <c r="E181" i="19"/>
  <c r="E180" i="19"/>
  <c r="E509" i="19"/>
  <c r="E194" i="19"/>
  <c r="E196" i="19"/>
  <c r="E301" i="19"/>
  <c r="E205" i="19"/>
  <c r="E207" i="19"/>
  <c r="E344" i="19"/>
  <c r="E209" i="19"/>
  <c r="E210" i="19"/>
  <c r="E213" i="19"/>
  <c r="E214" i="19"/>
  <c r="E216" i="19"/>
  <c r="E219" i="19"/>
  <c r="E221" i="19"/>
  <c r="E503" i="19"/>
  <c r="E229" i="19"/>
  <c r="E231" i="19"/>
  <c r="E232" i="19"/>
  <c r="E269" i="19"/>
  <c r="E233" i="19"/>
  <c r="E237" i="19"/>
  <c r="E239" i="19"/>
  <c r="E241" i="19"/>
  <c r="E246" i="19"/>
  <c r="E439" i="19"/>
  <c r="E326" i="19"/>
  <c r="E101" i="19"/>
  <c r="E250" i="19"/>
  <c r="E252" i="19"/>
  <c r="E253" i="19"/>
  <c r="E260" i="19"/>
  <c r="E258" i="19"/>
  <c r="E265" i="19"/>
  <c r="E268" i="19"/>
  <c r="E230" i="19"/>
  <c r="E273" i="19"/>
  <c r="E373" i="19"/>
  <c r="E276" i="19"/>
  <c r="E277" i="19"/>
  <c r="E280" i="19"/>
  <c r="E360" i="19"/>
  <c r="E282" i="19"/>
  <c r="E287" i="19"/>
  <c r="E288" i="19"/>
  <c r="E289" i="19"/>
  <c r="E290" i="19"/>
  <c r="E173" i="19"/>
  <c r="E283" i="19"/>
  <c r="E292" i="19"/>
  <c r="E295" i="19"/>
  <c r="E297" i="19"/>
  <c r="E248" i="19"/>
  <c r="E306" i="19"/>
  <c r="E308" i="19"/>
  <c r="E310" i="19"/>
  <c r="E313" i="19"/>
  <c r="E317" i="19"/>
  <c r="E140" i="19"/>
  <c r="E322" i="19"/>
  <c r="E332" i="19"/>
  <c r="E333" i="19"/>
  <c r="E334" i="19"/>
  <c r="E285" i="19"/>
  <c r="E450" i="19"/>
  <c r="E340" i="19"/>
  <c r="E342" i="19"/>
  <c r="E466" i="19"/>
  <c r="E346" i="19"/>
  <c r="E347" i="19"/>
  <c r="E349" i="19"/>
  <c r="E351" i="19"/>
  <c r="E186" i="19"/>
  <c r="E353" i="19"/>
  <c r="E495" i="19"/>
  <c r="E355" i="19"/>
  <c r="E396" i="19"/>
  <c r="E357" i="19"/>
  <c r="E358" i="19"/>
  <c r="E359" i="19"/>
  <c r="E362" i="19"/>
  <c r="J362" i="19"/>
  <c r="E375" i="19"/>
  <c r="E365" i="19"/>
  <c r="E384" i="19"/>
  <c r="E371" i="19"/>
  <c r="E187" i="19"/>
  <c r="E130" i="19"/>
  <c r="E395" i="19"/>
  <c r="E378" i="19"/>
  <c r="E380" i="19"/>
  <c r="E381" i="19"/>
  <c r="E382" i="19"/>
  <c r="E383" i="19"/>
  <c r="E385" i="19"/>
  <c r="E386" i="19"/>
  <c r="E390" i="19"/>
  <c r="E393" i="19"/>
  <c r="E403" i="19"/>
  <c r="E410" i="19"/>
  <c r="E416" i="19"/>
  <c r="E419" i="19"/>
  <c r="E169" i="19"/>
  <c r="E420" i="19"/>
  <c r="E106" i="19"/>
  <c r="E425" i="19"/>
  <c r="E266" i="19"/>
  <c r="E430" i="19"/>
  <c r="E48" i="19"/>
  <c r="E431" i="19"/>
  <c r="E74" i="19"/>
  <c r="E432" i="19"/>
  <c r="E433" i="19"/>
  <c r="E436" i="19"/>
  <c r="E394" i="19"/>
  <c r="E443" i="19"/>
  <c r="E445" i="19"/>
  <c r="E449" i="19"/>
  <c r="E452" i="19"/>
  <c r="E453" i="19"/>
  <c r="E454" i="19"/>
  <c r="E455" i="19"/>
  <c r="E456" i="19"/>
  <c r="E459" i="19"/>
  <c r="E460" i="19"/>
  <c r="E461" i="19"/>
  <c r="E467" i="19"/>
  <c r="E470" i="19"/>
  <c r="E474" i="19"/>
  <c r="E476" i="19"/>
  <c r="E303" i="19"/>
  <c r="E480" i="19"/>
  <c r="E481" i="19"/>
  <c r="E485" i="19"/>
  <c r="E488" i="19"/>
  <c r="E21" i="19"/>
  <c r="E489" i="19"/>
  <c r="E498" i="19"/>
  <c r="E499" i="19"/>
  <c r="E501" i="19"/>
  <c r="E254" i="19"/>
  <c r="E502" i="19"/>
  <c r="E507" i="19"/>
  <c r="E20" i="19"/>
  <c r="E22" i="19"/>
  <c r="E49" i="19"/>
  <c r="E57" i="19"/>
  <c r="E62" i="19"/>
  <c r="E114" i="19"/>
  <c r="E126" i="19"/>
  <c r="E325" i="19"/>
  <c r="E279" i="19"/>
  <c r="E305" i="19"/>
  <c r="E311" i="19"/>
  <c r="E350" i="19"/>
  <c r="E363" i="19"/>
  <c r="E135" i="19"/>
  <c r="E426" i="19"/>
  <c r="E435" i="19"/>
  <c r="E442" i="19"/>
  <c r="E468" i="19"/>
  <c r="E37" i="19"/>
  <c r="E58" i="19"/>
  <c r="E458" i="19"/>
  <c r="E76" i="19"/>
  <c r="E41" i="19"/>
  <c r="E94" i="19"/>
  <c r="E100" i="19"/>
  <c r="I362" i="19" l="1"/>
  <c r="I379" i="19"/>
  <c r="E38" i="13" l="1"/>
  <c r="E37" i="13"/>
  <c r="E36" i="13"/>
  <c r="E35" i="13"/>
  <c r="F38" i="13" l="1"/>
  <c r="P38" i="13"/>
  <c r="F35" i="13"/>
  <c r="P35" i="13"/>
  <c r="F36" i="13"/>
  <c r="P36" i="13"/>
  <c r="F37" i="13"/>
  <c r="P37" i="13"/>
  <c r="F41" i="14"/>
  <c r="E31" i="19" l="1"/>
  <c r="J57" i="19" l="1"/>
  <c r="J95" i="19" l="1"/>
  <c r="I95" i="19"/>
  <c r="J103" i="19"/>
  <c r="I103" i="19"/>
  <c r="J240" i="19"/>
  <c r="I240" i="19"/>
  <c r="J291" i="19"/>
  <c r="I291" i="19"/>
  <c r="J77" i="19"/>
  <c r="I77" i="19"/>
  <c r="I100" i="19"/>
  <c r="J100" i="19"/>
  <c r="J324" i="19"/>
  <c r="I324" i="19"/>
  <c r="J91" i="19"/>
  <c r="I91" i="19"/>
  <c r="J361" i="19"/>
  <c r="I361" i="19"/>
  <c r="I433" i="19"/>
  <c r="J433" i="19"/>
  <c r="J262" i="19"/>
  <c r="I262" i="19"/>
  <c r="J290" i="19"/>
  <c r="I290" i="19"/>
  <c r="J260" i="19"/>
  <c r="I260" i="19"/>
  <c r="J510" i="19"/>
  <c r="I510" i="19"/>
  <c r="J437" i="19"/>
  <c r="I437" i="19"/>
  <c r="J493" i="19"/>
  <c r="I493" i="19"/>
  <c r="J478" i="19"/>
  <c r="I478" i="19"/>
  <c r="J42" i="19"/>
  <c r="I42" i="19"/>
  <c r="J187" i="19"/>
  <c r="I187" i="19"/>
  <c r="J358" i="19"/>
  <c r="I358" i="19"/>
  <c r="J128" i="19"/>
  <c r="I128" i="19"/>
  <c r="I168" i="19"/>
  <c r="J168" i="19"/>
  <c r="J58" i="19"/>
  <c r="I58" i="19"/>
  <c r="J169" i="19"/>
  <c r="I169" i="19"/>
  <c r="J373" i="19"/>
  <c r="I373" i="19"/>
  <c r="J215" i="19"/>
  <c r="I215" i="19"/>
  <c r="J268" i="19"/>
  <c r="I268" i="19"/>
  <c r="J301" i="19"/>
  <c r="I301" i="19"/>
  <c r="J198" i="19"/>
  <c r="I198" i="19"/>
  <c r="J16" i="19"/>
  <c r="I16" i="19"/>
  <c r="J125" i="19"/>
  <c r="I125" i="19"/>
  <c r="J131" i="19"/>
  <c r="I131" i="19"/>
  <c r="J246" i="19"/>
  <c r="I246" i="19"/>
  <c r="J14" i="19"/>
  <c r="I14" i="19"/>
  <c r="J151" i="19"/>
  <c r="I151" i="19"/>
  <c r="J347" i="19"/>
  <c r="I347" i="19"/>
  <c r="J415" i="19"/>
  <c r="I415" i="19"/>
  <c r="J434" i="19"/>
  <c r="I434" i="19"/>
  <c r="I36" i="19"/>
  <c r="J36" i="19"/>
  <c r="J397" i="19"/>
  <c r="I397" i="19"/>
  <c r="J147" i="19"/>
  <c r="I147" i="19"/>
  <c r="J395" i="19"/>
  <c r="I395" i="19"/>
  <c r="J123" i="19"/>
  <c r="I123" i="19"/>
  <c r="I467" i="19"/>
  <c r="J467" i="19"/>
  <c r="J273" i="19"/>
  <c r="I273" i="19"/>
  <c r="J418" i="19"/>
  <c r="I418" i="19"/>
  <c r="J421" i="19"/>
  <c r="I421" i="19"/>
  <c r="J212" i="19"/>
  <c r="I212" i="19"/>
  <c r="J97" i="19"/>
  <c r="I97" i="19"/>
  <c r="J292" i="19"/>
  <c r="I292" i="19"/>
  <c r="J248" i="19"/>
  <c r="I248" i="19"/>
  <c r="J308" i="19"/>
  <c r="I308" i="19"/>
  <c r="J331" i="19"/>
  <c r="I331" i="19"/>
  <c r="J87" i="19"/>
  <c r="I87" i="19"/>
  <c r="J138" i="19"/>
  <c r="I138" i="19"/>
  <c r="J243" i="19"/>
  <c r="I243" i="19"/>
  <c r="J258" i="19"/>
  <c r="I258" i="19"/>
  <c r="I411" i="19"/>
  <c r="J411" i="19"/>
  <c r="J61" i="19"/>
  <c r="I61" i="19"/>
  <c r="J460" i="19"/>
  <c r="I460" i="19"/>
  <c r="J132" i="19"/>
  <c r="I132" i="19"/>
  <c r="J501" i="19"/>
  <c r="I501" i="19"/>
  <c r="J507" i="19"/>
  <c r="I507" i="19"/>
  <c r="J430" i="19"/>
  <c r="I430" i="19"/>
  <c r="J72" i="19"/>
  <c r="I72" i="19"/>
  <c r="J407" i="19"/>
  <c r="I407" i="19"/>
  <c r="J157" i="19"/>
  <c r="I157" i="19"/>
  <c r="J186" i="19"/>
  <c r="I186" i="19"/>
  <c r="J274" i="19"/>
  <c r="I274" i="19"/>
  <c r="J73" i="19"/>
  <c r="I73" i="19"/>
  <c r="J351" i="19"/>
  <c r="I351" i="19"/>
  <c r="J202" i="19"/>
  <c r="I202" i="19"/>
  <c r="J163" i="19"/>
  <c r="I163" i="19"/>
  <c r="J28" i="19"/>
  <c r="I28" i="19"/>
  <c r="J438" i="19"/>
  <c r="I438" i="19"/>
  <c r="J257" i="19"/>
  <c r="I257" i="19"/>
  <c r="J335" i="19"/>
  <c r="I335" i="19"/>
  <c r="J111" i="19"/>
  <c r="I111" i="19"/>
  <c r="J81" i="19"/>
  <c r="I81" i="19"/>
  <c r="J486" i="19"/>
  <c r="I486" i="19"/>
  <c r="I330" i="19"/>
  <c r="J330" i="19"/>
  <c r="J18" i="19"/>
  <c r="I18" i="19"/>
  <c r="J219" i="19"/>
  <c r="I219" i="19"/>
  <c r="J179" i="19"/>
  <c r="I179" i="19"/>
  <c r="J266" i="19"/>
  <c r="I266" i="19"/>
  <c r="J420" i="19"/>
  <c r="I420" i="19"/>
  <c r="I41" i="19"/>
  <c r="J41" i="19"/>
  <c r="I203" i="19"/>
  <c r="J203" i="19"/>
  <c r="J230" i="19"/>
  <c r="I230" i="19"/>
  <c r="J134" i="19"/>
  <c r="I134" i="19"/>
  <c r="J102" i="19"/>
  <c r="I102" i="19"/>
  <c r="J298" i="19"/>
  <c r="I298" i="19"/>
  <c r="I31" i="19"/>
  <c r="J31" i="19"/>
  <c r="I38" i="19"/>
  <c r="J38" i="19"/>
  <c r="I503" i="19"/>
  <c r="J503" i="19"/>
  <c r="I385" i="19"/>
  <c r="J385" i="19"/>
  <c r="I191" i="19"/>
  <c r="J191" i="19"/>
  <c r="I63" i="19"/>
  <c r="J63" i="19"/>
  <c r="J439" i="19"/>
  <c r="I439" i="19"/>
  <c r="I74" i="19"/>
  <c r="J74" i="19"/>
  <c r="J278" i="19"/>
  <c r="I278" i="19"/>
  <c r="I436" i="19"/>
  <c r="J436" i="19"/>
  <c r="J178" i="19"/>
  <c r="I178" i="19"/>
  <c r="J345" i="19"/>
  <c r="I345" i="19"/>
  <c r="I443" i="19"/>
  <c r="J443" i="19"/>
  <c r="I431" i="19"/>
  <c r="J431" i="19"/>
  <c r="I56" i="19"/>
  <c r="I339" i="19"/>
  <c r="J339" i="19"/>
  <c r="I302" i="19"/>
  <c r="J302" i="19"/>
  <c r="I165" i="19"/>
  <c r="J165" i="19"/>
  <c r="I249" i="19"/>
  <c r="J249" i="19"/>
  <c r="I146" i="19"/>
  <c r="J146" i="19"/>
  <c r="J484" i="19"/>
  <c r="I484" i="19"/>
  <c r="J177" i="19"/>
  <c r="I177" i="19"/>
  <c r="J500" i="19"/>
  <c r="I500" i="19"/>
  <c r="J509" i="19"/>
  <c r="I509" i="19"/>
  <c r="I359" i="19"/>
  <c r="J359" i="19"/>
  <c r="J468" i="19"/>
  <c r="I468" i="19"/>
  <c r="I469" i="19"/>
  <c r="J469" i="19"/>
  <c r="I214" i="19"/>
  <c r="J214" i="19"/>
  <c r="I390" i="19"/>
  <c r="J390" i="19"/>
  <c r="J171" i="19"/>
  <c r="I171" i="19"/>
  <c r="J140" i="19"/>
  <c r="I140" i="19"/>
  <c r="J118" i="19"/>
  <c r="I118" i="19"/>
  <c r="I122" i="19"/>
  <c r="J122" i="19"/>
  <c r="I349" i="19"/>
  <c r="J349" i="19"/>
  <c r="J20" i="19"/>
  <c r="I20" i="19"/>
  <c r="I263" i="19"/>
  <c r="J263" i="19"/>
  <c r="I424" i="19"/>
  <c r="J424" i="19"/>
  <c r="I218" i="19"/>
  <c r="J218" i="19"/>
  <c r="I446" i="19"/>
  <c r="J446" i="19"/>
  <c r="I167" i="19"/>
  <c r="J167" i="19"/>
  <c r="I463" i="19"/>
  <c r="J463" i="19"/>
  <c r="J329" i="19"/>
  <c r="I329" i="19"/>
  <c r="J405" i="19"/>
  <c r="I405" i="19"/>
  <c r="J176" i="19"/>
  <c r="I176" i="19"/>
  <c r="I242" i="19"/>
  <c r="J242" i="19"/>
  <c r="I241" i="19"/>
  <c r="J241" i="19"/>
  <c r="I48" i="19"/>
  <c r="J48" i="19"/>
  <c r="I244" i="19"/>
  <c r="J244" i="19"/>
  <c r="I136" i="19"/>
  <c r="J136" i="19"/>
  <c r="I277" i="19"/>
  <c r="J277" i="19"/>
  <c r="J454" i="19"/>
  <c r="I454" i="19"/>
  <c r="J27" i="19"/>
  <c r="I27" i="19"/>
  <c r="I279" i="19"/>
  <c r="J279" i="19"/>
  <c r="J229" i="19"/>
  <c r="I229" i="19"/>
  <c r="J29" i="19"/>
  <c r="I29" i="19"/>
  <c r="I461" i="19"/>
  <c r="J461" i="19"/>
  <c r="I159" i="19"/>
  <c r="J159" i="19"/>
  <c r="I155" i="19"/>
  <c r="J155" i="19"/>
  <c r="I376" i="19"/>
  <c r="J376" i="19"/>
  <c r="I145" i="19"/>
  <c r="J145" i="19"/>
  <c r="I93" i="19"/>
  <c r="J93" i="19"/>
  <c r="J161" i="19"/>
  <c r="I161" i="19"/>
  <c r="I343" i="19"/>
  <c r="J343" i="19"/>
  <c r="J402" i="19"/>
  <c r="I402" i="19"/>
  <c r="J121" i="19"/>
  <c r="I121" i="19"/>
  <c r="J40" i="19"/>
  <c r="I40" i="19"/>
  <c r="I144" i="19"/>
  <c r="J144" i="19"/>
  <c r="I466" i="19"/>
  <c r="J466" i="19"/>
  <c r="J305" i="19"/>
  <c r="I305" i="19"/>
  <c r="I116" i="19"/>
  <c r="J116" i="19"/>
  <c r="I196" i="19"/>
  <c r="J196" i="19"/>
  <c r="I375" i="19"/>
  <c r="J375" i="19"/>
  <c r="J76" i="19"/>
  <c r="I76" i="19"/>
  <c r="J283" i="19"/>
  <c r="I283" i="19"/>
  <c r="J85" i="19"/>
  <c r="I85" i="19"/>
  <c r="I52" i="19"/>
  <c r="J52" i="19"/>
  <c r="I332" i="19"/>
  <c r="J332" i="19"/>
  <c r="I455" i="19"/>
  <c r="J455" i="19"/>
  <c r="I414" i="19"/>
  <c r="J414" i="19"/>
  <c r="I356" i="19"/>
  <c r="J356" i="19"/>
  <c r="I315" i="19"/>
  <c r="J315" i="19"/>
  <c r="I367" i="19"/>
  <c r="J367" i="19"/>
  <c r="I399" i="19"/>
  <c r="J399" i="19"/>
  <c r="I504" i="19"/>
  <c r="J504" i="19"/>
  <c r="J227" i="19"/>
  <c r="I227" i="19"/>
  <c r="J316" i="19"/>
  <c r="I316" i="19"/>
  <c r="J364" i="19"/>
  <c r="I364" i="19"/>
  <c r="I365" i="19"/>
  <c r="J365" i="19"/>
  <c r="J320" i="19"/>
  <c r="I320" i="19"/>
  <c r="J108" i="19"/>
  <c r="I108" i="19"/>
  <c r="J496" i="19"/>
  <c r="I496" i="19"/>
  <c r="J34" i="19"/>
  <c r="I34" i="19"/>
  <c r="J401" i="19"/>
  <c r="I401" i="19"/>
  <c r="J471" i="19"/>
  <c r="I471" i="19"/>
  <c r="J261" i="19"/>
  <c r="I261" i="19"/>
  <c r="J64" i="19"/>
  <c r="I64" i="19"/>
  <c r="J498" i="19"/>
  <c r="I498" i="19"/>
  <c r="J354" i="19"/>
  <c r="I354" i="19"/>
  <c r="J26" i="19"/>
  <c r="I26" i="19"/>
  <c r="J50" i="19"/>
  <c r="I50" i="19"/>
  <c r="J142" i="19"/>
  <c r="I142" i="19"/>
  <c r="J281" i="19"/>
  <c r="I281" i="19"/>
  <c r="J51" i="19"/>
  <c r="I51" i="19"/>
  <c r="I75" i="19"/>
  <c r="J75" i="19"/>
  <c r="I70" i="19"/>
  <c r="J70" i="19"/>
  <c r="J265" i="19"/>
  <c r="I265" i="19"/>
  <c r="J452" i="19"/>
  <c r="I452" i="19"/>
  <c r="I318" i="19"/>
  <c r="J318" i="19"/>
  <c r="I92" i="19"/>
  <c r="J92" i="19"/>
  <c r="I173" i="19"/>
  <c r="J173" i="19"/>
  <c r="J481" i="19"/>
  <c r="I481" i="19"/>
  <c r="J127" i="19"/>
  <c r="I127" i="19"/>
  <c r="J480" i="19"/>
  <c r="I480" i="19"/>
  <c r="J313" i="19"/>
  <c r="I313" i="19"/>
  <c r="J156" i="19"/>
  <c r="I156" i="19"/>
  <c r="J21" i="19"/>
  <c r="I21" i="19"/>
  <c r="J228" i="19"/>
  <c r="I228" i="19"/>
  <c r="I185" i="19"/>
  <c r="J185" i="19"/>
  <c r="I170" i="19"/>
  <c r="J170" i="19"/>
  <c r="I234" i="19"/>
  <c r="J234" i="19"/>
  <c r="I204" i="19"/>
  <c r="J204" i="19"/>
  <c r="I182" i="19"/>
  <c r="J182" i="19"/>
  <c r="J307" i="19"/>
  <c r="I307" i="19"/>
  <c r="J86" i="19"/>
  <c r="I86" i="19"/>
  <c r="J388" i="19"/>
  <c r="I388" i="19"/>
  <c r="I269" i="19"/>
  <c r="J269" i="19"/>
  <c r="I403" i="19"/>
  <c r="J403" i="19"/>
  <c r="I217" i="19"/>
  <c r="J217" i="19"/>
  <c r="I68" i="19"/>
  <c r="J68" i="19"/>
  <c r="I252" i="19"/>
  <c r="J252" i="19"/>
  <c r="I445" i="19"/>
  <c r="J445" i="19"/>
  <c r="J259" i="19"/>
  <c r="I259" i="19"/>
  <c r="J502" i="19"/>
  <c r="I502" i="19"/>
  <c r="J207" i="19"/>
  <c r="I207" i="19"/>
  <c r="J25" i="19"/>
  <c r="I25" i="19"/>
  <c r="I459" i="19"/>
  <c r="J459" i="19"/>
  <c r="I126" i="19"/>
  <c r="J126" i="19"/>
  <c r="I47" i="19"/>
  <c r="J47" i="19"/>
  <c r="J271" i="19"/>
  <c r="I271" i="19"/>
  <c r="I32" i="19"/>
  <c r="J32" i="19"/>
  <c r="I314" i="19"/>
  <c r="J314" i="19"/>
  <c r="J53" i="19"/>
  <c r="I53" i="19"/>
  <c r="I300" i="19"/>
  <c r="J300" i="19"/>
  <c r="J515" i="19"/>
  <c r="I515" i="19"/>
  <c r="J372" i="19"/>
  <c r="I372" i="19"/>
  <c r="J427" i="19"/>
  <c r="I427" i="19"/>
  <c r="I84" i="19"/>
  <c r="J84" i="19"/>
  <c r="I289" i="19"/>
  <c r="J289" i="19"/>
  <c r="J303" i="19"/>
  <c r="I303" i="19"/>
  <c r="I389" i="19"/>
  <c r="J389" i="19"/>
  <c r="I120" i="19"/>
  <c r="J120" i="19"/>
  <c r="J317" i="19"/>
  <c r="I317" i="19"/>
  <c r="J254" i="19"/>
  <c r="I254" i="19"/>
  <c r="J180" i="19"/>
  <c r="I180" i="19"/>
  <c r="J190" i="19"/>
  <c r="I190" i="19"/>
  <c r="I396" i="19"/>
  <c r="J396" i="19"/>
  <c r="J194" i="19"/>
  <c r="I194" i="19"/>
  <c r="I311" i="19"/>
  <c r="J311" i="19"/>
  <c r="J221" i="19"/>
  <c r="I221" i="19"/>
  <c r="I428" i="19"/>
  <c r="J428" i="19"/>
  <c r="I256" i="19"/>
  <c r="J256" i="19"/>
  <c r="I189" i="19"/>
  <c r="J189" i="19"/>
  <c r="I475" i="19"/>
  <c r="J475" i="19"/>
  <c r="I98" i="19"/>
  <c r="J98" i="19"/>
  <c r="J43" i="19"/>
  <c r="I43" i="19"/>
  <c r="J143" i="19"/>
  <c r="I143" i="19"/>
  <c r="I495" i="19"/>
  <c r="J495" i="19"/>
  <c r="J404" i="19"/>
  <c r="I404" i="19"/>
  <c r="J210" i="19"/>
  <c r="I210" i="19"/>
  <c r="I382" i="19"/>
  <c r="J382" i="19"/>
  <c r="I492" i="19"/>
  <c r="J492" i="19"/>
  <c r="I54" i="19"/>
  <c r="J54" i="19"/>
  <c r="I237" i="19"/>
  <c r="J237" i="19"/>
  <c r="I106" i="19"/>
  <c r="J106" i="19"/>
  <c r="J473" i="19"/>
  <c r="I473" i="19"/>
  <c r="I410" i="19"/>
  <c r="J410" i="19"/>
  <c r="J175" i="19"/>
  <c r="I175" i="19"/>
  <c r="J491" i="19"/>
  <c r="I491" i="19"/>
  <c r="I419" i="19"/>
  <c r="J419" i="19"/>
  <c r="I378" i="19"/>
  <c r="J378" i="19"/>
  <c r="I392" i="19"/>
  <c r="J392" i="19"/>
  <c r="I226" i="19"/>
  <c r="J226" i="19"/>
  <c r="I193" i="19"/>
  <c r="J193" i="19"/>
  <c r="I82" i="19"/>
  <c r="J82" i="19"/>
  <c r="I409" i="19"/>
  <c r="J409" i="19"/>
  <c r="I328" i="19"/>
  <c r="J328" i="19"/>
  <c r="J184" i="19"/>
  <c r="I184" i="19"/>
  <c r="J406" i="19"/>
  <c r="I406" i="19"/>
  <c r="J117" i="19"/>
  <c r="I117" i="19"/>
  <c r="I426" i="19"/>
  <c r="J426" i="19"/>
  <c r="J304" i="19"/>
  <c r="I304" i="19"/>
  <c r="J153" i="19"/>
  <c r="I153" i="19"/>
  <c r="J152" i="19"/>
  <c r="I152" i="19"/>
  <c r="J192" i="19"/>
  <c r="I192" i="19"/>
  <c r="J164" i="19"/>
  <c r="I164" i="19"/>
  <c r="J183" i="19"/>
  <c r="I183" i="19"/>
  <c r="J444" i="19"/>
  <c r="I444" i="19"/>
  <c r="J352" i="19"/>
  <c r="I352" i="19"/>
  <c r="J368" i="19"/>
  <c r="I368" i="19"/>
  <c r="J197" i="19"/>
  <c r="I197" i="19"/>
  <c r="J408" i="19"/>
  <c r="I408" i="19"/>
  <c r="J336" i="19"/>
  <c r="I336" i="19"/>
  <c r="J490" i="19"/>
  <c r="I490" i="19"/>
  <c r="J369" i="19"/>
  <c r="I369" i="19"/>
  <c r="J286" i="19"/>
  <c r="I286" i="19"/>
  <c r="I211" i="19"/>
  <c r="J211" i="19"/>
  <c r="I310" i="19"/>
  <c r="J310" i="19"/>
  <c r="J499" i="19"/>
  <c r="I499" i="19"/>
  <c r="I115" i="19"/>
  <c r="J115" i="19"/>
  <c r="I141" i="19"/>
  <c r="J141" i="19"/>
  <c r="I340" i="19"/>
  <c r="J340" i="19"/>
  <c r="J325" i="19"/>
  <c r="I325" i="19"/>
  <c r="J232" i="19"/>
  <c r="I232" i="19"/>
  <c r="J323" i="19"/>
  <c r="I323" i="19"/>
  <c r="I130" i="19"/>
  <c r="J130" i="19"/>
  <c r="J233" i="19"/>
  <c r="I233" i="19"/>
  <c r="I458" i="19"/>
  <c r="J458" i="19"/>
  <c r="I363" i="19"/>
  <c r="J363" i="19"/>
  <c r="I83" i="19"/>
  <c r="J83" i="19"/>
  <c r="I60" i="19"/>
  <c r="J60" i="19"/>
  <c r="I235" i="19"/>
  <c r="J235" i="19"/>
  <c r="I39" i="19"/>
  <c r="J39" i="19"/>
  <c r="I150" i="19"/>
  <c r="J150" i="19"/>
  <c r="J374" i="19"/>
  <c r="I374" i="19"/>
  <c r="J508" i="19"/>
  <c r="I508" i="19"/>
  <c r="J255" i="19"/>
  <c r="I255" i="19"/>
  <c r="J119" i="19"/>
  <c r="I119" i="19"/>
  <c r="J360" i="19"/>
  <c r="I360" i="19"/>
  <c r="J456" i="19"/>
  <c r="I456" i="19"/>
  <c r="I71" i="19"/>
  <c r="J71" i="19"/>
  <c r="I110" i="19"/>
  <c r="J110" i="19"/>
  <c r="I306" i="19"/>
  <c r="J306" i="19"/>
  <c r="J489" i="19"/>
  <c r="I489" i="19"/>
  <c r="J447" i="19"/>
  <c r="I447" i="19"/>
  <c r="J89" i="19"/>
  <c r="I89" i="19"/>
  <c r="I450" i="19"/>
  <c r="J450" i="19"/>
  <c r="J158" i="19"/>
  <c r="I158" i="19"/>
  <c r="I49" i="19"/>
  <c r="J49" i="19"/>
  <c r="J216" i="19"/>
  <c r="I216" i="19"/>
  <c r="I33" i="19"/>
  <c r="J33" i="19"/>
  <c r="I206" i="19"/>
  <c r="J206" i="19"/>
  <c r="I386" i="19"/>
  <c r="J386" i="19"/>
  <c r="I511" i="19"/>
  <c r="J511" i="19"/>
  <c r="I506" i="19"/>
  <c r="J506" i="19"/>
  <c r="J239" i="19"/>
  <c r="I239" i="19"/>
  <c r="J253" i="19"/>
  <c r="I253" i="19"/>
  <c r="J224" i="19"/>
  <c r="I224" i="19"/>
  <c r="J497" i="19"/>
  <c r="I497" i="19"/>
  <c r="I429" i="19"/>
  <c r="J429" i="19"/>
  <c r="I285" i="19"/>
  <c r="J285" i="19"/>
  <c r="J114" i="19"/>
  <c r="I114" i="19"/>
  <c r="I154" i="19"/>
  <c r="J154" i="19"/>
  <c r="I181" i="19"/>
  <c r="J181" i="19"/>
  <c r="I357" i="19"/>
  <c r="J357" i="19"/>
  <c r="J435" i="19"/>
  <c r="I435" i="19"/>
  <c r="J280" i="19"/>
  <c r="I280" i="19"/>
  <c r="J55" i="19"/>
  <c r="I55" i="19"/>
  <c r="I113" i="19"/>
  <c r="J113" i="19"/>
  <c r="J282" i="19"/>
  <c r="I282" i="19"/>
  <c r="I432" i="19"/>
  <c r="J432" i="19"/>
  <c r="I366" i="19"/>
  <c r="J366" i="19"/>
  <c r="I200" i="19"/>
  <c r="J200" i="19"/>
  <c r="I104" i="19"/>
  <c r="J104" i="19"/>
  <c r="I293" i="19"/>
  <c r="J293" i="19"/>
  <c r="I512" i="19"/>
  <c r="J512" i="19"/>
  <c r="I188" i="19"/>
  <c r="J188" i="19"/>
  <c r="J319" i="19"/>
  <c r="I319" i="19"/>
  <c r="J80" i="19"/>
  <c r="I80" i="19"/>
  <c r="J79" i="19"/>
  <c r="I79" i="19"/>
  <c r="I59" i="19"/>
  <c r="J59" i="19"/>
  <c r="I101" i="19"/>
  <c r="J101" i="19"/>
  <c r="I394" i="19"/>
  <c r="J394" i="19"/>
  <c r="I267" i="19"/>
  <c r="J267" i="19"/>
  <c r="I78" i="19"/>
  <c r="J78" i="19"/>
  <c r="I287" i="19"/>
  <c r="J287" i="19"/>
  <c r="J474" i="19"/>
  <c r="I474" i="19"/>
  <c r="J272" i="19"/>
  <c r="I272" i="19"/>
  <c r="I393" i="19"/>
  <c r="J393" i="19"/>
  <c r="J276" i="19"/>
  <c r="I276" i="19"/>
  <c r="J65" i="19"/>
  <c r="I65" i="19"/>
  <c r="I470" i="19"/>
  <c r="J470" i="19"/>
  <c r="J69" i="19"/>
  <c r="I69" i="19"/>
  <c r="I225" i="19"/>
  <c r="J225" i="19"/>
  <c r="I327" i="19"/>
  <c r="J327" i="19"/>
  <c r="I112" i="19"/>
  <c r="J112" i="19"/>
  <c r="I338" i="19"/>
  <c r="J338" i="19"/>
  <c r="I417" i="19"/>
  <c r="J417" i="19"/>
  <c r="I35" i="19"/>
  <c r="J35" i="19"/>
  <c r="J413" i="19"/>
  <c r="I413" i="19"/>
  <c r="J472" i="19"/>
  <c r="I472" i="19"/>
  <c r="J148" i="19"/>
  <c r="I148" i="19"/>
  <c r="I449" i="19"/>
  <c r="J449" i="19"/>
  <c r="J195" i="19"/>
  <c r="I195" i="19"/>
  <c r="J137" i="19"/>
  <c r="I137" i="19"/>
  <c r="J247" i="19"/>
  <c r="I247" i="19"/>
  <c r="J24" i="19"/>
  <c r="I24" i="19"/>
  <c r="J264" i="19"/>
  <c r="I264" i="19"/>
  <c r="J107" i="19"/>
  <c r="I107" i="19"/>
  <c r="J440" i="19"/>
  <c r="I440" i="19"/>
  <c r="J223" i="19"/>
  <c r="I223" i="19"/>
  <c r="J462" i="19"/>
  <c r="I462" i="19"/>
  <c r="J46" i="19"/>
  <c r="I46" i="19"/>
  <c r="J482" i="19"/>
  <c r="I482" i="19"/>
  <c r="J296" i="19"/>
  <c r="I296" i="19"/>
  <c r="J341" i="19"/>
  <c r="I341" i="19"/>
  <c r="J251" i="19"/>
  <c r="I251" i="19"/>
  <c r="J487" i="19"/>
  <c r="I487" i="19"/>
  <c r="I174" i="19"/>
  <c r="J174" i="19"/>
  <c r="I355" i="19"/>
  <c r="J355" i="19"/>
  <c r="J135" i="19"/>
  <c r="I135" i="19"/>
  <c r="I44" i="19"/>
  <c r="J44" i="19"/>
  <c r="I344" i="19"/>
  <c r="J344" i="19"/>
  <c r="I380" i="19"/>
  <c r="J380" i="19"/>
  <c r="I270" i="19"/>
  <c r="J270" i="19"/>
  <c r="J295" i="19"/>
  <c r="I295" i="19"/>
  <c r="J90" i="19"/>
  <c r="I90" i="19"/>
  <c r="J66" i="19"/>
  <c r="I66" i="19"/>
  <c r="I346" i="19"/>
  <c r="J346" i="19"/>
  <c r="J485" i="19"/>
  <c r="I485" i="19"/>
  <c r="I19" i="19"/>
  <c r="J19" i="19"/>
  <c r="I23" i="19"/>
  <c r="J23" i="19"/>
  <c r="I465" i="19"/>
  <c r="J465" i="19"/>
  <c r="I398" i="19"/>
  <c r="J398" i="19"/>
  <c r="I124" i="19"/>
  <c r="J124" i="19"/>
  <c r="I448" i="19"/>
  <c r="J448" i="19"/>
  <c r="J423" i="19"/>
  <c r="I423" i="19"/>
  <c r="J17" i="19"/>
  <c r="I17" i="19"/>
  <c r="J199" i="19"/>
  <c r="I199" i="19"/>
  <c r="I88" i="19"/>
  <c r="J88" i="19"/>
  <c r="I322" i="19"/>
  <c r="J322" i="19"/>
  <c r="J22" i="19"/>
  <c r="I22" i="19"/>
  <c r="I220" i="19"/>
  <c r="J220" i="19"/>
  <c r="I162" i="19"/>
  <c r="J162" i="19"/>
  <c r="I353" i="19"/>
  <c r="J353" i="19"/>
  <c r="J350" i="19"/>
  <c r="I350" i="19"/>
  <c r="J326" i="19"/>
  <c r="I326" i="19"/>
  <c r="J236" i="19"/>
  <c r="I236" i="19"/>
  <c r="I453" i="19"/>
  <c r="J453" i="19"/>
  <c r="J250" i="19"/>
  <c r="I250" i="19"/>
  <c r="I381" i="19"/>
  <c r="J381" i="19"/>
  <c r="I348" i="19"/>
  <c r="J348" i="19"/>
  <c r="I105" i="19"/>
  <c r="J105" i="19"/>
  <c r="I451" i="19"/>
  <c r="J451" i="19"/>
  <c r="I238" i="19"/>
  <c r="J238" i="19"/>
  <c r="I284" i="19"/>
  <c r="J284" i="19"/>
  <c r="I222" i="19"/>
  <c r="J222" i="19"/>
  <c r="I172" i="19"/>
  <c r="J172" i="19"/>
  <c r="J67" i="19"/>
  <c r="I67" i="19"/>
  <c r="J166" i="19"/>
  <c r="I166" i="19"/>
  <c r="J505" i="19"/>
  <c r="I505" i="19"/>
  <c r="I205" i="19"/>
  <c r="J205" i="19"/>
  <c r="I384" i="19"/>
  <c r="J384" i="19"/>
  <c r="J94" i="19"/>
  <c r="I94" i="19"/>
  <c r="I15" i="19"/>
  <c r="J15" i="19"/>
  <c r="J231" i="19"/>
  <c r="I231" i="19"/>
  <c r="I416" i="19"/>
  <c r="J416" i="19"/>
  <c r="J312" i="19"/>
  <c r="I312" i="19"/>
  <c r="I342" i="19"/>
  <c r="J342" i="19"/>
  <c r="J139" i="19"/>
  <c r="I139" i="19"/>
  <c r="J377" i="19"/>
  <c r="I377" i="19"/>
  <c r="I383" i="19"/>
  <c r="J383" i="19"/>
  <c r="I442" i="19"/>
  <c r="J442" i="19"/>
  <c r="I477" i="19"/>
  <c r="J477" i="19"/>
  <c r="I30" i="19"/>
  <c r="J30" i="19"/>
  <c r="I208" i="19"/>
  <c r="J208" i="19"/>
  <c r="I133" i="19"/>
  <c r="J133" i="19"/>
  <c r="I387" i="19"/>
  <c r="J387" i="19"/>
  <c r="I422" i="19"/>
  <c r="J422" i="19"/>
  <c r="J412" i="19"/>
  <c r="I412" i="19"/>
  <c r="I334" i="19"/>
  <c r="J334" i="19"/>
  <c r="J294" i="19"/>
  <c r="I294" i="19"/>
  <c r="I96" i="19"/>
  <c r="J96" i="19"/>
  <c r="I297" i="19"/>
  <c r="J297" i="19"/>
  <c r="J488" i="19"/>
  <c r="I488" i="19"/>
  <c r="I464" i="19"/>
  <c r="J464" i="19"/>
  <c r="I129" i="19"/>
  <c r="J129" i="19"/>
  <c r="I333" i="19"/>
  <c r="J333" i="19"/>
  <c r="I57" i="19"/>
  <c r="J209" i="19"/>
  <c r="I209" i="19"/>
  <c r="I483" i="19"/>
  <c r="J483" i="19"/>
  <c r="I371" i="19"/>
  <c r="J371" i="19"/>
  <c r="J213" i="19"/>
  <c r="I213" i="19"/>
  <c r="I37" i="19"/>
  <c r="J37" i="19"/>
  <c r="J288" i="19"/>
  <c r="I288" i="19"/>
  <c r="I45" i="19"/>
  <c r="J45" i="19"/>
  <c r="I370" i="19"/>
  <c r="J370" i="19"/>
  <c r="I299" i="19"/>
  <c r="J299" i="19"/>
  <c r="I400" i="19"/>
  <c r="J400" i="19"/>
  <c r="I109" i="19"/>
  <c r="J109" i="19"/>
  <c r="J514" i="19"/>
  <c r="I514" i="19"/>
  <c r="J441" i="19"/>
  <c r="I441" i="19"/>
  <c r="J513" i="19"/>
  <c r="I513" i="19"/>
  <c r="J476" i="19"/>
  <c r="I476" i="19"/>
  <c r="J245" i="19"/>
  <c r="I245" i="19"/>
  <c r="I62" i="19"/>
  <c r="J62" i="19"/>
  <c r="J337" i="19"/>
  <c r="I337" i="19"/>
  <c r="J309" i="19"/>
  <c r="I309" i="19"/>
  <c r="J391" i="19"/>
  <c r="I391" i="19"/>
  <c r="J494" i="19"/>
  <c r="I494" i="19"/>
  <c r="J321" i="19"/>
  <c r="I321" i="19"/>
  <c r="J275" i="19"/>
  <c r="I275" i="19"/>
  <c r="J201" i="19"/>
  <c r="I201" i="19"/>
  <c r="J160" i="19"/>
  <c r="I160" i="19"/>
  <c r="J457" i="19"/>
  <c r="I457" i="19"/>
  <c r="J479" i="19"/>
  <c r="I479" i="19"/>
  <c r="J149" i="19"/>
  <c r="I149" i="19"/>
  <c r="J99" i="19"/>
  <c r="I99" i="19"/>
  <c r="I425" i="19"/>
  <c r="J425" i="19"/>
  <c r="G13" i="2"/>
  <c r="G9" i="2"/>
  <c r="F9" i="2"/>
  <c r="F13" i="2"/>
  <c r="K14" i="16"/>
  <c r="K10" i="16"/>
  <c r="C8" i="19" l="1"/>
  <c r="E8" i="19"/>
  <c r="H10" i="16"/>
  <c r="J10" i="16"/>
  <c r="D10" i="16"/>
  <c r="F14" i="16"/>
  <c r="D14" i="16"/>
  <c r="J14" i="16"/>
  <c r="H14" i="16"/>
  <c r="F10" i="16"/>
  <c r="D8" i="19" l="1"/>
  <c r="F8" i="19" s="1"/>
  <c r="K13" i="16" l="1"/>
  <c r="G10" i="6"/>
  <c r="G14" i="6"/>
  <c r="G10" i="7"/>
  <c r="G14" i="7"/>
  <c r="F62" i="3"/>
  <c r="H62" i="3" s="1"/>
  <c r="F61" i="3"/>
  <c r="H61" i="3" s="1"/>
  <c r="F60" i="3"/>
  <c r="H60" i="3" s="1"/>
  <c r="F59" i="3"/>
  <c r="H59" i="3" s="1"/>
  <c r="F58" i="3"/>
  <c r="H58" i="3" s="1"/>
  <c r="F57" i="3"/>
  <c r="H57" i="3" s="1"/>
  <c r="H12" i="3" l="1"/>
  <c r="F13" i="16"/>
  <c r="J13" i="16"/>
  <c r="D13" i="16"/>
  <c r="H13" i="16"/>
  <c r="H63" i="3"/>
  <c r="H15" i="3" s="1"/>
  <c r="F13" i="4"/>
  <c r="G13" i="4" s="1"/>
  <c r="E13" i="18" l="1"/>
  <c r="C13" i="24"/>
  <c r="E13" i="24" s="1"/>
  <c r="E13" i="6" s="1"/>
  <c r="C13" i="6"/>
  <c r="C13" i="18"/>
  <c r="C13" i="7"/>
  <c r="C10" i="7"/>
  <c r="C10" i="6"/>
  <c r="C10" i="18"/>
  <c r="E10" i="5"/>
  <c r="D14" i="24" l="1"/>
  <c r="E14" i="7"/>
  <c r="D10" i="24"/>
  <c r="E10" i="7"/>
  <c r="D10" i="7" s="1"/>
  <c r="F10" i="7" s="1"/>
  <c r="H10" i="7" s="1"/>
  <c r="D10" i="18"/>
  <c r="F10" i="18" s="1"/>
  <c r="H10" i="18" s="1"/>
  <c r="E10" i="24" l="1"/>
  <c r="E10" i="6" s="1"/>
  <c r="D10" i="6" s="1"/>
  <c r="F10" i="6" s="1"/>
  <c r="H10" i="6" s="1"/>
  <c r="F34" i="13"/>
  <c r="F33" i="13"/>
  <c r="G11" i="2" l="1"/>
  <c r="G12" i="2"/>
  <c r="G15" i="2"/>
  <c r="G8" i="2" l="1"/>
  <c r="F15" i="4" l="1"/>
  <c r="G15" i="4" s="1"/>
  <c r="F15" i="2"/>
  <c r="E15" i="18" l="1"/>
  <c r="C15" i="24"/>
  <c r="F18" i="10"/>
  <c r="H16" i="10"/>
  <c r="H25" i="10" l="1"/>
  <c r="D25" i="10"/>
  <c r="F25" i="10"/>
  <c r="F40" i="14"/>
  <c r="F69" i="3" l="1"/>
  <c r="F52" i="3"/>
  <c r="F68" i="3" l="1"/>
  <c r="H68" i="3" s="1"/>
  <c r="F51" i="3"/>
  <c r="H51" i="3" s="1"/>
  <c r="H65" i="3"/>
  <c r="F53" i="3"/>
  <c r="H53" i="3" s="1"/>
  <c r="F66" i="3"/>
  <c r="H66" i="3" s="1"/>
  <c r="H52" i="3"/>
  <c r="F49" i="3"/>
  <c r="H49" i="3" s="1"/>
  <c r="F54" i="3"/>
  <c r="H54" i="3" s="1"/>
  <c r="F50" i="3"/>
  <c r="H50" i="3" s="1"/>
  <c r="F70" i="3"/>
  <c r="H70" i="3" s="1"/>
  <c r="F67" i="3"/>
  <c r="H67" i="3" s="1"/>
  <c r="H69" i="3"/>
  <c r="H11" i="3" l="1"/>
  <c r="H71" i="3"/>
  <c r="H16" i="3" s="1"/>
  <c r="H55" i="3"/>
  <c r="H14" i="3" s="1"/>
  <c r="H19" i="3" l="1"/>
  <c r="C12" i="7"/>
  <c r="C12" i="18"/>
  <c r="C12" i="6"/>
  <c r="C14" i="6"/>
  <c r="C14" i="18"/>
  <c r="C14" i="7"/>
  <c r="D14" i="7" s="1"/>
  <c r="F14" i="7" s="1"/>
  <c r="H14" i="7" s="1"/>
  <c r="H20" i="3"/>
  <c r="F10" i="13" l="1"/>
  <c r="F31" i="13"/>
  <c r="F26" i="13" l="1"/>
  <c r="F25" i="13"/>
  <c r="F20" i="13"/>
  <c r="F14" i="13"/>
  <c r="G9" i="18" l="1"/>
  <c r="K15" i="16" l="1"/>
  <c r="K12" i="16"/>
  <c r="D12" i="16" l="1"/>
  <c r="J12" i="16"/>
  <c r="D15" i="16"/>
  <c r="J15" i="16"/>
  <c r="F12" i="16"/>
  <c r="F15" i="16"/>
  <c r="H12" i="16"/>
  <c r="H15" i="16"/>
  <c r="F39" i="14" l="1"/>
  <c r="F38" i="14"/>
  <c r="F37" i="14"/>
  <c r="F36" i="14"/>
  <c r="F35" i="14"/>
  <c r="F34" i="14"/>
  <c r="F33" i="14"/>
  <c r="F32" i="14"/>
  <c r="F31" i="14"/>
  <c r="F30" i="14"/>
  <c r="F29" i="14"/>
  <c r="F28" i="14"/>
  <c r="F27" i="14"/>
  <c r="F26" i="14"/>
  <c r="F25" i="14"/>
  <c r="F24" i="14"/>
  <c r="F23" i="14"/>
  <c r="F22" i="14"/>
  <c r="F21" i="14"/>
  <c r="F20" i="14"/>
  <c r="F19" i="14"/>
  <c r="F18" i="14"/>
  <c r="F17" i="14"/>
  <c r="F16" i="14"/>
  <c r="F15" i="14"/>
  <c r="F14" i="14"/>
  <c r="F13" i="14"/>
  <c r="F46" i="14" l="1"/>
  <c r="F45" i="14"/>
  <c r="G12" i="7"/>
  <c r="G13" i="7"/>
  <c r="G15" i="7"/>
  <c r="G9" i="7"/>
  <c r="G12" i="6"/>
  <c r="G13" i="6"/>
  <c r="G15" i="6"/>
  <c r="G9" i="6"/>
  <c r="F32" i="13"/>
  <c r="F30" i="13"/>
  <c r="F29" i="13"/>
  <c r="F28" i="13"/>
  <c r="F27" i="13"/>
  <c r="F24" i="13"/>
  <c r="F23" i="13"/>
  <c r="F22" i="13"/>
  <c r="F21" i="13"/>
  <c r="F19" i="13"/>
  <c r="F18" i="13"/>
  <c r="F17" i="13"/>
  <c r="F16" i="13"/>
  <c r="F15" i="13"/>
  <c r="F13" i="13"/>
  <c r="F12" i="13"/>
  <c r="F11" i="13"/>
  <c r="F9" i="13"/>
  <c r="F11" i="2"/>
  <c r="F12" i="2"/>
  <c r="F14" i="2"/>
  <c r="F40" i="13" l="1"/>
  <c r="C9" i="18"/>
  <c r="F11" i="4"/>
  <c r="G11" i="4" s="1"/>
  <c r="F12" i="4"/>
  <c r="G12" i="4" s="1"/>
  <c r="F14" i="4"/>
  <c r="G14" i="4" s="1"/>
  <c r="G18" i="4" l="1"/>
  <c r="G17" i="4"/>
  <c r="E12" i="18"/>
  <c r="D12" i="18" s="1"/>
  <c r="F12" i="18" s="1"/>
  <c r="H12" i="18" s="1"/>
  <c r="C12" i="24"/>
  <c r="E14" i="18"/>
  <c r="D14" i="18" s="1"/>
  <c r="F14" i="18" s="1"/>
  <c r="H14" i="18" s="1"/>
  <c r="C14" i="24"/>
  <c r="E14" i="24" s="1"/>
  <c r="E14" i="6" s="1"/>
  <c r="D14" i="6" s="1"/>
  <c r="F14" i="6" s="1"/>
  <c r="H14" i="6" s="1"/>
  <c r="E11" i="18"/>
  <c r="D11" i="18" s="1"/>
  <c r="F11" i="18" s="1"/>
  <c r="H11" i="18" s="1"/>
  <c r="C11" i="24"/>
  <c r="E15" i="5"/>
  <c r="D15" i="18"/>
  <c r="F15" i="18" s="1"/>
  <c r="H15" i="18" s="1"/>
  <c r="E12" i="5"/>
  <c r="D13" i="18"/>
  <c r="F13" i="18" s="1"/>
  <c r="H13" i="18" s="1"/>
  <c r="C9" i="6"/>
  <c r="D13" i="7"/>
  <c r="F13" i="7" s="1"/>
  <c r="H13" i="7" s="1"/>
  <c r="C9" i="7"/>
  <c r="C18" i="24" l="1"/>
  <c r="E11" i="24"/>
  <c r="E11" i="6" s="1"/>
  <c r="D11" i="6" s="1"/>
  <c r="F11" i="6" s="1"/>
  <c r="H11" i="6" s="1"/>
  <c r="C17" i="24"/>
  <c r="D15" i="24"/>
  <c r="E15" i="24" s="1"/>
  <c r="E15" i="6" s="1"/>
  <c r="D15" i="6" s="1"/>
  <c r="F15" i="6" s="1"/>
  <c r="H15" i="6" s="1"/>
  <c r="E15" i="7"/>
  <c r="D15" i="7" s="1"/>
  <c r="F15" i="7" s="1"/>
  <c r="H15" i="7" s="1"/>
  <c r="D12" i="24"/>
  <c r="E12" i="24" s="1"/>
  <c r="E12" i="6" s="1"/>
  <c r="D12" i="6" s="1"/>
  <c r="F12" i="6" s="1"/>
  <c r="H12" i="6" s="1"/>
  <c r="E12" i="7"/>
  <c r="D12" i="7" s="1"/>
  <c r="F12" i="7" s="1"/>
  <c r="H12" i="7" s="1"/>
  <c r="E9" i="5"/>
  <c r="D13" i="6"/>
  <c r="F13" i="6" s="1"/>
  <c r="H13" i="6" s="1"/>
  <c r="D9" i="18"/>
  <c r="F9" i="18" s="1"/>
  <c r="D9" i="24" l="1"/>
  <c r="E9" i="7"/>
  <c r="D9" i="7" s="1"/>
  <c r="F9" i="7" s="1"/>
  <c r="H9" i="7" s="1"/>
  <c r="F17" i="18"/>
  <c r="F18" i="18"/>
  <c r="F21" i="18"/>
  <c r="F20" i="18"/>
  <c r="F19" i="18"/>
  <c r="H9" i="18"/>
  <c r="F19" i="7" l="1"/>
  <c r="F17" i="7"/>
  <c r="F18" i="7"/>
  <c r="F20" i="7"/>
  <c r="F21" i="7"/>
  <c r="E9" i="24"/>
  <c r="D17" i="24"/>
  <c r="D18" i="24"/>
  <c r="H21" i="18"/>
  <c r="H17" i="18"/>
  <c r="H20" i="18"/>
  <c r="H19" i="18"/>
  <c r="H18" i="18"/>
  <c r="K9" i="16"/>
  <c r="H9" i="16" l="1"/>
  <c r="H17" i="16" s="1"/>
  <c r="D9" i="16"/>
  <c r="D17" i="16" s="1"/>
  <c r="H21" i="7"/>
  <c r="H18" i="7"/>
  <c r="H17" i="7"/>
  <c r="H20" i="7"/>
  <c r="H19" i="7"/>
  <c r="E9" i="6"/>
  <c r="D9" i="6" s="1"/>
  <c r="F9" i="6" s="1"/>
  <c r="E18" i="24"/>
  <c r="E17" i="24"/>
  <c r="J9" i="16"/>
  <c r="J17" i="16" s="1"/>
  <c r="F9" i="16"/>
  <c r="F17" i="16" s="1"/>
  <c r="F20" i="6" l="1"/>
  <c r="F18" i="6"/>
  <c r="F19" i="6"/>
  <c r="H9" i="6"/>
  <c r="F21" i="6"/>
  <c r="F17" i="6"/>
  <c r="F8" i="2"/>
  <c r="H21" i="6" l="1"/>
  <c r="H18" i="6"/>
  <c r="H17" i="6"/>
  <c r="H20" i="6"/>
  <c r="H19" i="6"/>
</calcChain>
</file>

<file path=xl/sharedStrings.xml><?xml version="1.0" encoding="utf-8"?>
<sst xmlns="http://schemas.openxmlformats.org/spreadsheetml/2006/main" count="1877" uniqueCount="1292">
  <si>
    <t>High</t>
  </si>
  <si>
    <t>Median</t>
  </si>
  <si>
    <t>Low</t>
  </si>
  <si>
    <t>MDU Resources Group, Inc.</t>
  </si>
  <si>
    <t>Moody's</t>
  </si>
  <si>
    <t>A3</t>
  </si>
  <si>
    <t>A2</t>
  </si>
  <si>
    <t>Average</t>
  </si>
  <si>
    <t>Dividend</t>
  </si>
  <si>
    <t>Yield</t>
  </si>
  <si>
    <t>NWN</t>
  </si>
  <si>
    <t>EPS</t>
  </si>
  <si>
    <t>DPS</t>
  </si>
  <si>
    <t>ROE</t>
  </si>
  <si>
    <t>Investor
Required
Return</t>
  </si>
  <si>
    <t>Flotation
Cost Adjustment</t>
  </si>
  <si>
    <t>Cost of Capital</t>
  </si>
  <si>
    <t>Flotation Cost Adjustment</t>
  </si>
  <si>
    <t>%</t>
  </si>
  <si>
    <t>Baa1</t>
  </si>
  <si>
    <t>GAS</t>
  </si>
  <si>
    <t>NJR</t>
  </si>
  <si>
    <t>Long-Term Debt</t>
  </si>
  <si>
    <t>Baa2</t>
  </si>
  <si>
    <t>SWX</t>
  </si>
  <si>
    <t>A-</t>
  </si>
  <si>
    <t>BBB</t>
  </si>
  <si>
    <t>BBB+</t>
  </si>
  <si>
    <t>A+</t>
  </si>
  <si>
    <t>A</t>
  </si>
  <si>
    <t>1/</t>
  </si>
  <si>
    <t>Short-Term 
Debt</t>
  </si>
  <si>
    <t>AGL Resources Inc.</t>
  </si>
  <si>
    <t>Selected Natural Gas Distribution Companies</t>
  </si>
  <si>
    <t>Standard &amp; Poor's</t>
  </si>
  <si>
    <t>AAA</t>
  </si>
  <si>
    <t>AA+</t>
  </si>
  <si>
    <t>AA</t>
  </si>
  <si>
    <t>Aaa</t>
  </si>
  <si>
    <t>Aa1</t>
  </si>
  <si>
    <t>Aa2</t>
  </si>
  <si>
    <t>A1</t>
  </si>
  <si>
    <t>Dividend Yields</t>
  </si>
  <si>
    <t>Projected Earnings Retention Growth Rates</t>
  </si>
  <si>
    <t>Retention Rate</t>
  </si>
  <si>
    <t>Retention Growth</t>
  </si>
  <si>
    <t>Weighted Average</t>
  </si>
  <si>
    <t>--</t>
  </si>
  <si>
    <t>Dividend Yield</t>
  </si>
  <si>
    <t>Expected Growth Rate (g)</t>
  </si>
  <si>
    <t>Investor Required Return</t>
  </si>
  <si>
    <t>Secondary Market:</t>
  </si>
  <si>
    <t>Primary Market:</t>
  </si>
  <si>
    <t>Dividend Yield x
(1 + 0.625g)</t>
  </si>
  <si>
    <t>Basic DCF Calculation</t>
  </si>
  <si>
    <t>Preferred Stock</t>
  </si>
  <si>
    <t>Common Equity</t>
  </si>
  <si>
    <t>Total Capital</t>
  </si>
  <si>
    <t>Issuer</t>
  </si>
  <si>
    <t>Date of Offering</t>
  </si>
  <si>
    <t>Number of Shares</t>
  </si>
  <si>
    <t>Issue Price</t>
  </si>
  <si>
    <t>Net Proceeds Per Share</t>
  </si>
  <si>
    <t>Financing Costs as a Percent of Net Proceeds</t>
  </si>
  <si>
    <t>Vectren Corporation</t>
  </si>
  <si>
    <t>Sempra Energy</t>
  </si>
  <si>
    <t>NiSource Inc.</t>
  </si>
  <si>
    <t>Gas Natural Inc.</t>
  </si>
  <si>
    <t>Selected Flotation Costs for Cost of Equity:</t>
  </si>
  <si>
    <t>General Economic Statistics</t>
  </si>
  <si>
    <t>Percentage Price Changes</t>
  </si>
  <si>
    <t>Consumer</t>
  </si>
  <si>
    <t>GDP</t>
  </si>
  <si>
    <t>Real</t>
  </si>
  <si>
    <t>Nominal</t>
  </si>
  <si>
    <t>Price</t>
  </si>
  <si>
    <t>Implicit Price</t>
  </si>
  <si>
    <t>Year</t>
  </si>
  <si>
    <t>Growth</t>
  </si>
  <si>
    <t>Bond Yield Averages</t>
  </si>
  <si>
    <t>[1]</t>
  </si>
  <si>
    <t>[2]</t>
  </si>
  <si>
    <t>[3]</t>
  </si>
  <si>
    <t>[4]</t>
  </si>
  <si>
    <t>[5]</t>
  </si>
  <si>
    <t>[6]</t>
  </si>
  <si>
    <t>Public Utility Bonds</t>
  </si>
  <si>
    <t>Credit Spreads</t>
  </si>
  <si>
    <t>Corporate</t>
  </si>
  <si>
    <t>A-Rated</t>
  </si>
  <si>
    <t>Baa-Rated</t>
  </si>
  <si>
    <t>JAN</t>
  </si>
  <si>
    <t>FEB</t>
  </si>
  <si>
    <t>MAR</t>
  </si>
  <si>
    <t>APR</t>
  </si>
  <si>
    <t>MAY</t>
  </si>
  <si>
    <t>JUN</t>
  </si>
  <si>
    <t>JUL</t>
  </si>
  <si>
    <t>AUG</t>
  </si>
  <si>
    <t>SEP</t>
  </si>
  <si>
    <t>OCT</t>
  </si>
  <si>
    <t>NOV</t>
  </si>
  <si>
    <t>DEC</t>
  </si>
  <si>
    <t>AVG</t>
  </si>
  <si>
    <t>Notes:</t>
  </si>
  <si>
    <t>Deflator</t>
  </si>
  <si>
    <t>Index</t>
  </si>
  <si>
    <t>2/</t>
  </si>
  <si>
    <t>MO</t>
  </si>
  <si>
    <t>Northwest Natural Gas Company</t>
  </si>
  <si>
    <t>Piedmont Natural Gas Company, Inc.</t>
  </si>
  <si>
    <t>CA</t>
  </si>
  <si>
    <t>Retention Growth DCF Calculation</t>
  </si>
  <si>
    <t>SEMCO Energy, Inc.</t>
  </si>
  <si>
    <t>WGL Holdings, Inc.</t>
  </si>
  <si>
    <t>Southern Union Company</t>
  </si>
  <si>
    <t>Atmos Energy Corporation</t>
  </si>
  <si>
    <t>Unitil Corporation</t>
  </si>
  <si>
    <t>UGI Corporation</t>
  </si>
  <si>
    <t>The Laclede Group, Inc.</t>
  </si>
  <si>
    <t>Chesapeake Utilities Corporation</t>
  </si>
  <si>
    <t>Aquila, Inc.</t>
  </si>
  <si>
    <t>Cinergy Corporation</t>
  </si>
  <si>
    <t>Blended Growth Rate Estimates</t>
  </si>
  <si>
    <t>Blended Growth Rate DCF Calculation</t>
  </si>
  <si>
    <t>1/2</t>
  </si>
  <si>
    <t>Natural Gas Distribution Companies</t>
  </si>
  <si>
    <t>CenterPoint Energy, Inc.</t>
  </si>
  <si>
    <t>[1] U.S. Department of Labor, Bureau of Labor Statistics;</t>
  </si>
  <si>
    <r>
      <rPr>
        <sz val="12"/>
        <color theme="0"/>
        <rFont val="Times New Roman"/>
        <family val="1"/>
      </rPr>
      <t>[1]</t>
    </r>
    <r>
      <rPr>
        <sz val="12"/>
        <rFont val="Times New Roman"/>
        <family val="1"/>
      </rPr>
      <t xml:space="preserve"> U.S. city average, all urban consumers, all items, not seasonally adjusted</t>
    </r>
  </si>
  <si>
    <t>[2] U.S. Department of Commerce, Bureau of Economic Analysis,</t>
  </si>
  <si>
    <t>[3] U.S. Department of Commerce, Bureau of Economic Analysis,</t>
  </si>
  <si>
    <t>[4] U.S. Department of Commerce, Bureau of Economic Analysis,</t>
  </si>
  <si>
    <t xml:space="preserve">Average Rate of Change [6]:  </t>
  </si>
  <si>
    <t>[5] Equals annual percent change of Column [4]</t>
  </si>
  <si>
    <t>[6] Nominal GDP growth rates based on geometric average rate of change</t>
  </si>
  <si>
    <t>[5] Equals Column [3] − Column [1]</t>
  </si>
  <si>
    <t>[6] Equals Column [4] − Column [1]</t>
  </si>
  <si>
    <t>30-year</t>
  </si>
  <si>
    <t>U.S.</t>
  </si>
  <si>
    <t>Treasury</t>
  </si>
  <si>
    <t>Bond</t>
  </si>
  <si>
    <t>$ millions</t>
  </si>
  <si>
    <t>Common Equity Flotation Costs of</t>
  </si>
  <si>
    <t>Annualized</t>
  </si>
  <si>
    <t>Company</t>
  </si>
  <si>
    <t>Ticker</t>
  </si>
  <si>
    <t>Credit Ratings</t>
  </si>
  <si>
    <t>WGL</t>
  </si>
  <si>
    <t>ATO</t>
  </si>
  <si>
    <t>South Jersey Industries, Inc.</t>
  </si>
  <si>
    <t>SJI</t>
  </si>
  <si>
    <t>MS</t>
  </si>
  <si>
    <t>[12] Equals Column [8] x Column [10]</t>
  </si>
  <si>
    <t>[11] Equals Column [8] x Column [9]</t>
  </si>
  <si>
    <t>[7] Equals Column [5] x Column [6]</t>
  </si>
  <si>
    <t>[4] Equals Column [2] + Column [3]</t>
  </si>
  <si>
    <t>[3] Equals sum of Column [12]</t>
  </si>
  <si>
    <t>[2] Equals Column [1] x (1 + 0.625 x Column [3])</t>
  </si>
  <si>
    <t>[1] Equals sum of Column [11]</t>
  </si>
  <si>
    <t>Market Capitalization-Weighted Dividend Yield</t>
  </si>
  <si>
    <t>Current Dividend
Yield</t>
  </si>
  <si>
    <t>Percent of Total Market Capitalization</t>
  </si>
  <si>
    <t>Market Capitalization ($million)</t>
  </si>
  <si>
    <t>Shares Outstanding (million)</t>
  </si>
  <si>
    <t>[12]</t>
  </si>
  <si>
    <t>[11]</t>
  </si>
  <si>
    <t>[10]</t>
  </si>
  <si>
    <t>[9]</t>
  </si>
  <si>
    <t>[8]</t>
  </si>
  <si>
    <t>[7]</t>
  </si>
  <si>
    <t>S&amp;P 500</t>
  </si>
  <si>
    <t>Secondary Market Investor Required Return</t>
  </si>
  <si>
    <t>Dividend
Yield x
(1 + 0.625g)</t>
  </si>
  <si>
    <t>Dividend
Yield</t>
  </si>
  <si>
    <t>[1] Bloomberg Finance L.P., 30-Year U.S. Treasury Bond</t>
  </si>
  <si>
    <t>[2] Bloomberg Finance L.P., Moody's Average Corporate Bond Index</t>
  </si>
  <si>
    <t>[3] Bloomberg Finance L.P., Moody's A-Rated Utility Bond Index</t>
  </si>
  <si>
    <t>[4] Bloomberg Finance L.P., Moody's Baa-Rated Utility Bond Index</t>
  </si>
  <si>
    <t>Source: Bloomberg Finance L.P.</t>
  </si>
  <si>
    <t>[5] Source: Bloomberg Finance L.P.</t>
  </si>
  <si>
    <t>[6] Source: Bloomberg Finance L.P.</t>
  </si>
  <si>
    <t>[9] Source: Bloomberg Finance L.P.</t>
  </si>
  <si>
    <t>[10] Source: Bloomberg Finance L.P.</t>
  </si>
  <si>
    <t>[8] Equals percent of sum of Column [7] if Current Dividend Yield does not equal "n/a" and BEst Long-Term Growth Estimate does not equal "n/a" and is greater than 0%</t>
  </si>
  <si>
    <t>($ billions)</t>
  </si>
  <si>
    <t>Total Assets
($ millions)</t>
  </si>
  <si>
    <t>Operating
Revenues
($ millions)</t>
  </si>
  <si>
    <t>Operating
Income
($ millions)</t>
  </si>
  <si>
    <t>New Jersey Resources Corporation</t>
  </si>
  <si>
    <t>Southwest Gas Corporation</t>
  </si>
  <si>
    <t>3M Co</t>
  </si>
  <si>
    <t>Abbott Laboratories</t>
  </si>
  <si>
    <t>AbbVie Inc</t>
  </si>
  <si>
    <t>Accenture PLC</t>
  </si>
  <si>
    <t>ACE Ltd</t>
  </si>
  <si>
    <t>Adobe Systems Inc</t>
  </si>
  <si>
    <t>ADT Corp/The</t>
  </si>
  <si>
    <t>AES Corp/VA</t>
  </si>
  <si>
    <t>Aetna Inc</t>
  </si>
  <si>
    <t>Aflac Inc</t>
  </si>
  <si>
    <t>Agilent Technologies Inc</t>
  </si>
  <si>
    <t>AGL Resources Inc</t>
  </si>
  <si>
    <t>Air Products &amp; Chemicals Inc</t>
  </si>
  <si>
    <t>Airgas Inc</t>
  </si>
  <si>
    <t>Akamai Technologies Inc</t>
  </si>
  <si>
    <t>Alcoa Inc</t>
  </si>
  <si>
    <t>Alexion Pharmaceuticals Inc</t>
  </si>
  <si>
    <t>Allegion PLC</t>
  </si>
  <si>
    <t>Alliance Data Systems Corp</t>
  </si>
  <si>
    <t>Allstate Corp/The</t>
  </si>
  <si>
    <t>Altera Corp</t>
  </si>
  <si>
    <t>Altria Group Inc</t>
  </si>
  <si>
    <t>Amazon.com Inc</t>
  </si>
  <si>
    <t>Ameren Corp</t>
  </si>
  <si>
    <t>American Electric Power Co Inc</t>
  </si>
  <si>
    <t>American Express Co</t>
  </si>
  <si>
    <t>American International Group Inc</t>
  </si>
  <si>
    <t>American Tower Corp</t>
  </si>
  <si>
    <t>Ameriprise Financial Inc</t>
  </si>
  <si>
    <t>AmerisourceBergen Corp</t>
  </si>
  <si>
    <t>AMETEK Inc</t>
  </si>
  <si>
    <t>Amgen Inc</t>
  </si>
  <si>
    <t>Amphenol Corp</t>
  </si>
  <si>
    <t>Anadarko Petroleum Corp</t>
  </si>
  <si>
    <t>Analog Devices Inc</t>
  </si>
  <si>
    <t>Aon PLC</t>
  </si>
  <si>
    <t>Apache Corp</t>
  </si>
  <si>
    <t>Apartment Investment &amp; Management Co</t>
  </si>
  <si>
    <t>Apple Inc</t>
  </si>
  <si>
    <t>Applied Materials Inc</t>
  </si>
  <si>
    <t>Archer-Daniels-Midland Co</t>
  </si>
  <si>
    <t>Assurant Inc</t>
  </si>
  <si>
    <t>AT&amp;T Inc</t>
  </si>
  <si>
    <t>Autodesk Inc</t>
  </si>
  <si>
    <t>Automatic Data Processing Inc</t>
  </si>
  <si>
    <t>AutoNation Inc</t>
  </si>
  <si>
    <t>AutoZone Inc</t>
  </si>
  <si>
    <t>Avago Technologies Ltd</t>
  </si>
  <si>
    <t>AvalonBay Communities Inc</t>
  </si>
  <si>
    <t>Avery Dennison Corp</t>
  </si>
  <si>
    <t>Baker Hughes Inc</t>
  </si>
  <si>
    <t>Ball Corp</t>
  </si>
  <si>
    <t>Bank of America Corp</t>
  </si>
  <si>
    <t>Bank of New York Mellon Corp/The</t>
  </si>
  <si>
    <t>Baxter International Inc</t>
  </si>
  <si>
    <t>BB&amp;T Corp</t>
  </si>
  <si>
    <t>Becton Dickinson and Co</t>
  </si>
  <si>
    <t>Bed Bath &amp; Beyond Inc</t>
  </si>
  <si>
    <t>Berkshire Hathaway Inc</t>
  </si>
  <si>
    <t>Best Buy Co Inc</t>
  </si>
  <si>
    <t>BlackRock Inc</t>
  </si>
  <si>
    <t>Boeing Co/The</t>
  </si>
  <si>
    <t>BorgWarner Inc</t>
  </si>
  <si>
    <t>Boston Properties Inc</t>
  </si>
  <si>
    <t>Boston Scientific Corp</t>
  </si>
  <si>
    <t>Bristol-Myers Squibb Co</t>
  </si>
  <si>
    <t>Broadcom Corp</t>
  </si>
  <si>
    <t>Brown-Forman Corp</t>
  </si>
  <si>
    <t>CA Inc</t>
  </si>
  <si>
    <t>Cablevision Systems Corp</t>
  </si>
  <si>
    <t>Cabot Oil &amp; Gas Corp</t>
  </si>
  <si>
    <t>Cameron International Corp</t>
  </si>
  <si>
    <t>Campbell Soup Co</t>
  </si>
  <si>
    <t>Capital One Financial Corp</t>
  </si>
  <si>
    <t>Cardinal Health Inc</t>
  </si>
  <si>
    <t>CarMax Inc</t>
  </si>
  <si>
    <t>Carnival Corp</t>
  </si>
  <si>
    <t>Caterpillar Inc</t>
  </si>
  <si>
    <t>CBRE Group Inc</t>
  </si>
  <si>
    <t>CBS Corp</t>
  </si>
  <si>
    <t>Celgene Corp</t>
  </si>
  <si>
    <t>CenterPoint Energy Inc</t>
  </si>
  <si>
    <t>CenturyLink Inc</t>
  </si>
  <si>
    <t>Cerner Corp</t>
  </si>
  <si>
    <t>CF Industries Holdings Inc</t>
  </si>
  <si>
    <t>CH Robinson Worldwide Inc</t>
  </si>
  <si>
    <t>Charles Schwab Corp/The</t>
  </si>
  <si>
    <t>Chesapeake Energy Corp</t>
  </si>
  <si>
    <t>Chevron Corp</t>
  </si>
  <si>
    <t>Chipotle Mexican Grill Inc</t>
  </si>
  <si>
    <t>Chubb Corp/The</t>
  </si>
  <si>
    <t>Cigna Corp</t>
  </si>
  <si>
    <t>Cincinnati Financial Corp</t>
  </si>
  <si>
    <t>Cintas Corp</t>
  </si>
  <si>
    <t>Cisco Systems Inc</t>
  </si>
  <si>
    <t>Citigroup Inc</t>
  </si>
  <si>
    <t>Citrix Systems Inc</t>
  </si>
  <si>
    <t>Clorox Co/The</t>
  </si>
  <si>
    <t>CME Group Inc/IL</t>
  </si>
  <si>
    <t>CMS Energy Corp</t>
  </si>
  <si>
    <t>Coach Inc</t>
  </si>
  <si>
    <t>Coca-Cola Co/The</t>
  </si>
  <si>
    <t>Coca-Cola Enterprises Inc</t>
  </si>
  <si>
    <t>Cognizant Technology Solutions Corp</t>
  </si>
  <si>
    <t>Colgate-Palmolive Co</t>
  </si>
  <si>
    <t>Comcast Corp</t>
  </si>
  <si>
    <t>Comerica Inc</t>
  </si>
  <si>
    <t>Computer Sciences Corp</t>
  </si>
  <si>
    <t>ConAgra Foods Inc</t>
  </si>
  <si>
    <t>ConocoPhillips</t>
  </si>
  <si>
    <t>CONSOL Energy Inc</t>
  </si>
  <si>
    <t>Consolidated Edison Inc</t>
  </si>
  <si>
    <t>Constellation Brands Inc</t>
  </si>
  <si>
    <t>Corning Inc</t>
  </si>
  <si>
    <t>Costco Wholesale Corp</t>
  </si>
  <si>
    <t>CR Bard Inc</t>
  </si>
  <si>
    <t>Crown Castle International Corp</t>
  </si>
  <si>
    <t>CSX Corp</t>
  </si>
  <si>
    <t>Cummins Inc</t>
  </si>
  <si>
    <t>Danaher Corp</t>
  </si>
  <si>
    <t>Darden Restaurants Inc</t>
  </si>
  <si>
    <t>DaVita HealthCare Partners Inc</t>
  </si>
  <si>
    <t>Deere &amp; Co</t>
  </si>
  <si>
    <t>Delphi Automotive PLC</t>
  </si>
  <si>
    <t>Delta Air Lines Inc</t>
  </si>
  <si>
    <t>DENTSPLY International Inc</t>
  </si>
  <si>
    <t>Devon Energy Corp</t>
  </si>
  <si>
    <t>Diamond Offshore Drilling Inc</t>
  </si>
  <si>
    <t>Discover Financial Services</t>
  </si>
  <si>
    <t>Discovery Communications Inc</t>
  </si>
  <si>
    <t>Dollar General Corp</t>
  </si>
  <si>
    <t>Dollar Tree Inc</t>
  </si>
  <si>
    <t>Dominion Resources Inc/VA</t>
  </si>
  <si>
    <t>Dover Corp</t>
  </si>
  <si>
    <t>Dow Chemical Co/The</t>
  </si>
  <si>
    <t>DR Horton Inc</t>
  </si>
  <si>
    <t>Dr Pepper Snapple Group Inc</t>
  </si>
  <si>
    <t>DTE Energy Co</t>
  </si>
  <si>
    <t>Duke Energy Corp</t>
  </si>
  <si>
    <t>Dun &amp; Bradstreet Corp/The</t>
  </si>
  <si>
    <t>E*TRADE Financial Corp</t>
  </si>
  <si>
    <t>Eastman Chemical Co</t>
  </si>
  <si>
    <t>Eaton Corp PLC</t>
  </si>
  <si>
    <t>eBay Inc</t>
  </si>
  <si>
    <t>Ecolab Inc</t>
  </si>
  <si>
    <t>Edison International</t>
  </si>
  <si>
    <t>Edwards Lifesciences Corp</t>
  </si>
  <si>
    <t>EI du Pont de Nemours &amp; Co</t>
  </si>
  <si>
    <t>Electronic Arts Inc</t>
  </si>
  <si>
    <t>Eli Lilly &amp; Co</t>
  </si>
  <si>
    <t>EMC Corp/MA</t>
  </si>
  <si>
    <t>Emerson Electric Co</t>
  </si>
  <si>
    <t>Ensco PLC</t>
  </si>
  <si>
    <t>Entergy Corp</t>
  </si>
  <si>
    <t>EOG Resources Inc</t>
  </si>
  <si>
    <t>EQT Corp</t>
  </si>
  <si>
    <t>Equifax Inc</t>
  </si>
  <si>
    <t>Equity Residential</t>
  </si>
  <si>
    <t>Essex Property Trust Inc</t>
  </si>
  <si>
    <t>Estee Lauder Cos Inc/The</t>
  </si>
  <si>
    <t>Exelon Corp</t>
  </si>
  <si>
    <t>Expedia Inc</t>
  </si>
  <si>
    <t>Expeditors International of Washington Inc</t>
  </si>
  <si>
    <t>Express Scripts Holding Co</t>
  </si>
  <si>
    <t>Exxon Mobil Corp</t>
  </si>
  <si>
    <t>F5 Networks Inc</t>
  </si>
  <si>
    <t>Facebook Inc</t>
  </si>
  <si>
    <t>Fastenal Co</t>
  </si>
  <si>
    <t>FedEx Corp</t>
  </si>
  <si>
    <t>Fidelity National Information Services Inc</t>
  </si>
  <si>
    <t>Fifth Third Bancorp</t>
  </si>
  <si>
    <t>First Solar Inc</t>
  </si>
  <si>
    <t>FirstEnergy Corp</t>
  </si>
  <si>
    <t>Fiserv Inc</t>
  </si>
  <si>
    <t>FLIR Systems Inc</t>
  </si>
  <si>
    <t>Flowserve Corp</t>
  </si>
  <si>
    <t>Fluor Corp</t>
  </si>
  <si>
    <t>FMC Corp</t>
  </si>
  <si>
    <t>FMC Technologies Inc</t>
  </si>
  <si>
    <t>Ford Motor Co</t>
  </si>
  <si>
    <t>Fossil Group Inc</t>
  </si>
  <si>
    <t>Franklin Resources Inc</t>
  </si>
  <si>
    <t>Frontier Communications Corp</t>
  </si>
  <si>
    <t>GameStop Corp</t>
  </si>
  <si>
    <t>Gap Inc/The</t>
  </si>
  <si>
    <t>Garmin Ltd</t>
  </si>
  <si>
    <t>General Dynamics Corp</t>
  </si>
  <si>
    <t>General Electric Co</t>
  </si>
  <si>
    <t>General Growth Properties Inc</t>
  </si>
  <si>
    <t>General Mills Inc</t>
  </si>
  <si>
    <t>General Motors Co</t>
  </si>
  <si>
    <t>Genuine Parts Co</t>
  </si>
  <si>
    <t>Genworth Financial Inc</t>
  </si>
  <si>
    <t>Gilead Sciences Inc</t>
  </si>
  <si>
    <t>Goldman Sachs Group Inc/The</t>
  </si>
  <si>
    <t>Goodyear Tire &amp; Rubber Co/The</t>
  </si>
  <si>
    <t>H&amp;R Block Inc</t>
  </si>
  <si>
    <t>Halliburton Co</t>
  </si>
  <si>
    <t>Harley-Davidson Inc</t>
  </si>
  <si>
    <t>Harman International Industries Inc</t>
  </si>
  <si>
    <t>Harris Corp</t>
  </si>
  <si>
    <t>Hartford Financial Services Group Inc/The</t>
  </si>
  <si>
    <t>Hasbro Inc</t>
  </si>
  <si>
    <t>HCP Inc</t>
  </si>
  <si>
    <t>Helmerich &amp; Payne Inc</t>
  </si>
  <si>
    <t>Hershey Co/The</t>
  </si>
  <si>
    <t>Hess Corp</t>
  </si>
  <si>
    <t>Hewlett-Packard Co</t>
  </si>
  <si>
    <t>Home Depot Inc/The</t>
  </si>
  <si>
    <t>Honeywell International Inc</t>
  </si>
  <si>
    <t>Hormel Foods Corp</t>
  </si>
  <si>
    <t>Host Hotels &amp; Resorts Inc</t>
  </si>
  <si>
    <t>Hudson City Bancorp Inc</t>
  </si>
  <si>
    <t>Humana Inc</t>
  </si>
  <si>
    <t>Huntington Bancshares Inc/OH</t>
  </si>
  <si>
    <t>Illinois Tool Works Inc</t>
  </si>
  <si>
    <t>Ingersoll-Rand PLC</t>
  </si>
  <si>
    <t>Intel Corp</t>
  </si>
  <si>
    <t>Intercontinental Exchange Inc</t>
  </si>
  <si>
    <t>International Business Machines Corp</t>
  </si>
  <si>
    <t>International Flavors &amp; Fragrances Inc</t>
  </si>
  <si>
    <t>International Paper Co</t>
  </si>
  <si>
    <t>Interpublic Group of Cos Inc/The</t>
  </si>
  <si>
    <t>Intuit Inc</t>
  </si>
  <si>
    <t>Intuitive Surgical Inc</t>
  </si>
  <si>
    <t>Invesco Ltd</t>
  </si>
  <si>
    <t>Iron Mountain Inc</t>
  </si>
  <si>
    <t>Jacobs Engineering Group Inc</t>
  </si>
  <si>
    <t>JM Smucker Co/The</t>
  </si>
  <si>
    <t>Johnson &amp; Johnson</t>
  </si>
  <si>
    <t>Johnson Controls Inc</t>
  </si>
  <si>
    <t>JPMorgan Chase &amp; Co</t>
  </si>
  <si>
    <t>Juniper Networks Inc</t>
  </si>
  <si>
    <t>Kansas City Southern</t>
  </si>
  <si>
    <t>Kellogg Co</t>
  </si>
  <si>
    <t>Keurig Green Mountain Inc</t>
  </si>
  <si>
    <t>KeyCorp</t>
  </si>
  <si>
    <t>Kimberly-Clark Corp</t>
  </si>
  <si>
    <t>Kimco Realty Corp</t>
  </si>
  <si>
    <t>Kinder Morgan Inc/DE</t>
  </si>
  <si>
    <t>KLA-Tencor Corp</t>
  </si>
  <si>
    <t>Kohl's Corp</t>
  </si>
  <si>
    <t>Kroger Co/The</t>
  </si>
  <si>
    <t>L Brands Inc</t>
  </si>
  <si>
    <t>L-3 Communications Holdings Inc</t>
  </si>
  <si>
    <t>Laboratory Corp of America Holdings</t>
  </si>
  <si>
    <t>Lam Research Corp</t>
  </si>
  <si>
    <t>Legg Mason Inc</t>
  </si>
  <si>
    <t>Leggett &amp; Platt Inc</t>
  </si>
  <si>
    <t>Lennar Corp</t>
  </si>
  <si>
    <t>Leucadia National Corp</t>
  </si>
  <si>
    <t>Lincoln National Corp</t>
  </si>
  <si>
    <t>Linear Technology Corp</t>
  </si>
  <si>
    <t>Lockheed Martin Corp</t>
  </si>
  <si>
    <t>Loews Corp</t>
  </si>
  <si>
    <t>Lowe's Cos Inc</t>
  </si>
  <si>
    <t>LyondellBasell Industries NV</t>
  </si>
  <si>
    <t>M&amp;T Bank Corp</t>
  </si>
  <si>
    <t>Macerich Co/The</t>
  </si>
  <si>
    <t>Macy's Inc</t>
  </si>
  <si>
    <t>Marathon Oil Corp</t>
  </si>
  <si>
    <t>Marathon Petroleum Corp</t>
  </si>
  <si>
    <t>Marsh &amp; McLennan Cos Inc</t>
  </si>
  <si>
    <t>Masco Corp</t>
  </si>
  <si>
    <t>MasterCard Inc</t>
  </si>
  <si>
    <t>Mattel Inc</t>
  </si>
  <si>
    <t>McCormick &amp; Co Inc/MD</t>
  </si>
  <si>
    <t>McDonald's Corp</t>
  </si>
  <si>
    <t>McGraw Hill Financial Inc</t>
  </si>
  <si>
    <t>McKesson Corp</t>
  </si>
  <si>
    <t>Mead Johnson Nutrition Co</t>
  </si>
  <si>
    <t>Merck &amp; Co Inc</t>
  </si>
  <si>
    <t>MetLife Inc</t>
  </si>
  <si>
    <t>Michael Kors Holdings Ltd</t>
  </si>
  <si>
    <t>Microchip Technology Inc</t>
  </si>
  <si>
    <t>Micron Technology Inc</t>
  </si>
  <si>
    <t>Microsoft Corp</t>
  </si>
  <si>
    <t>Mohawk Industries Inc</t>
  </si>
  <si>
    <t>Molson Coors Brewing Co</t>
  </si>
  <si>
    <t>Mondelez International Inc</t>
  </si>
  <si>
    <t>Monsanto Co</t>
  </si>
  <si>
    <t>Monster Beverage Corp</t>
  </si>
  <si>
    <t>Moody's Corp</t>
  </si>
  <si>
    <t>Morgan Stanley</t>
  </si>
  <si>
    <t>Mosaic Co/The</t>
  </si>
  <si>
    <t>Motorola Solutions Inc</t>
  </si>
  <si>
    <t>Murphy Oil Corp</t>
  </si>
  <si>
    <t>National Oilwell Varco Inc</t>
  </si>
  <si>
    <t>Navient Corp</t>
  </si>
  <si>
    <t>NetApp Inc</t>
  </si>
  <si>
    <t>Netflix Inc</t>
  </si>
  <si>
    <t>Newell Rubbermaid Inc</t>
  </si>
  <si>
    <t>Newfield Exploration Co</t>
  </si>
  <si>
    <t>Newmont Mining Corp</t>
  </si>
  <si>
    <t>News Corp</t>
  </si>
  <si>
    <t>NextEra Energy Inc</t>
  </si>
  <si>
    <t>NIKE Inc</t>
  </si>
  <si>
    <t>NiSource Inc</t>
  </si>
  <si>
    <t>Noble Energy Inc</t>
  </si>
  <si>
    <t>Nordstrom Inc</t>
  </si>
  <si>
    <t>Norfolk Southern Corp</t>
  </si>
  <si>
    <t>Northern Trust Corp</t>
  </si>
  <si>
    <t>Northrop Grumman Corp</t>
  </si>
  <si>
    <t>NRG Energy Inc</t>
  </si>
  <si>
    <t>Nucor Corp</t>
  </si>
  <si>
    <t>NVIDIA Corp</t>
  </si>
  <si>
    <t>O'Reilly Automotive Inc</t>
  </si>
  <si>
    <t>Occidental Petroleum Corp</t>
  </si>
  <si>
    <t>Omnicom Group Inc</t>
  </si>
  <si>
    <t>ONEOK Inc</t>
  </si>
  <si>
    <t>Oracle Corp</t>
  </si>
  <si>
    <t>Owens-Illinois Inc</t>
  </si>
  <si>
    <t>PACCAR Inc</t>
  </si>
  <si>
    <t>Patterson Cos Inc</t>
  </si>
  <si>
    <t>Paychex Inc</t>
  </si>
  <si>
    <t>Pentair PLC</t>
  </si>
  <si>
    <t>People's United Financial Inc</t>
  </si>
  <si>
    <t>Pepco Holdings Inc</t>
  </si>
  <si>
    <t>PepsiCo Inc</t>
  </si>
  <si>
    <t>PerkinElmer Inc</t>
  </si>
  <si>
    <t>Perrigo Co PLC</t>
  </si>
  <si>
    <t>Pfizer Inc</t>
  </si>
  <si>
    <t>PG&amp;E Corp</t>
  </si>
  <si>
    <t>Philip Morris International Inc</t>
  </si>
  <si>
    <t>Phillips 66</t>
  </si>
  <si>
    <t>Pinnacle West Capital Corp</t>
  </si>
  <si>
    <t>Pioneer Natural Resources Co</t>
  </si>
  <si>
    <t>Pitney Bowes Inc</t>
  </si>
  <si>
    <t>Plum Creek Timber Co Inc</t>
  </si>
  <si>
    <t>PNC Financial Services Group Inc/The</t>
  </si>
  <si>
    <t>PPG Industries Inc</t>
  </si>
  <si>
    <t>PPL Corp</t>
  </si>
  <si>
    <t>Praxair Inc</t>
  </si>
  <si>
    <t>Precision Castparts Corp</t>
  </si>
  <si>
    <t>Priceline Group Inc/The</t>
  </si>
  <si>
    <t>Principal Financial Group Inc</t>
  </si>
  <si>
    <t>Procter &amp; Gamble Co/The</t>
  </si>
  <si>
    <t>Progressive Corp/The</t>
  </si>
  <si>
    <t>Prologis Inc</t>
  </si>
  <si>
    <t>Prudential Financial Inc</t>
  </si>
  <si>
    <t>Public Service Enterprise Group Inc</t>
  </si>
  <si>
    <t>Public Storage</t>
  </si>
  <si>
    <t>PulteGroup Inc</t>
  </si>
  <si>
    <t>PVH Corp</t>
  </si>
  <si>
    <t>QUALCOMM Inc</t>
  </si>
  <si>
    <t>Quanta Services Inc</t>
  </si>
  <si>
    <t>Quest Diagnostics Inc</t>
  </si>
  <si>
    <t>Ralph Lauren Corp</t>
  </si>
  <si>
    <t>Range Resources Corp</t>
  </si>
  <si>
    <t>Raytheon Co</t>
  </si>
  <si>
    <t>Red Hat Inc</t>
  </si>
  <si>
    <t>Regeneron Pharmaceuticals Inc</t>
  </si>
  <si>
    <t>Regions Financial Corp</t>
  </si>
  <si>
    <t>Republic Services Inc</t>
  </si>
  <si>
    <t>Reynolds American Inc</t>
  </si>
  <si>
    <t>Robert Half International Inc</t>
  </si>
  <si>
    <t>Rockwell Automation Inc</t>
  </si>
  <si>
    <t>Rockwell Collins Inc</t>
  </si>
  <si>
    <t>Ross Stores Inc</t>
  </si>
  <si>
    <t>Ryder System Inc</t>
  </si>
  <si>
    <t>SanDisk Corp</t>
  </si>
  <si>
    <t>SCANA Corp</t>
  </si>
  <si>
    <t>Schlumberger Ltd</t>
  </si>
  <si>
    <t>Scripps Networks Interactive Inc</t>
  </si>
  <si>
    <t>Seagate Technology PLC</t>
  </si>
  <si>
    <t>Sealed Air Corp</t>
  </si>
  <si>
    <t>Sherwin-Williams Co/The</t>
  </si>
  <si>
    <t>Sigma-Aldrich Corp</t>
  </si>
  <si>
    <t>Simon Property Group Inc</t>
  </si>
  <si>
    <t>Snap-on Inc</t>
  </si>
  <si>
    <t>Southern Co/The</t>
  </si>
  <si>
    <t>Southwest Airlines Co</t>
  </si>
  <si>
    <t>Southwestern Energy Co</t>
  </si>
  <si>
    <t>Spectra Energy Corp</t>
  </si>
  <si>
    <t>St Jude Medical Inc</t>
  </si>
  <si>
    <t>Stanley Black &amp; Decker Inc</t>
  </si>
  <si>
    <t>Staples Inc</t>
  </si>
  <si>
    <t>Starbucks Corp</t>
  </si>
  <si>
    <t>Starwood Hotels &amp; Resorts Worldwide Inc</t>
  </si>
  <si>
    <t>State Street Corp</t>
  </si>
  <si>
    <t>Stericycle Inc</t>
  </si>
  <si>
    <t>Stryker Corp</t>
  </si>
  <si>
    <t>SunTrust Banks Inc</t>
  </si>
  <si>
    <t>Symantec Corp</t>
  </si>
  <si>
    <t>Sysco Corp</t>
  </si>
  <si>
    <t>T Rowe Price Group Inc</t>
  </si>
  <si>
    <t>Target Corp</t>
  </si>
  <si>
    <t>TE Connectivity Ltd</t>
  </si>
  <si>
    <t>TECO Energy Inc</t>
  </si>
  <si>
    <t>Tenet Healthcare Corp</t>
  </si>
  <si>
    <t>Teradata Corp</t>
  </si>
  <si>
    <t>Tesoro Corp</t>
  </si>
  <si>
    <t>Texas Instruments Inc</t>
  </si>
  <si>
    <t>Textron Inc</t>
  </si>
  <si>
    <t>Thermo Fisher Scientific Inc</t>
  </si>
  <si>
    <t>Tiffany &amp; Co</t>
  </si>
  <si>
    <t>Time Warner Cable Inc</t>
  </si>
  <si>
    <t>Time Warner Inc</t>
  </si>
  <si>
    <t>TJX Cos Inc/The</t>
  </si>
  <si>
    <t>Torchmark Corp</t>
  </si>
  <si>
    <t>Total System Services Inc</t>
  </si>
  <si>
    <t>Tractor Supply Co</t>
  </si>
  <si>
    <t>Transocean Ltd</t>
  </si>
  <si>
    <t>Travelers Cos Inc/The</t>
  </si>
  <si>
    <t>TripAdvisor Inc</t>
  </si>
  <si>
    <t>Twenty-First Century Fox Inc</t>
  </si>
  <si>
    <t>Tyson Foods Inc</t>
  </si>
  <si>
    <t>Under Armour Inc</t>
  </si>
  <si>
    <t>Union Pacific Corp</t>
  </si>
  <si>
    <t>United Parcel Service Inc</t>
  </si>
  <si>
    <t>United Technologies Corp</t>
  </si>
  <si>
    <t>UnitedHealth Group Inc</t>
  </si>
  <si>
    <t>Unum Group</t>
  </si>
  <si>
    <t>Urban Outfitters Inc</t>
  </si>
  <si>
    <t>Valero Energy Corp</t>
  </si>
  <si>
    <t>Varian Medical Systems Inc</t>
  </si>
  <si>
    <t>Ventas Inc</t>
  </si>
  <si>
    <t>VeriSign Inc</t>
  </si>
  <si>
    <t>Verizon Communications Inc</t>
  </si>
  <si>
    <t>Vertex Pharmaceuticals Inc</t>
  </si>
  <si>
    <t>VF Corp</t>
  </si>
  <si>
    <t>Viacom Inc</t>
  </si>
  <si>
    <t>Visa Inc</t>
  </si>
  <si>
    <t>Vornado Realty Trust</t>
  </si>
  <si>
    <t>Vulcan Materials Co</t>
  </si>
  <si>
    <t>Wal-Mart Stores Inc</t>
  </si>
  <si>
    <t>Walt Disney Co/The</t>
  </si>
  <si>
    <t>Waste Management Inc</t>
  </si>
  <si>
    <t>Waters Corp</t>
  </si>
  <si>
    <t>Wells Fargo &amp; Co</t>
  </si>
  <si>
    <t>Western Digital Corp</t>
  </si>
  <si>
    <t>Western Union Co/The</t>
  </si>
  <si>
    <t>Weyerhaeuser Co</t>
  </si>
  <si>
    <t>Whirlpool Corp</t>
  </si>
  <si>
    <t>Whole Foods Market Inc</t>
  </si>
  <si>
    <t>Williams Cos Inc/The</t>
  </si>
  <si>
    <t>WW Grainger Inc</t>
  </si>
  <si>
    <t>Wyndham Worldwide Corp</t>
  </si>
  <si>
    <t>Wynn Resorts Ltd</t>
  </si>
  <si>
    <t>Xcel Energy Inc</t>
  </si>
  <si>
    <t>Xerox Corp</t>
  </si>
  <si>
    <t>Xilinx Inc</t>
  </si>
  <si>
    <t>XL Group PLC</t>
  </si>
  <si>
    <t>Xylem Inc/NY</t>
  </si>
  <si>
    <t>Yahoo! Inc</t>
  </si>
  <si>
    <t>Yum! Brands Inc</t>
  </si>
  <si>
    <t>Zions Bancorporation</t>
  </si>
  <si>
    <t>Zoetis Inc</t>
  </si>
  <si>
    <t>MMM</t>
  </si>
  <si>
    <t>ABT</t>
  </si>
  <si>
    <t>ABBV</t>
  </si>
  <si>
    <t>ACN</t>
  </si>
  <si>
    <t>ACE</t>
  </si>
  <si>
    <t>ADT</t>
  </si>
  <si>
    <t>AES</t>
  </si>
  <si>
    <t>AET</t>
  </si>
  <si>
    <t>AFL</t>
  </si>
  <si>
    <t>APD</t>
  </si>
  <si>
    <t>ARG</t>
  </si>
  <si>
    <t>ALLE</t>
  </si>
  <si>
    <t>ADS</t>
  </si>
  <si>
    <t>ALL</t>
  </si>
  <si>
    <t>AEE</t>
  </si>
  <si>
    <t>AEP</t>
  </si>
  <si>
    <t>AXP</t>
  </si>
  <si>
    <t>AIG</t>
  </si>
  <si>
    <t>AMT</t>
  </si>
  <si>
    <t>AMP</t>
  </si>
  <si>
    <t>ABC</t>
  </si>
  <si>
    <t>AME</t>
  </si>
  <si>
    <t>APH</t>
  </si>
  <si>
    <t>APC</t>
  </si>
  <si>
    <t>AON</t>
  </si>
  <si>
    <t>APA</t>
  </si>
  <si>
    <t>AIV</t>
  </si>
  <si>
    <t>ADM</t>
  </si>
  <si>
    <t>AIZ</t>
  </si>
  <si>
    <t>T</t>
  </si>
  <si>
    <t>AN</t>
  </si>
  <si>
    <t>AZO</t>
  </si>
  <si>
    <t>AVB</t>
  </si>
  <si>
    <t>AVY</t>
  </si>
  <si>
    <t>BHI</t>
  </si>
  <si>
    <t>BLL</t>
  </si>
  <si>
    <t>BAC</t>
  </si>
  <si>
    <t>BK</t>
  </si>
  <si>
    <t>BAX</t>
  </si>
  <si>
    <t>BBT</t>
  </si>
  <si>
    <t>BDX</t>
  </si>
  <si>
    <t>BRK/B</t>
  </si>
  <si>
    <t>BBY</t>
  </si>
  <si>
    <t>BLK</t>
  </si>
  <si>
    <t>BA</t>
  </si>
  <si>
    <t>BWA</t>
  </si>
  <si>
    <t>BXP</t>
  </si>
  <si>
    <t>BSX</t>
  </si>
  <si>
    <t>BMY</t>
  </si>
  <si>
    <t>BF/B</t>
  </si>
  <si>
    <t>CVC</t>
  </si>
  <si>
    <t>COG</t>
  </si>
  <si>
    <t>CAM</t>
  </si>
  <si>
    <t>CPB</t>
  </si>
  <si>
    <t>COF</t>
  </si>
  <si>
    <t>CAH</t>
  </si>
  <si>
    <t>KMX</t>
  </si>
  <si>
    <t>CCL</t>
  </si>
  <si>
    <t>CAT</t>
  </si>
  <si>
    <t>CBG</t>
  </si>
  <si>
    <t>CBS</t>
  </si>
  <si>
    <t>CNP</t>
  </si>
  <si>
    <t>CTL</t>
  </si>
  <si>
    <t>CF</t>
  </si>
  <si>
    <t>SCHW</t>
  </si>
  <si>
    <t>CHK</t>
  </si>
  <si>
    <t>CVX</t>
  </si>
  <si>
    <t>CMG</t>
  </si>
  <si>
    <t>CB</t>
  </si>
  <si>
    <t>CI</t>
  </si>
  <si>
    <t>C</t>
  </si>
  <si>
    <t>CLX</t>
  </si>
  <si>
    <t>CMS</t>
  </si>
  <si>
    <t>COH</t>
  </si>
  <si>
    <t>KO</t>
  </si>
  <si>
    <t>CCE</t>
  </si>
  <si>
    <t>CL</t>
  </si>
  <si>
    <t>CMA</t>
  </si>
  <si>
    <t>CSC</t>
  </si>
  <si>
    <t>CAG</t>
  </si>
  <si>
    <t>COP</t>
  </si>
  <si>
    <t>CNX</t>
  </si>
  <si>
    <t>ED</t>
  </si>
  <si>
    <t>STZ</t>
  </si>
  <si>
    <t>GLW</t>
  </si>
  <si>
    <t>BCR</t>
  </si>
  <si>
    <t>CCI</t>
  </si>
  <si>
    <t>CSX</t>
  </si>
  <si>
    <t>CMI</t>
  </si>
  <si>
    <t>CVS</t>
  </si>
  <si>
    <t>DHR</t>
  </si>
  <si>
    <t>DRI</t>
  </si>
  <si>
    <t>DVA</t>
  </si>
  <si>
    <t>DE</t>
  </si>
  <si>
    <t>DLPH</t>
  </si>
  <si>
    <t>DAL</t>
  </si>
  <si>
    <t>DVN</t>
  </si>
  <si>
    <t>DO</t>
  </si>
  <si>
    <t>DFS</t>
  </si>
  <si>
    <t>DG</t>
  </si>
  <si>
    <t>D</t>
  </si>
  <si>
    <t>DOV</t>
  </si>
  <si>
    <t>DOW</t>
  </si>
  <si>
    <t>DHI</t>
  </si>
  <si>
    <t>DTE</t>
  </si>
  <si>
    <t>DUK</t>
  </si>
  <si>
    <t>DNB</t>
  </si>
  <si>
    <t>EMN</t>
  </si>
  <si>
    <t>ETN</t>
  </si>
  <si>
    <t>ECL</t>
  </si>
  <si>
    <t>EIX</t>
  </si>
  <si>
    <t>EW</t>
  </si>
  <si>
    <t>DD</t>
  </si>
  <si>
    <t>LLY</t>
  </si>
  <si>
    <t>EMC</t>
  </si>
  <si>
    <t>EMR</t>
  </si>
  <si>
    <t>ESV</t>
  </si>
  <si>
    <t>ETR</t>
  </si>
  <si>
    <t>EOG</t>
  </si>
  <si>
    <t>EQT</t>
  </si>
  <si>
    <t>EFX</t>
  </si>
  <si>
    <t>EQR</t>
  </si>
  <si>
    <t>ESS</t>
  </si>
  <si>
    <t>EL</t>
  </si>
  <si>
    <t>EXC</t>
  </si>
  <si>
    <t>XOM</t>
  </si>
  <si>
    <t>FDX</t>
  </si>
  <si>
    <t>FIS</t>
  </si>
  <si>
    <t>FE</t>
  </si>
  <si>
    <t>FLS</t>
  </si>
  <si>
    <t>FLR</t>
  </si>
  <si>
    <t>FMC</t>
  </si>
  <si>
    <t>FTI</t>
  </si>
  <si>
    <t>F</t>
  </si>
  <si>
    <t>BEN</t>
  </si>
  <si>
    <t>FCX</t>
  </si>
  <si>
    <t>GME</t>
  </si>
  <si>
    <t>GPS</t>
  </si>
  <si>
    <t>GD</t>
  </si>
  <si>
    <t>GE</t>
  </si>
  <si>
    <t>GGP</t>
  </si>
  <si>
    <t>GIS</t>
  </si>
  <si>
    <t>GM</t>
  </si>
  <si>
    <t>GPC</t>
  </si>
  <si>
    <t>GNW</t>
  </si>
  <si>
    <t>GS</t>
  </si>
  <si>
    <t>HRB</t>
  </si>
  <si>
    <t>HAL</t>
  </si>
  <si>
    <t>HOG</t>
  </si>
  <si>
    <t>HAR</t>
  </si>
  <si>
    <t>HRS</t>
  </si>
  <si>
    <t>HIG</t>
  </si>
  <si>
    <t>HCP</t>
  </si>
  <si>
    <t>HCN</t>
  </si>
  <si>
    <t>HP</t>
  </si>
  <si>
    <t>HSY</t>
  </si>
  <si>
    <t>HES</t>
  </si>
  <si>
    <t>HPQ</t>
  </si>
  <si>
    <t>HD</t>
  </si>
  <si>
    <t>HON</t>
  </si>
  <si>
    <t>HRL</t>
  </si>
  <si>
    <t>HST</t>
  </si>
  <si>
    <t>HUM</t>
  </si>
  <si>
    <t>ITW</t>
  </si>
  <si>
    <t>IR</t>
  </si>
  <si>
    <t>ICE</t>
  </si>
  <si>
    <t>IBM</t>
  </si>
  <si>
    <t>IFF</t>
  </si>
  <si>
    <t>IP</t>
  </si>
  <si>
    <t>IPG</t>
  </si>
  <si>
    <t>IVZ</t>
  </si>
  <si>
    <t>IRM</t>
  </si>
  <si>
    <t>JEC</t>
  </si>
  <si>
    <t>SJM</t>
  </si>
  <si>
    <t>JNJ</t>
  </si>
  <si>
    <t>JCI</t>
  </si>
  <si>
    <t>JPM</t>
  </si>
  <si>
    <t>JNPR</t>
  </si>
  <si>
    <t>KSU</t>
  </si>
  <si>
    <t>K</t>
  </si>
  <si>
    <t>KEY</t>
  </si>
  <si>
    <t>KMB</t>
  </si>
  <si>
    <t>KIM</t>
  </si>
  <si>
    <t>KMI</t>
  </si>
  <si>
    <t>KSS</t>
  </si>
  <si>
    <t>KR</t>
  </si>
  <si>
    <t>LB</t>
  </si>
  <si>
    <t>LLL</t>
  </si>
  <si>
    <t>LH</t>
  </si>
  <si>
    <t>LM</t>
  </si>
  <si>
    <t>LEG</t>
  </si>
  <si>
    <t>LEN</t>
  </si>
  <si>
    <t>LUK</t>
  </si>
  <si>
    <t>LNC</t>
  </si>
  <si>
    <t>LMT</t>
  </si>
  <si>
    <t>L</t>
  </si>
  <si>
    <t>LOW</t>
  </si>
  <si>
    <t>LYB</t>
  </si>
  <si>
    <t>MTB</t>
  </si>
  <si>
    <t>MAC</t>
  </si>
  <si>
    <t>M</t>
  </si>
  <si>
    <t>MRO</t>
  </si>
  <si>
    <t>MPC</t>
  </si>
  <si>
    <t>MMC</t>
  </si>
  <si>
    <t>MAS</t>
  </si>
  <si>
    <t>MA</t>
  </si>
  <si>
    <t>MKC</t>
  </si>
  <si>
    <t>MCD</t>
  </si>
  <si>
    <t>MHFI</t>
  </si>
  <si>
    <t>MCK</t>
  </si>
  <si>
    <t>MJN</t>
  </si>
  <si>
    <t>MDT</t>
  </si>
  <si>
    <t>MRK</t>
  </si>
  <si>
    <t>MET</t>
  </si>
  <si>
    <t>KORS</t>
  </si>
  <si>
    <t>MHK</t>
  </si>
  <si>
    <t>TAP</t>
  </si>
  <si>
    <t>MON</t>
  </si>
  <si>
    <t>MCO</t>
  </si>
  <si>
    <t>MOS</t>
  </si>
  <si>
    <t>MSI</t>
  </si>
  <si>
    <t>MUR</t>
  </si>
  <si>
    <t>NWL</t>
  </si>
  <si>
    <t>NFX</t>
  </si>
  <si>
    <t>NEM</t>
  </si>
  <si>
    <t>NEE</t>
  </si>
  <si>
    <t>NLSN</t>
  </si>
  <si>
    <t>NKE</t>
  </si>
  <si>
    <t>NI</t>
  </si>
  <si>
    <t>NBL</t>
  </si>
  <si>
    <t>JWN</t>
  </si>
  <si>
    <t>NSC</t>
  </si>
  <si>
    <t>NOC</t>
  </si>
  <si>
    <t>NRG</t>
  </si>
  <si>
    <t>NUE</t>
  </si>
  <si>
    <t>OXY</t>
  </si>
  <si>
    <t>OMC</t>
  </si>
  <si>
    <t>OKE</t>
  </si>
  <si>
    <t>ORCL</t>
  </si>
  <si>
    <t>OI</t>
  </si>
  <si>
    <t>PH</t>
  </si>
  <si>
    <t>PNR</t>
  </si>
  <si>
    <t>POM</t>
  </si>
  <si>
    <t>PEP</t>
  </si>
  <si>
    <t>PKI</t>
  </si>
  <si>
    <t>PRGO</t>
  </si>
  <si>
    <t>PFE</t>
  </si>
  <si>
    <t>PCG</t>
  </si>
  <si>
    <t>PM</t>
  </si>
  <si>
    <t>PSX</t>
  </si>
  <si>
    <t>PNW</t>
  </si>
  <si>
    <t>PXD</t>
  </si>
  <si>
    <t>PBI</t>
  </si>
  <si>
    <t>PCL</t>
  </si>
  <si>
    <t>PNC</t>
  </si>
  <si>
    <t>PPG</t>
  </si>
  <si>
    <t>PPL</t>
  </si>
  <si>
    <t>PX</t>
  </si>
  <si>
    <t>PCP</t>
  </si>
  <si>
    <t>PFG</t>
  </si>
  <si>
    <t>PG</t>
  </si>
  <si>
    <t>PGR</t>
  </si>
  <si>
    <t>PLD</t>
  </si>
  <si>
    <t>PRU</t>
  </si>
  <si>
    <t>PEG</t>
  </si>
  <si>
    <t>PSA</t>
  </si>
  <si>
    <t>PHM</t>
  </si>
  <si>
    <t>PVH</t>
  </si>
  <si>
    <t>PWR</t>
  </si>
  <si>
    <t>DGX</t>
  </si>
  <si>
    <t>RL</t>
  </si>
  <si>
    <t>RRC</t>
  </si>
  <si>
    <t>RTN</t>
  </si>
  <si>
    <t>RHT</t>
  </si>
  <si>
    <t>RF</t>
  </si>
  <si>
    <t>RSG</t>
  </si>
  <si>
    <t>RAI</t>
  </si>
  <si>
    <t>RHI</t>
  </si>
  <si>
    <t>ROK</t>
  </si>
  <si>
    <t>COL</t>
  </si>
  <si>
    <t>ROP</t>
  </si>
  <si>
    <t>R</t>
  </si>
  <si>
    <t>CRM</t>
  </si>
  <si>
    <t>SCG</t>
  </si>
  <si>
    <t>SLB</t>
  </si>
  <si>
    <t>SNI</t>
  </si>
  <si>
    <t>SEE</t>
  </si>
  <si>
    <t>SRE</t>
  </si>
  <si>
    <t>SHW</t>
  </si>
  <si>
    <t>SPG</t>
  </si>
  <si>
    <t>SNA</t>
  </si>
  <si>
    <t>SO</t>
  </si>
  <si>
    <t>LUV</t>
  </si>
  <si>
    <t>SWN</t>
  </si>
  <si>
    <t>SE</t>
  </si>
  <si>
    <t>STJ</t>
  </si>
  <si>
    <t>SWK</t>
  </si>
  <si>
    <t>HOT</t>
  </si>
  <si>
    <t>STT</t>
  </si>
  <si>
    <t>SYK</t>
  </si>
  <si>
    <t>STI</t>
  </si>
  <si>
    <t>SYY</t>
  </si>
  <si>
    <t>TGT</t>
  </si>
  <si>
    <t>TEL</t>
  </si>
  <si>
    <t>TE</t>
  </si>
  <si>
    <t>THC</t>
  </si>
  <si>
    <t>TDC</t>
  </si>
  <si>
    <t>TSO</t>
  </si>
  <si>
    <t>TXT</t>
  </si>
  <si>
    <t>TMO</t>
  </si>
  <si>
    <t>TIF</t>
  </si>
  <si>
    <t>TWC</t>
  </si>
  <si>
    <t>TWX</t>
  </si>
  <si>
    <t>TJX</t>
  </si>
  <si>
    <t>TMK</t>
  </si>
  <si>
    <t>TSS</t>
  </si>
  <si>
    <t>RIG</t>
  </si>
  <si>
    <t>TRV</t>
  </si>
  <si>
    <t>TYC</t>
  </si>
  <si>
    <t>TSN</t>
  </si>
  <si>
    <t>UA</t>
  </si>
  <si>
    <t>UNP</t>
  </si>
  <si>
    <t>UPS</t>
  </si>
  <si>
    <t>UTX</t>
  </si>
  <si>
    <t>UNH</t>
  </si>
  <si>
    <t>UNM</t>
  </si>
  <si>
    <t>USB</t>
  </si>
  <si>
    <t>VLO</t>
  </si>
  <si>
    <t>VAR</t>
  </si>
  <si>
    <t>VTR</t>
  </si>
  <si>
    <t>VZ</t>
  </si>
  <si>
    <t>VFC</t>
  </si>
  <si>
    <t>V</t>
  </si>
  <si>
    <t>VNO</t>
  </si>
  <si>
    <t>VMC</t>
  </si>
  <si>
    <t>WMT</t>
  </si>
  <si>
    <t>DIS</t>
  </si>
  <si>
    <t>WM</t>
  </si>
  <si>
    <t>WAT</t>
  </si>
  <si>
    <t>WFC</t>
  </si>
  <si>
    <t>WU</t>
  </si>
  <si>
    <t>WY</t>
  </si>
  <si>
    <t>WHR</t>
  </si>
  <si>
    <t>WMB</t>
  </si>
  <si>
    <t>WEC</t>
  </si>
  <si>
    <t>GWW</t>
  </si>
  <si>
    <t>WYN</t>
  </si>
  <si>
    <t>XEL</t>
  </si>
  <si>
    <t>XRX</t>
  </si>
  <si>
    <t>XL</t>
  </si>
  <si>
    <t>XYL</t>
  </si>
  <si>
    <t>YUM</t>
  </si>
  <si>
    <t>ZTS</t>
  </si>
  <si>
    <t>ADBE</t>
  </si>
  <si>
    <t>AKAM</t>
  </si>
  <si>
    <t>ALXN</t>
  </si>
  <si>
    <t>ALTR</t>
  </si>
  <si>
    <t>AMZN</t>
  </si>
  <si>
    <t>AMGN</t>
  </si>
  <si>
    <t>ADI</t>
  </si>
  <si>
    <t>AAPL</t>
  </si>
  <si>
    <t>AMAT</t>
  </si>
  <si>
    <t>ADSK</t>
  </si>
  <si>
    <t>ADP</t>
  </si>
  <si>
    <t>AVGO</t>
  </si>
  <si>
    <t>BBBY</t>
  </si>
  <si>
    <t>BIIB</t>
  </si>
  <si>
    <t>BRCM</t>
  </si>
  <si>
    <t>CELG</t>
  </si>
  <si>
    <t>CERN</t>
  </si>
  <si>
    <t>CHRW</t>
  </si>
  <si>
    <t>CINF</t>
  </si>
  <si>
    <t>CTAS</t>
  </si>
  <si>
    <t>CSCO</t>
  </si>
  <si>
    <t>CTXS</t>
  </si>
  <si>
    <t>CME</t>
  </si>
  <si>
    <t>CTSH</t>
  </si>
  <si>
    <t>CMCSA</t>
  </si>
  <si>
    <t>COST</t>
  </si>
  <si>
    <t>XRAY</t>
  </si>
  <si>
    <t>DISCA</t>
  </si>
  <si>
    <t>DLTR</t>
  </si>
  <si>
    <t>ETFC</t>
  </si>
  <si>
    <t>EBAY</t>
  </si>
  <si>
    <t>EA</t>
  </si>
  <si>
    <t>EXPE</t>
  </si>
  <si>
    <t>EXPD</t>
  </si>
  <si>
    <t>ESRX</t>
  </si>
  <si>
    <t>FFIV</t>
  </si>
  <si>
    <t>FB</t>
  </si>
  <si>
    <t>FAST</t>
  </si>
  <si>
    <t>FITB</t>
  </si>
  <si>
    <t>FSLR</t>
  </si>
  <si>
    <t>FISV</t>
  </si>
  <si>
    <t>FLIR</t>
  </si>
  <si>
    <t>FOSL</t>
  </si>
  <si>
    <t>FTR</t>
  </si>
  <si>
    <t>GRMN</t>
  </si>
  <si>
    <t>GILD</t>
  </si>
  <si>
    <t>GT</t>
  </si>
  <si>
    <t>GOOGL</t>
  </si>
  <si>
    <t>GOOG</t>
  </si>
  <si>
    <t>HAS</t>
  </si>
  <si>
    <t>HCBK</t>
  </si>
  <si>
    <t>HBAN</t>
  </si>
  <si>
    <t>INTC</t>
  </si>
  <si>
    <t>INTU</t>
  </si>
  <si>
    <t>ISRG</t>
  </si>
  <si>
    <t>GMCR</t>
  </si>
  <si>
    <t>KLAC</t>
  </si>
  <si>
    <t>LRCX</t>
  </si>
  <si>
    <t>LLTC</t>
  </si>
  <si>
    <t>MAT</t>
  </si>
  <si>
    <t>MCHP</t>
  </si>
  <si>
    <t>MU</t>
  </si>
  <si>
    <t>MSFT</t>
  </si>
  <si>
    <t>MDLZ</t>
  </si>
  <si>
    <t>MNST</t>
  </si>
  <si>
    <t>MYL</t>
  </si>
  <si>
    <t>NDAQ</t>
  </si>
  <si>
    <t>NAVI</t>
  </si>
  <si>
    <t>NTAP</t>
  </si>
  <si>
    <t>NFLX</t>
  </si>
  <si>
    <t>NWSA</t>
  </si>
  <si>
    <t>NTRS</t>
  </si>
  <si>
    <t>NVDA</t>
  </si>
  <si>
    <t>ORLY</t>
  </si>
  <si>
    <t>PCAR</t>
  </si>
  <si>
    <t>PDCO</t>
  </si>
  <si>
    <t>PAYX</t>
  </si>
  <si>
    <t>PBCT</t>
  </si>
  <si>
    <t>PCLN</t>
  </si>
  <si>
    <t>QCOM</t>
  </si>
  <si>
    <t>REGN</t>
  </si>
  <si>
    <t>ROST</t>
  </si>
  <si>
    <t>SNDK</t>
  </si>
  <si>
    <t>STX</t>
  </si>
  <si>
    <t>SIAL</t>
  </si>
  <si>
    <t>SPLS</t>
  </si>
  <si>
    <t>SBUX</t>
  </si>
  <si>
    <t>SRCL</t>
  </si>
  <si>
    <t>SYMC</t>
  </si>
  <si>
    <t>TROW</t>
  </si>
  <si>
    <t>TXN</t>
  </si>
  <si>
    <t>TSCO</t>
  </si>
  <si>
    <t>TRIP</t>
  </si>
  <si>
    <t>FOXA</t>
  </si>
  <si>
    <t>URBN</t>
  </si>
  <si>
    <t>VRSN</t>
  </si>
  <si>
    <t>VRTX</t>
  </si>
  <si>
    <t>VIAB</t>
  </si>
  <si>
    <t>WDC</t>
  </si>
  <si>
    <t>WFM</t>
  </si>
  <si>
    <t>WYNN</t>
  </si>
  <si>
    <t>XLNX</t>
  </si>
  <si>
    <t>YHOO</t>
  </si>
  <si>
    <t>ZION</t>
  </si>
  <si>
    <t>New Jersey Resources Corporation rating is for New Jersey Natural</t>
  </si>
  <si>
    <t>Gas Company</t>
  </si>
  <si>
    <t>Cimarex Energy Co</t>
  </si>
  <si>
    <t>XEC</t>
  </si>
  <si>
    <t>Affiliated Managers Group Inc</t>
  </si>
  <si>
    <t>AMG</t>
  </si>
  <si>
    <t>DISCK</t>
  </si>
  <si>
    <t>Freeport-McMoRan Inc</t>
  </si>
  <si>
    <t>Mallinckrodt PLC</t>
  </si>
  <si>
    <t>MNK</t>
  </si>
  <si>
    <t>Martin Marietta Materials Inc</t>
  </si>
  <si>
    <t>MLM</t>
  </si>
  <si>
    <t>Parker-Hannifin Corp</t>
  </si>
  <si>
    <t>n/a</t>
  </si>
  <si>
    <t>- Proxy Company Median</t>
  </si>
  <si>
    <t>CVS Health Corp</t>
  </si>
  <si>
    <t>Level 3 Communications Inc</t>
  </si>
  <si>
    <t>Tyco International Plc</t>
  </si>
  <si>
    <t>United Rentals Inc</t>
  </si>
  <si>
    <t>Universal Health Services Inc</t>
  </si>
  <si>
    <t>LVLT</t>
  </si>
  <si>
    <t>URI</t>
  </si>
  <si>
    <t>UHS</t>
  </si>
  <si>
    <t>Laclede Group, Inc.</t>
  </si>
  <si>
    <t>LG</t>
  </si>
  <si>
    <t>HCA Holdings Inc</t>
  </si>
  <si>
    <t>HCA</t>
  </si>
  <si>
    <t>Royal Caribbean Cruises Ltd</t>
  </si>
  <si>
    <t>RCL</t>
  </si>
  <si>
    <t>SL Green Realty Corp</t>
  </si>
  <si>
    <t>SLG</t>
  </si>
  <si>
    <t>Hanesbrands Inc</t>
  </si>
  <si>
    <t>HBI</t>
  </si>
  <si>
    <t>Medtronic PLC</t>
  </si>
  <si>
    <t>Mylan NV</t>
  </si>
  <si>
    <t>Eversource Energy</t>
  </si>
  <si>
    <t>ES</t>
  </si>
  <si>
    <t>Marriott International Inc/MD</t>
  </si>
  <si>
    <t>American Airlines Group Inc</t>
  </si>
  <si>
    <t>AAL</t>
  </si>
  <si>
    <t>Biogen Inc</t>
  </si>
  <si>
    <t>Roper Technologies Inc</t>
  </si>
  <si>
    <t>Walgreens Boots Alliance Inc</t>
  </si>
  <si>
    <t>WBA</t>
  </si>
  <si>
    <t>Skyworks Solutions Inc</t>
  </si>
  <si>
    <t>SWKS</t>
  </si>
  <si>
    <t>Henry Schein Inc</t>
  </si>
  <si>
    <t>HSIC</t>
  </si>
  <si>
    <t>Anthem Inc</t>
  </si>
  <si>
    <t>ANTM</t>
  </si>
  <si>
    <t>Realty Income Corp</t>
  </si>
  <si>
    <t>O</t>
  </si>
  <si>
    <t>Endo International PLC</t>
  </si>
  <si>
    <t>ENDP</t>
  </si>
  <si>
    <t>Equinix Inc</t>
  </si>
  <si>
    <t>EQIX</t>
  </si>
  <si>
    <t>Average for Companies Paying Dividends with Positive Best Long-Term Growth Estimates</t>
  </si>
  <si>
    <t>Best Long-Term Growth Estimate</t>
  </si>
  <si>
    <t>Laclede Group, Inc. (The)</t>
  </si>
  <si>
    <t>Yahoo Finance! Earnings Growth</t>
  </si>
  <si>
    <t>Zacks 5-Yr Earnings Growth</t>
  </si>
  <si>
    <t>N/A</t>
  </si>
  <si>
    <t>Fiscal Year 2014 Operating Data</t>
  </si>
  <si>
    <t>1/ Source: SNL Financial LC; data as of December 31, 2014</t>
  </si>
  <si>
    <t>Market Capitalization-Weighted Best Long-Term Growth Estimate</t>
  </si>
  <si>
    <t>Value Line Forecast 2018-20</t>
  </si>
  <si>
    <t xml:space="preserve"> </t>
  </si>
  <si>
    <t>Earnings Growth Rate Estimates</t>
  </si>
  <si>
    <t>Earnings Growth</t>
  </si>
  <si>
    <t>Source File doesn’t have summary</t>
  </si>
  <si>
    <t>Revisit</t>
  </si>
  <si>
    <t>gas_5-8</t>
  </si>
  <si>
    <t>Why are these entries chosen? There are no filters in the source file</t>
  </si>
  <si>
    <t xml:space="preserve"># of </t>
  </si>
  <si>
    <t>% of Total</t>
  </si>
  <si>
    <t>Utility</t>
  </si>
  <si>
    <t>State</t>
  </si>
  <si>
    <t>Customers</t>
  </si>
  <si>
    <t xml:space="preserve"> Customers</t>
  </si>
  <si>
    <t>Source</t>
  </si>
  <si>
    <t>Y</t>
  </si>
  <si>
    <t>TN</t>
  </si>
  <si>
    <t>NJ</t>
  </si>
  <si>
    <t>N</t>
  </si>
  <si>
    <t>MD</t>
  </si>
  <si>
    <t>VA</t>
  </si>
  <si>
    <t>CO</t>
  </si>
  <si>
    <t>KS</t>
  </si>
  <si>
    <t>KY</t>
  </si>
  <si>
    <t>LA</t>
  </si>
  <si>
    <t>Atmos Energy Corporation (Mid-Tex)</t>
  </si>
  <si>
    <t>TX</t>
  </si>
  <si>
    <t>Atmos Energy Corporation (West Texas)</t>
  </si>
  <si>
    <t xml:space="preserve">New Jersey Natural Gas Company </t>
  </si>
  <si>
    <t>OR</t>
  </si>
  <si>
    <t>WA</t>
  </si>
  <si>
    <t>South Jersey Gas Company</t>
  </si>
  <si>
    <t>AZ</t>
  </si>
  <si>
    <t>NV</t>
  </si>
  <si>
    <t>DC</t>
  </si>
  <si>
    <t>Total Number of Customers</t>
  </si>
  <si>
    <t>Laclede Goup, Inc. (The)</t>
  </si>
  <si>
    <t>Alabama Gas Corporation</t>
  </si>
  <si>
    <t>AL</t>
  </si>
  <si>
    <t xml:space="preserve">Laclede Gas Company </t>
  </si>
  <si>
    <t>Missouri Gas Energy</t>
  </si>
  <si>
    <t>2014 Form 10-K, at 5 and 7</t>
  </si>
  <si>
    <t>2014 Form 10-K, at 32</t>
  </si>
  <si>
    <t>2014 Form 10-K, at 10</t>
  </si>
  <si>
    <t>2014 Form 10-K, at 16.</t>
  </si>
  <si>
    <t>2014 Form 10-K, at 4</t>
  </si>
  <si>
    <t>Investor Presentation, May 2015</t>
  </si>
  <si>
    <t>Qorvo Inc</t>
  </si>
  <si>
    <t>QRVO</t>
  </si>
  <si>
    <t>TEGNA Inc</t>
  </si>
  <si>
    <t>TGNA</t>
  </si>
  <si>
    <t>WEC Energy Group Inc</t>
  </si>
  <si>
    <t>US Bancorp</t>
  </si>
  <si>
    <t>Allergan plc</t>
  </si>
  <si>
    <t>AGN</t>
  </si>
  <si>
    <t>Kraft Heinz Co/The</t>
  </si>
  <si>
    <t>KHC</t>
  </si>
  <si>
    <t>salesforce.com inc</t>
  </si>
  <si>
    <t>Zimmer Biomet Holdings Inc</t>
  </si>
  <si>
    <t>ZBH</t>
  </si>
  <si>
    <t>Signet Jewelers Ltd</t>
  </si>
  <si>
    <t>SIG</t>
  </si>
  <si>
    <t>WestRock Co</t>
  </si>
  <si>
    <t>WRK</t>
  </si>
  <si>
    <t>JB Hunt Transport Services Inc</t>
  </si>
  <si>
    <t>JBHT</t>
  </si>
  <si>
    <t>Baxalta Inc</t>
  </si>
  <si>
    <t>BXLT</t>
  </si>
  <si>
    <t>PayPal Holdings Inc</t>
  </si>
  <si>
    <t>PYPL</t>
  </si>
  <si>
    <t>Columbia Pipeline Group Inc</t>
  </si>
  <si>
    <t>CPGX</t>
  </si>
  <si>
    <t>Advance Auto Parts Inc</t>
  </si>
  <si>
    <t>AAP</t>
  </si>
  <si>
    <t>Decoupling Mechanisms</t>
  </si>
  <si>
    <t>Decoupling</t>
  </si>
  <si>
    <t>Mechanism</t>
  </si>
  <si>
    <t>Percent with Decoupling</t>
  </si>
  <si>
    <t>Value Line</t>
  </si>
  <si>
    <t>Mean</t>
  </si>
  <si>
    <t>Beta</t>
  </si>
  <si>
    <t>1/ Source: SNL Financial LC; data as of June 30, 2015</t>
  </si>
  <si>
    <t>Capital Structures as of June 30, 2015</t>
  </si>
  <si>
    <t>2014 Form 10-K, at 5</t>
  </si>
  <si>
    <t xml:space="preserve"> [1]</t>
  </si>
  <si>
    <t>Source:  Schedule 4, page 3 of 8, and Schedule 4, page 4 of 8</t>
  </si>
  <si>
    <t>Activision Blizzard Inc</t>
  </si>
  <si>
    <t>ATVI</t>
  </si>
  <si>
    <t>Nielsen Holdings PLC</t>
  </si>
  <si>
    <t>Cascade Natural Gas Corp.</t>
  </si>
  <si>
    <t>Cascade Natural Gas Distribution % of:</t>
  </si>
  <si>
    <t>3/</t>
  </si>
  <si>
    <t>Source: SNL Financial LC as of October 31, 2015</t>
  </si>
  <si>
    <t>Source: Value Line, as of September 4, 2015.</t>
  </si>
  <si>
    <t>Source: Yahoo Finance! and Zacks Investment Research as of October 30, 2015.</t>
  </si>
  <si>
    <t>Verisk Analytics Inc</t>
  </si>
  <si>
    <t>VRSK</t>
  </si>
  <si>
    <t>Welltower Inc</t>
  </si>
  <si>
    <t>Alphabet Inc</t>
  </si>
  <si>
    <t>Nasdaq Inc</t>
  </si>
  <si>
    <t>FOX</t>
  </si>
  <si>
    <t>CMCSK</t>
  </si>
  <si>
    <t>United Continental Holdings Inc</t>
  </si>
  <si>
    <t>UAL</t>
  </si>
  <si>
    <t>NWS</t>
  </si>
  <si>
    <t>Market DCF Calculation as of October 30, 2015</t>
  </si>
  <si>
    <t>Source: Value Line; dated September 4, 2015</t>
  </si>
  <si>
    <t>As of September 4, 2015</t>
  </si>
  <si>
    <t>January 2010 - October 2015</t>
  </si>
  <si>
    <t>May 2015 - October 2015</t>
  </si>
  <si>
    <t>Cascade Natural Gas Company</t>
  </si>
  <si>
    <t>[1] Source: Adjustment Clauses - A State-by-State Overview, Regulatory Research Associates, October 2, 2015</t>
  </si>
  <si>
    <r>
      <t xml:space="preserve">Sources: </t>
    </r>
    <r>
      <rPr>
        <i/>
        <sz val="11"/>
        <rFont val="Times New Roman"/>
        <family val="1"/>
      </rPr>
      <t>SNL Financial</t>
    </r>
  </si>
  <si>
    <r>
      <t>3</t>
    </r>
    <r>
      <rPr>
        <vertAlign val="superscript"/>
        <sz val="12"/>
        <rFont val="Times New Roman"/>
        <family val="1"/>
      </rPr>
      <t>rd</t>
    </r>
    <r>
      <rPr>
        <sz val="12"/>
        <rFont val="Times New Roman"/>
        <family val="1"/>
      </rPr>
      <t xml:space="preserve"> Quartile</t>
    </r>
  </si>
  <si>
    <r>
      <t>2</t>
    </r>
    <r>
      <rPr>
        <b/>
        <vertAlign val="superscript"/>
        <sz val="12"/>
        <rFont val="Times New Roman"/>
        <family val="1"/>
      </rPr>
      <t>nd</t>
    </r>
    <r>
      <rPr>
        <b/>
        <sz val="12"/>
        <rFont val="Times New Roman"/>
        <family val="1"/>
      </rPr>
      <t xml:space="preserve"> Quartile (Median)</t>
    </r>
  </si>
  <si>
    <r>
      <t>1</t>
    </r>
    <r>
      <rPr>
        <vertAlign val="superscript"/>
        <sz val="12"/>
        <rFont val="Times New Roman"/>
        <family val="1"/>
      </rPr>
      <t>st</t>
    </r>
    <r>
      <rPr>
        <sz val="12"/>
        <rFont val="Times New Roman"/>
        <family val="1"/>
      </rPr>
      <t xml:space="preserve"> Quartile</t>
    </r>
  </si>
  <si>
    <r>
      <rPr>
        <sz val="12"/>
        <color theme="0"/>
        <rFont val="Times New Roman"/>
        <family val="1"/>
      </rPr>
      <t>[2]</t>
    </r>
    <r>
      <rPr>
        <sz val="12"/>
        <rFont val="Times New Roman"/>
        <family val="1"/>
      </rPr>
      <t xml:space="preserve"> National Income and Product Accounts Tables, Table 1.1.9, Revised on October 29, 2015</t>
    </r>
  </si>
  <si>
    <r>
      <rPr>
        <sz val="12"/>
        <color theme="0"/>
        <rFont val="Times New Roman"/>
        <family val="1"/>
      </rPr>
      <t>[3]</t>
    </r>
    <r>
      <rPr>
        <sz val="12"/>
        <rFont val="Times New Roman"/>
        <family val="1"/>
      </rPr>
      <t xml:space="preserve"> National Income and Product Accounts Tables, Table 1.1.1, Revised on October 29, 2015</t>
    </r>
  </si>
  <si>
    <r>
      <rPr>
        <sz val="12"/>
        <color theme="0"/>
        <rFont val="Times New Roman"/>
        <family val="1"/>
      </rPr>
      <t>[4]</t>
    </r>
    <r>
      <rPr>
        <sz val="12"/>
        <rFont val="Times New Roman"/>
        <family val="1"/>
      </rPr>
      <t xml:space="preserve"> National Income and Product Accounts Tables, Table 1.1.5, Revised on October 29, 2015</t>
    </r>
  </si>
  <si>
    <t>1/ Source: SNL Financial LC; data as of September 30, 2014</t>
  </si>
  <si>
    <t>1985-2014</t>
  </si>
  <si>
    <t>1995-2014</t>
  </si>
  <si>
    <t>2005-2014</t>
  </si>
  <si>
    <t>3/ Source:   Cascade Exhibit MPP-2, based on test year revenue requirement and rate base</t>
  </si>
  <si>
    <t>Average 2004-2015:</t>
  </si>
  <si>
    <t>2004-2015</t>
  </si>
  <si>
    <t>允䅁䅁䅕䅁䍁䅁䅁䅁䅁䅁䅁䅊䅁䕁䅫杢穂䡁䅑兡あ䡁䅕䅤灂䝁䄸杢杁䕁䄴兙瑂䝁䅕䅉䅁䅁䅍䅁捁䅁䅁兓あ䝁䅕兢杁䙁䅉党瑂䝁䄸杤求䝁䅑䅉䅁䅁䅉䅁⭁䅁䅁睔睂䡁䅑兡療䝁䄴督㙁䕁䅍兤祂䡁䅉児獁䕁䄰兙湂䑁䄰䅌䑂䝁䄸杢㉂䕁䄰党あ䝁䅧睢歂䑁䄰䅁䉁䅁䅁杋䅁䙁䅍杔䵂䍁䅁兓畂䡁䅍䅤灂䡁䅑兤あ䝁䅫睢畂䍁䅁睓求䡁䅫䅉䅁䅁䅑䅁䅁䅁䅁</t>
  </si>
  <si>
    <t xml:space="preserve">Cascade Natural Gas Corporation </t>
  </si>
  <si>
    <t>Cascade Natural Gas</t>
  </si>
  <si>
    <t>Cascade Natural Gas Corporation</t>
  </si>
  <si>
    <t>2/ Source: Cascade Natural Gas Corp. - Washington Natural Gas Operations</t>
  </si>
</sst>
</file>

<file path=xl/styles.xml><?xml version="1.0" encoding="utf-8"?>
<styleSheet xmlns="http://schemas.openxmlformats.org/spreadsheetml/2006/main" xmlns:mc="http://schemas.openxmlformats.org/markup-compatibility/2006" xmlns:x14ac="http://schemas.microsoft.com/office/spreadsheetml/2009/9/ac" mc:Ignorable="x14ac">
  <numFmts count="16">
    <numFmt numFmtId="41" formatCode="_(* #,##0_);_(* \(#,##0\);_(* &quot;-&quot;_);_(@_)"/>
    <numFmt numFmtId="44" formatCode="_(&quot;$&quot;* #,##0.00_);_(&quot;$&quot;* \(#,##0.00\);_(&quot;$&quot;* &quot;-&quot;??_);_(@_)"/>
    <numFmt numFmtId="43" formatCode="_(* #,##0.00_);_(* \(#,##0.00\);_(* &quot;-&quot;??_);_(@_)"/>
    <numFmt numFmtId="164" formatCode="0.0%"/>
    <numFmt numFmtId="165" formatCode="0.0000"/>
    <numFmt numFmtId="166" formatCode="&quot;$&quot;#,##0.0_);\(&quot;$&quot;#,##0.0\)"/>
    <numFmt numFmtId="167" formatCode="&quot;$&quot;#,##0.000"/>
    <numFmt numFmtId="168" formatCode="#,##0.0_);\(#,##0.0\)"/>
    <numFmt numFmtId="169" formatCode="_(&quot;$&quot;* #,##0.0_);_(&quot;$&quot;* \(#,##0.0\);_(&quot;$&quot;* &quot;-&quot;?_);_(@_)"/>
    <numFmt numFmtId="170" formatCode="_(* #,##0.0_);_(* \(#,##0.0\);_(* &quot;-&quot;?_);_(@_)"/>
    <numFmt numFmtId="171" formatCode="0.0000%"/>
    <numFmt numFmtId="172" formatCode="&quot;$&quot;#,##0.00"/>
    <numFmt numFmtId="173" formatCode="#,##0.0"/>
    <numFmt numFmtId="174" formatCode="_(* #,##0_);_(* \(#,##0\);_(* &quot;-&quot;??_);_(@_)"/>
    <numFmt numFmtId="175" formatCode="_(* #,##0.0000_);_(* \(#,##0.0000\);_(* &quot;-&quot;??_);_(@_)"/>
    <numFmt numFmtId="176" formatCode="[$-409]mmm\-yy;@"/>
  </numFmts>
  <fonts count="28" x14ac:knownFonts="1">
    <font>
      <sz val="12"/>
      <name val="Times New Roman"/>
      <family val="1"/>
    </font>
    <font>
      <sz val="10"/>
      <name val="Arial"/>
      <family val="2"/>
    </font>
    <font>
      <b/>
      <sz val="16"/>
      <name val="Times New Roman"/>
      <family val="1"/>
    </font>
    <font>
      <b/>
      <sz val="14"/>
      <name val="Times New Roman"/>
      <family val="1"/>
    </font>
    <font>
      <sz val="12"/>
      <name val="Times New Roman"/>
      <family val="1"/>
    </font>
    <font>
      <b/>
      <sz val="12"/>
      <name val="Times New Roman"/>
      <family val="1"/>
    </font>
    <font>
      <sz val="12"/>
      <color rgb="FF0000FF"/>
      <name val="Times New Roman"/>
      <family val="1"/>
    </font>
    <font>
      <i/>
      <sz val="14"/>
      <name val="Times New Roman"/>
      <family val="1"/>
    </font>
    <font>
      <sz val="12"/>
      <color theme="0"/>
      <name val="Times New Roman"/>
      <family val="1"/>
    </font>
    <font>
      <sz val="12"/>
      <color rgb="FFFF0000"/>
      <name val="Times New Roman"/>
      <family val="1"/>
    </font>
    <font>
      <sz val="10"/>
      <color theme="1"/>
      <name val="Arial"/>
      <family val="2"/>
    </font>
    <font>
      <u/>
      <sz val="12"/>
      <color theme="10"/>
      <name val="Times New Roman"/>
      <family val="1"/>
    </font>
    <font>
      <sz val="12"/>
      <name val="Century Gothic"/>
      <family val="2"/>
    </font>
    <font>
      <sz val="11"/>
      <name val="Times New Roman"/>
      <family val="1"/>
    </font>
    <font>
      <i/>
      <sz val="11"/>
      <name val="Times New Roman"/>
      <family val="1"/>
    </font>
    <font>
      <b/>
      <sz val="8"/>
      <color rgb="FF000000"/>
      <name val="Times New Roman"/>
      <family val="1"/>
    </font>
    <font>
      <b/>
      <sz val="12"/>
      <color rgb="FF0000FF"/>
      <name val="Times New Roman"/>
      <family val="1"/>
    </font>
    <font>
      <i/>
      <sz val="12"/>
      <color theme="0" tint="-0.249977111117893"/>
      <name val="Times New Roman"/>
      <family val="1"/>
    </font>
    <font>
      <sz val="12"/>
      <color theme="1"/>
      <name val="Times New Roman"/>
      <family val="1"/>
    </font>
    <font>
      <vertAlign val="superscript"/>
      <sz val="12"/>
      <name val="Times New Roman"/>
      <family val="1"/>
    </font>
    <font>
      <b/>
      <vertAlign val="superscript"/>
      <sz val="12"/>
      <name val="Times New Roman"/>
      <family val="1"/>
    </font>
    <font>
      <b/>
      <sz val="14"/>
      <color theme="1"/>
      <name val="Times New Roman"/>
      <family val="1"/>
    </font>
    <font>
      <b/>
      <sz val="12"/>
      <color theme="1"/>
      <name val="Times New Roman"/>
      <family val="1"/>
    </font>
    <font>
      <sz val="10"/>
      <color theme="1"/>
      <name val="Times New Roman"/>
      <family val="1"/>
    </font>
    <font>
      <sz val="12"/>
      <color rgb="FFC00000"/>
      <name val="Times New Roman"/>
      <family val="1"/>
    </font>
    <font>
      <sz val="12"/>
      <color rgb="FF0070C0"/>
      <name val="Times New Roman"/>
      <family val="1"/>
    </font>
    <font>
      <sz val="12"/>
      <color theme="0" tint="-0.249977111117893"/>
      <name val="Times New Roman"/>
      <family val="1"/>
    </font>
    <font>
      <sz val="12"/>
      <color rgb="FF00B050"/>
      <name val="Times New Roman"/>
      <family val="1"/>
    </font>
  </fonts>
  <fills count="3">
    <fill>
      <patternFill patternType="none"/>
    </fill>
    <fill>
      <patternFill patternType="gray125"/>
    </fill>
    <fill>
      <patternFill patternType="solid">
        <fgColor rgb="FFFFFF00"/>
        <bgColor indexed="64"/>
      </patternFill>
    </fill>
  </fills>
  <borders count="20">
    <border>
      <left/>
      <right/>
      <top/>
      <bottom/>
      <diagonal/>
    </border>
    <border>
      <left/>
      <right/>
      <top/>
      <bottom style="thin">
        <color indexed="64"/>
      </bottom>
      <diagonal/>
    </border>
    <border>
      <left/>
      <right/>
      <top style="medium">
        <color auto="1"/>
      </top>
      <bottom/>
      <diagonal/>
    </border>
    <border>
      <left/>
      <right/>
      <top style="thin">
        <color indexed="64"/>
      </top>
      <bottom style="thin">
        <color indexed="64"/>
      </bottom>
      <diagonal/>
    </border>
    <border>
      <left/>
      <right/>
      <top style="medium">
        <color indexed="64"/>
      </top>
      <bottom style="thin">
        <color indexed="64"/>
      </bottom>
      <diagonal/>
    </border>
    <border>
      <left/>
      <right/>
      <top style="thin">
        <color auto="1"/>
      </top>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medium">
        <color theme="0" tint="-0.24994659260841701"/>
      </left>
      <right/>
      <top style="medium">
        <color theme="0" tint="-0.24994659260841701"/>
      </top>
      <bottom/>
      <diagonal/>
    </border>
    <border>
      <left/>
      <right/>
      <top style="medium">
        <color theme="0" tint="-0.24994659260841701"/>
      </top>
      <bottom/>
      <diagonal/>
    </border>
    <border>
      <left/>
      <right style="medium">
        <color theme="0" tint="-0.24994659260841701"/>
      </right>
      <top style="medium">
        <color theme="0" tint="-0.24994659260841701"/>
      </top>
      <bottom/>
      <diagonal/>
    </border>
    <border>
      <left style="medium">
        <color theme="0" tint="-0.24994659260841701"/>
      </left>
      <right/>
      <top/>
      <bottom/>
      <diagonal/>
    </border>
    <border>
      <left/>
      <right style="medium">
        <color theme="0" tint="-0.24994659260841701"/>
      </right>
      <top/>
      <bottom/>
      <diagonal/>
    </border>
    <border>
      <left/>
      <right/>
      <top style="medium">
        <color theme="0" tint="-0.24994659260841701"/>
      </top>
      <bottom style="thin">
        <color theme="0" tint="-0.24994659260841701"/>
      </bottom>
      <diagonal/>
    </border>
    <border>
      <left/>
      <right/>
      <top/>
      <bottom style="thin">
        <color theme="0" tint="-0.14999847407452621"/>
      </bottom>
      <diagonal/>
    </border>
    <border>
      <left style="medium">
        <color theme="0" tint="-0.24994659260841701"/>
      </left>
      <right/>
      <top/>
      <bottom style="medium">
        <color theme="0" tint="-0.249977111117893"/>
      </bottom>
      <diagonal/>
    </border>
    <border>
      <left/>
      <right/>
      <top/>
      <bottom style="medium">
        <color theme="0" tint="-0.249977111117893"/>
      </bottom>
      <diagonal/>
    </border>
    <border>
      <left/>
      <right style="medium">
        <color theme="0" tint="-0.24994659260841701"/>
      </right>
      <top/>
      <bottom style="medium">
        <color theme="0" tint="-0.249977111117893"/>
      </bottom>
      <diagonal/>
    </border>
    <border>
      <left/>
      <right/>
      <top/>
      <bottom style="medium">
        <color auto="1"/>
      </bottom>
      <diagonal/>
    </border>
    <border>
      <left/>
      <right/>
      <top style="thin">
        <color auto="1"/>
      </top>
      <bottom style="medium">
        <color auto="1"/>
      </bottom>
      <diagonal/>
    </border>
  </borders>
  <cellStyleXfs count="5">
    <xf numFmtId="0" fontId="0" fillId="0" borderId="0"/>
    <xf numFmtId="9" fontId="1" fillId="0" borderId="0" applyFont="0" applyFill="0" applyBorder="0" applyAlignment="0" applyProtection="0"/>
    <xf numFmtId="0" fontId="10" fillId="0" borderId="0"/>
    <xf numFmtId="0" fontId="11" fillId="0" borderId="0" applyNumberFormat="0" applyFill="0" applyBorder="0" applyAlignment="0" applyProtection="0"/>
    <xf numFmtId="43" fontId="4" fillId="0" borderId="0" applyFont="0" applyFill="0" applyBorder="0" applyAlignment="0" applyProtection="0"/>
  </cellStyleXfs>
  <cellXfs count="203">
    <xf numFmtId="0" fontId="0" fillId="0" borderId="0" xfId="0"/>
    <xf numFmtId="0" fontId="0" fillId="0" borderId="0" xfId="0" applyAlignment="1">
      <alignment horizontal="centerContinuous"/>
    </xf>
    <xf numFmtId="0" fontId="5" fillId="0" borderId="0" xfId="0" applyFont="1"/>
    <xf numFmtId="10" fontId="4" fillId="0" borderId="0" xfId="1" applyNumberFormat="1" applyFont="1" applyAlignment="1">
      <alignment horizontal="center"/>
    </xf>
    <xf numFmtId="10" fontId="5" fillId="0" borderId="0" xfId="1" applyNumberFormat="1" applyFont="1" applyAlignment="1">
      <alignment horizontal="center"/>
    </xf>
    <xf numFmtId="0" fontId="0" fillId="0" borderId="0" xfId="0" applyAlignment="1">
      <alignment horizontal="center"/>
    </xf>
    <xf numFmtId="0" fontId="0" fillId="0" borderId="0" xfId="0" applyFont="1"/>
    <xf numFmtId="0" fontId="0" fillId="0" borderId="0" xfId="0" applyFont="1" applyAlignment="1">
      <alignment horizontal="center"/>
    </xf>
    <xf numFmtId="0" fontId="3" fillId="0" borderId="0" xfId="0" applyFont="1" applyAlignment="1">
      <alignment horizontal="centerContinuous"/>
    </xf>
    <xf numFmtId="0" fontId="0" fillId="0" borderId="1" xfId="0" applyFont="1" applyBorder="1" applyAlignment="1">
      <alignment horizontal="center" wrapText="1"/>
    </xf>
    <xf numFmtId="0" fontId="0" fillId="0" borderId="1" xfId="0" applyBorder="1" applyAlignment="1">
      <alignment horizontal="center"/>
    </xf>
    <xf numFmtId="0" fontId="0" fillId="0" borderId="1" xfId="0" applyBorder="1" applyAlignment="1">
      <alignment horizontal="centerContinuous"/>
    </xf>
    <xf numFmtId="0" fontId="0" fillId="0" borderId="3" xfId="0" applyBorder="1" applyAlignment="1">
      <alignment horizontal="center"/>
    </xf>
    <xf numFmtId="0" fontId="0" fillId="0" borderId="1" xfId="0" applyBorder="1" applyAlignment="1">
      <alignment horizontal="center" wrapText="1"/>
    </xf>
    <xf numFmtId="10" fontId="5" fillId="0" borderId="0" xfId="0" applyNumberFormat="1" applyFont="1" applyAlignment="1">
      <alignment horizontal="center"/>
    </xf>
    <xf numFmtId="0" fontId="0" fillId="0" borderId="1" xfId="0" applyBorder="1"/>
    <xf numFmtId="0" fontId="3" fillId="0" borderId="0" xfId="0" applyFont="1" applyAlignment="1">
      <alignment horizontal="centerContinuous"/>
    </xf>
    <xf numFmtId="0" fontId="0" fillId="0" borderId="0" xfId="0"/>
    <xf numFmtId="0" fontId="7" fillId="0" borderId="0" xfId="0" applyFont="1" applyAlignment="1">
      <alignment horizontal="centerContinuous"/>
    </xf>
    <xf numFmtId="0" fontId="0" fillId="0" borderId="0" xfId="0" applyBorder="1"/>
    <xf numFmtId="0" fontId="0" fillId="0" borderId="0" xfId="0" applyBorder="1" applyAlignment="1">
      <alignment horizontal="center"/>
    </xf>
    <xf numFmtId="164" fontId="0" fillId="0" borderId="0" xfId="1" applyNumberFormat="1" applyFont="1" applyAlignment="1">
      <alignment horizontal="center"/>
    </xf>
    <xf numFmtId="2" fontId="0" fillId="0" borderId="0" xfId="0" applyNumberFormat="1" applyAlignment="1">
      <alignment horizontal="center"/>
    </xf>
    <xf numFmtId="0" fontId="0" fillId="0" borderId="0" xfId="0" applyFont="1" applyFill="1"/>
    <xf numFmtId="0" fontId="2" fillId="0" borderId="0" xfId="0" applyFont="1" applyAlignment="1">
      <alignment horizontal="centerContinuous"/>
    </xf>
    <xf numFmtId="0" fontId="3" fillId="0" borderId="0" xfId="0" applyFont="1" applyAlignment="1">
      <alignment horizontal="centerContinuous"/>
    </xf>
    <xf numFmtId="10" fontId="0" fillId="0" borderId="0" xfId="1" applyNumberFormat="1" applyFont="1" applyFill="1" applyAlignment="1">
      <alignment horizontal="center"/>
    </xf>
    <xf numFmtId="0" fontId="0" fillId="0" borderId="0" xfId="0" applyFill="1" applyBorder="1" applyAlignment="1">
      <alignment horizontal="center" wrapText="1"/>
    </xf>
    <xf numFmtId="10" fontId="0" fillId="0" borderId="0" xfId="0" applyNumberFormat="1"/>
    <xf numFmtId="0" fontId="0" fillId="0" borderId="0" xfId="0" applyFill="1"/>
    <xf numFmtId="0" fontId="3" fillId="0" borderId="0" xfId="0" applyFont="1" applyFill="1" applyAlignment="1">
      <alignment horizontal="centerContinuous"/>
    </xf>
    <xf numFmtId="0" fontId="0" fillId="0" borderId="2" xfId="0" applyBorder="1"/>
    <xf numFmtId="0" fontId="0" fillId="0" borderId="2" xfId="0" applyBorder="1" applyAlignment="1">
      <alignment horizontal="center"/>
    </xf>
    <xf numFmtId="0" fontId="0" fillId="0" borderId="4" xfId="0" applyBorder="1" applyAlignment="1">
      <alignment horizontal="centerContinuous"/>
    </xf>
    <xf numFmtId="0" fontId="7" fillId="0" borderId="0" xfId="0" applyFont="1" applyFill="1" applyAlignment="1">
      <alignment horizontal="centerContinuous"/>
    </xf>
    <xf numFmtId="2" fontId="6" fillId="0" borderId="0" xfId="0" applyNumberFormat="1" applyFont="1" applyAlignment="1">
      <alignment horizontal="center"/>
    </xf>
    <xf numFmtId="164" fontId="6" fillId="0" borderId="0" xfId="1" applyNumberFormat="1" applyFont="1" applyAlignment="1">
      <alignment horizontal="center"/>
    </xf>
    <xf numFmtId="164" fontId="6" fillId="0" borderId="0" xfId="1" applyNumberFormat="1" applyFont="1" applyFill="1" applyAlignment="1">
      <alignment horizontal="center"/>
    </xf>
    <xf numFmtId="168" fontId="6" fillId="0" borderId="0" xfId="0" applyNumberFormat="1" applyFont="1" applyFill="1"/>
    <xf numFmtId="164" fontId="0" fillId="0" borderId="5" xfId="1" applyNumberFormat="1" applyFont="1" applyBorder="1" applyAlignment="1">
      <alignment horizontal="center"/>
    </xf>
    <xf numFmtId="164" fontId="0" fillId="0" borderId="0" xfId="1" applyNumberFormat="1" applyFont="1" applyBorder="1" applyAlignment="1">
      <alignment horizontal="center"/>
    </xf>
    <xf numFmtId="164" fontId="0" fillId="0" borderId="1" xfId="1" applyNumberFormat="1" applyFont="1" applyBorder="1" applyAlignment="1">
      <alignment horizontal="center"/>
    </xf>
    <xf numFmtId="164" fontId="0" fillId="0" borderId="5" xfId="1" applyNumberFormat="1" applyFont="1" applyFill="1" applyBorder="1" applyAlignment="1">
      <alignment horizontal="center"/>
    </xf>
    <xf numFmtId="164" fontId="0" fillId="0" borderId="0" xfId="0" applyNumberFormat="1" applyFill="1"/>
    <xf numFmtId="0" fontId="9" fillId="0" borderId="0" xfId="0" applyFont="1" applyFill="1"/>
    <xf numFmtId="2" fontId="0" fillId="0" borderId="0" xfId="0" applyNumberFormat="1"/>
    <xf numFmtId="44" fontId="0" fillId="0" borderId="0" xfId="0" applyNumberFormat="1" applyFont="1" applyFill="1"/>
    <xf numFmtId="43" fontId="0" fillId="0" borderId="0" xfId="0" applyNumberFormat="1" applyFont="1" applyFill="1"/>
    <xf numFmtId="0" fontId="0" fillId="0" borderId="0" xfId="0" applyFill="1" applyAlignment="1">
      <alignment horizontal="centerContinuous"/>
    </xf>
    <xf numFmtId="2" fontId="6" fillId="0" borderId="0" xfId="0" applyNumberFormat="1" applyFont="1" applyFill="1" applyAlignment="1">
      <alignment horizontal="center"/>
    </xf>
    <xf numFmtId="0" fontId="0" fillId="0" borderId="0" xfId="0" applyFill="1" applyAlignment="1">
      <alignment horizontal="center"/>
    </xf>
    <xf numFmtId="2" fontId="0" fillId="0" borderId="0" xfId="0" applyNumberFormat="1" applyFill="1" applyAlignment="1">
      <alignment horizontal="center"/>
    </xf>
    <xf numFmtId="165" fontId="0" fillId="0" borderId="0" xfId="0" applyNumberFormat="1"/>
    <xf numFmtId="0" fontId="0" fillId="0" borderId="0" xfId="0"/>
    <xf numFmtId="0" fontId="0" fillId="0" borderId="0" xfId="0" applyFill="1" applyBorder="1"/>
    <xf numFmtId="0" fontId="0" fillId="0" borderId="1" xfId="0" applyBorder="1"/>
    <xf numFmtId="0" fontId="0" fillId="0" borderId="0" xfId="0" applyAlignment="1">
      <alignment horizontal="center"/>
    </xf>
    <xf numFmtId="0" fontId="0" fillId="0" borderId="0" xfId="0" applyAlignment="1">
      <alignment horizontal="centerContinuous"/>
    </xf>
    <xf numFmtId="0" fontId="0" fillId="0" borderId="0" xfId="0" applyAlignment="1"/>
    <xf numFmtId="16" fontId="0" fillId="0" borderId="4" xfId="0" quotePrefix="1" applyNumberFormat="1" applyBorder="1" applyAlignment="1">
      <alignment horizontal="center"/>
    </xf>
    <xf numFmtId="0" fontId="0" fillId="0" borderId="4" xfId="0" quotePrefix="1" applyBorder="1" applyAlignment="1">
      <alignment horizontal="center"/>
    </xf>
    <xf numFmtId="0" fontId="5" fillId="0" borderId="0" xfId="0" applyFont="1" applyFill="1"/>
    <xf numFmtId="0" fontId="0" fillId="0" borderId="1" xfId="0" applyFill="1" applyBorder="1"/>
    <xf numFmtId="0" fontId="0" fillId="0" borderId="0" xfId="0" applyFill="1" applyAlignment="1"/>
    <xf numFmtId="0" fontId="0" fillId="0" borderId="2" xfId="0" applyFill="1" applyBorder="1"/>
    <xf numFmtId="0" fontId="0" fillId="0" borderId="5" xfId="0" applyFill="1" applyBorder="1"/>
    <xf numFmtId="0" fontId="0" fillId="0" borderId="0" xfId="0" applyFont="1" applyFill="1" applyAlignment="1">
      <alignment horizontal="center"/>
    </xf>
    <xf numFmtId="10" fontId="4" fillId="0" borderId="0" xfId="1" applyNumberFormat="1" applyFont="1" applyFill="1" applyAlignment="1">
      <alignment horizontal="center"/>
    </xf>
    <xf numFmtId="172" fontId="0" fillId="0" borderId="0" xfId="0" applyNumberFormat="1" applyFont="1" applyFill="1" applyAlignment="1">
      <alignment horizontal="center"/>
    </xf>
    <xf numFmtId="0" fontId="0" fillId="0" borderId="5" xfId="0" applyFill="1" applyBorder="1" applyAlignment="1">
      <alignment horizontal="center"/>
    </xf>
    <xf numFmtId="0" fontId="0" fillId="0" borderId="0" xfId="0" applyFill="1" applyBorder="1" applyAlignment="1">
      <alignment horizontal="center"/>
    </xf>
    <xf numFmtId="0" fontId="0" fillId="0" borderId="1" xfId="0" applyFill="1" applyBorder="1" applyAlignment="1">
      <alignment horizontal="center"/>
    </xf>
    <xf numFmtId="0" fontId="0" fillId="0" borderId="1" xfId="0" applyFill="1" applyBorder="1" applyAlignment="1">
      <alignment horizontal="center" wrapText="1"/>
    </xf>
    <xf numFmtId="0" fontId="9" fillId="0" borderId="0" xfId="0" applyFont="1"/>
    <xf numFmtId="0" fontId="3" fillId="0" borderId="0" xfId="0" applyFont="1" applyFill="1" applyAlignment="1">
      <alignment horizontal="centerContinuous" wrapText="1"/>
    </xf>
    <xf numFmtId="0" fontId="0" fillId="0" borderId="2" xfId="0" applyFill="1" applyBorder="1" applyAlignment="1">
      <alignment horizontal="center"/>
    </xf>
    <xf numFmtId="10" fontId="5" fillId="0" borderId="0" xfId="1" applyNumberFormat="1" applyFont="1" applyFill="1" applyAlignment="1">
      <alignment horizontal="center"/>
    </xf>
    <xf numFmtId="0" fontId="0" fillId="0" borderId="3" xfId="0" applyFill="1" applyBorder="1" applyAlignment="1">
      <alignment horizontal="centerContinuous"/>
    </xf>
    <xf numFmtId="10" fontId="0" fillId="0" borderId="0" xfId="1" applyNumberFormat="1" applyFont="1" applyFill="1" applyBorder="1" applyAlignment="1">
      <alignment horizontal="center"/>
    </xf>
    <xf numFmtId="10" fontId="0" fillId="0" borderId="1" xfId="1" applyNumberFormat="1" applyFont="1" applyFill="1" applyBorder="1" applyAlignment="1">
      <alignment horizontal="center"/>
    </xf>
    <xf numFmtId="10" fontId="5" fillId="0" borderId="0" xfId="0" applyNumberFormat="1" applyFont="1" applyFill="1" applyAlignment="1">
      <alignment horizontal="center"/>
    </xf>
    <xf numFmtId="176" fontId="0" fillId="0" borderId="0" xfId="0" applyNumberFormat="1" applyFont="1"/>
    <xf numFmtId="0" fontId="12" fillId="0" borderId="0" xfId="0" applyFont="1"/>
    <xf numFmtId="43" fontId="12" fillId="0" borderId="0" xfId="0" applyNumberFormat="1" applyFont="1" applyFill="1"/>
    <xf numFmtId="2" fontId="12" fillId="0" borderId="0" xfId="0" applyNumberFormat="1" applyFont="1" applyAlignment="1">
      <alignment horizontal="center"/>
    </xf>
    <xf numFmtId="0" fontId="0" fillId="0" borderId="0" xfId="0" applyFont="1" applyFill="1" applyAlignment="1">
      <alignment horizontal="centerContinuous"/>
    </xf>
    <xf numFmtId="0" fontId="9" fillId="2" borderId="0" xfId="0" applyFont="1" applyFill="1"/>
    <xf numFmtId="0" fontId="11" fillId="0" borderId="0" xfId="3" applyFont="1" applyFill="1"/>
    <xf numFmtId="0" fontId="0" fillId="0" borderId="4" xfId="0" applyFont="1" applyFill="1" applyBorder="1" applyAlignment="1">
      <alignment horizontal="center"/>
    </xf>
    <xf numFmtId="0" fontId="0" fillId="0" borderId="4" xfId="0" applyFont="1" applyFill="1" applyBorder="1" applyAlignment="1">
      <alignment horizontal="center" wrapText="1"/>
    </xf>
    <xf numFmtId="14" fontId="0" fillId="0" borderId="0" xfId="0" applyNumberFormat="1" applyFont="1" applyFill="1"/>
    <xf numFmtId="3" fontId="0" fillId="0" borderId="0" xfId="0" applyNumberFormat="1" applyFont="1" applyFill="1"/>
    <xf numFmtId="167" fontId="0" fillId="0" borderId="0" xfId="0" applyNumberFormat="1" applyFont="1" applyFill="1" applyAlignment="1">
      <alignment horizontal="center"/>
    </xf>
    <xf numFmtId="173" fontId="0" fillId="0" borderId="0" xfId="0" applyNumberFormat="1" applyFont="1" applyFill="1"/>
    <xf numFmtId="0" fontId="0" fillId="0" borderId="0" xfId="0" applyFont="1" applyFill="1" applyAlignment="1">
      <alignment horizontal="right"/>
    </xf>
    <xf numFmtId="167" fontId="0" fillId="0" borderId="0" xfId="0" applyNumberFormat="1" applyFont="1" applyFill="1"/>
    <xf numFmtId="172" fontId="0" fillId="0" borderId="0" xfId="0" applyNumberFormat="1" applyFont="1" applyFill="1"/>
    <xf numFmtId="0" fontId="13" fillId="0" borderId="0" xfId="0" applyFont="1" applyFill="1"/>
    <xf numFmtId="0" fontId="0" fillId="0" borderId="0" xfId="0" applyFont="1" applyAlignment="1">
      <alignment horizontal="centerContinuous"/>
    </xf>
    <xf numFmtId="0" fontId="0" fillId="0" borderId="0" xfId="0" applyFont="1" applyAlignment="1"/>
    <xf numFmtId="0" fontId="0" fillId="0" borderId="4" xfId="0" applyFont="1" applyBorder="1" applyAlignment="1">
      <alignment horizontal="center"/>
    </xf>
    <xf numFmtId="0" fontId="0" fillId="0" borderId="4" xfId="0" applyFont="1" applyBorder="1" applyAlignment="1">
      <alignment horizontal="center" wrapText="1"/>
    </xf>
    <xf numFmtId="170" fontId="6" fillId="0" borderId="0" xfId="0" applyNumberFormat="1" applyFont="1" applyFill="1"/>
    <xf numFmtId="166" fontId="0" fillId="0" borderId="0" xfId="0" applyNumberFormat="1" applyFont="1" applyFill="1"/>
    <xf numFmtId="41" fontId="0" fillId="0" borderId="5" xfId="0" applyNumberFormat="1" applyFont="1" applyBorder="1"/>
    <xf numFmtId="0" fontId="0" fillId="0" borderId="0" xfId="0" applyFont="1" applyBorder="1"/>
    <xf numFmtId="41" fontId="5" fillId="0" borderId="0" xfId="0" applyNumberFormat="1" applyFont="1" applyBorder="1"/>
    <xf numFmtId="41" fontId="0" fillId="0" borderId="1" xfId="0" applyNumberFormat="1" applyFont="1" applyBorder="1"/>
    <xf numFmtId="3" fontId="15" fillId="0" borderId="0" xfId="0" applyNumberFormat="1" applyFont="1"/>
    <xf numFmtId="0" fontId="0" fillId="0" borderId="0" xfId="0" quotePrefix="1" applyFont="1" applyFill="1" applyAlignment="1">
      <alignment horizontal="left"/>
    </xf>
    <xf numFmtId="166" fontId="16" fillId="0" borderId="0" xfId="0" applyNumberFormat="1" applyFont="1" applyFill="1"/>
    <xf numFmtId="0" fontId="0" fillId="0" borderId="1" xfId="0" applyFont="1" applyFill="1" applyBorder="1"/>
    <xf numFmtId="0" fontId="0" fillId="0" borderId="1" xfId="0" applyFont="1" applyBorder="1"/>
    <xf numFmtId="0" fontId="0" fillId="0" borderId="0" xfId="0" quotePrefix="1" applyFont="1" applyAlignment="1">
      <alignment horizontal="left" indent="1"/>
    </xf>
    <xf numFmtId="10" fontId="0" fillId="0" borderId="0" xfId="1" applyNumberFormat="1" applyFont="1"/>
    <xf numFmtId="1" fontId="0" fillId="0" borderId="0" xfId="0" applyNumberFormat="1" applyFont="1"/>
    <xf numFmtId="0" fontId="17" fillId="0" borderId="13" xfId="0" applyFont="1" applyFill="1" applyBorder="1" applyAlignment="1">
      <alignment horizontal="center" wrapText="1"/>
    </xf>
    <xf numFmtId="0" fontId="17" fillId="0" borderId="13" xfId="0" applyFont="1" applyFill="1" applyBorder="1" applyAlignment="1">
      <alignment horizontal="center"/>
    </xf>
    <xf numFmtId="0" fontId="6" fillId="0" borderId="0" xfId="0" applyFont="1" applyFill="1" applyAlignment="1">
      <alignment horizontal="center"/>
    </xf>
    <xf numFmtId="0" fontId="17" fillId="0" borderId="0" xfId="0" applyFont="1" applyFill="1" applyAlignment="1">
      <alignment horizontal="center"/>
    </xf>
    <xf numFmtId="0" fontId="17" fillId="0" borderId="8" xfId="0" applyFont="1" applyFill="1" applyBorder="1" applyAlignment="1">
      <alignment horizontal="center"/>
    </xf>
    <xf numFmtId="0" fontId="17" fillId="0" borderId="9" xfId="0" applyFont="1" applyFill="1" applyBorder="1" applyAlignment="1">
      <alignment horizontal="center"/>
    </xf>
    <xf numFmtId="0" fontId="17" fillId="0" borderId="10" xfId="0" applyFont="1" applyFill="1" applyBorder="1" applyAlignment="1">
      <alignment horizontal="center"/>
    </xf>
    <xf numFmtId="0" fontId="17" fillId="0" borderId="11" xfId="0" applyFont="1" applyFill="1" applyBorder="1" applyAlignment="1">
      <alignment horizontal="center"/>
    </xf>
    <xf numFmtId="0" fontId="17" fillId="0" borderId="0" xfId="0" applyFont="1" applyFill="1" applyBorder="1" applyAlignment="1">
      <alignment horizontal="center"/>
    </xf>
    <xf numFmtId="0" fontId="17" fillId="0" borderId="12" xfId="0" applyFont="1" applyFill="1" applyBorder="1" applyAlignment="1">
      <alignment horizontal="center"/>
    </xf>
    <xf numFmtId="0" fontId="17" fillId="0" borderId="15" xfId="0" applyFont="1" applyFill="1" applyBorder="1" applyAlignment="1">
      <alignment horizontal="center"/>
    </xf>
    <xf numFmtId="0" fontId="17" fillId="0" borderId="16" xfId="0" applyFont="1" applyFill="1" applyBorder="1" applyAlignment="1">
      <alignment horizontal="center"/>
    </xf>
    <xf numFmtId="0" fontId="17" fillId="0" borderId="17" xfId="0" applyFont="1" applyFill="1" applyBorder="1" applyAlignment="1">
      <alignment horizontal="center"/>
    </xf>
    <xf numFmtId="0" fontId="5" fillId="0" borderId="0" xfId="0" applyFont="1" applyFill="1" applyAlignment="1">
      <alignment horizontal="center"/>
    </xf>
    <xf numFmtId="0" fontId="6" fillId="0" borderId="0" xfId="0" quotePrefix="1" applyFont="1" applyFill="1" applyAlignment="1">
      <alignment horizontal="center"/>
    </xf>
    <xf numFmtId="0" fontId="0" fillId="0" borderId="0" xfId="0" applyFont="1" applyFill="1" applyBorder="1"/>
    <xf numFmtId="0" fontId="0" fillId="0" borderId="14" xfId="0" applyFont="1" applyFill="1" applyBorder="1"/>
    <xf numFmtId="0" fontId="0" fillId="0" borderId="6" xfId="0" applyFont="1" applyBorder="1" applyAlignment="1">
      <alignment horizontal="center" wrapText="1"/>
    </xf>
    <xf numFmtId="0" fontId="0" fillId="0" borderId="7" xfId="0" applyFont="1" applyBorder="1" applyAlignment="1">
      <alignment horizontal="center" wrapText="1"/>
    </xf>
    <xf numFmtId="10" fontId="0" fillId="0" borderId="0" xfId="0" applyNumberFormat="1" applyFont="1" applyAlignment="1">
      <alignment horizontal="center"/>
    </xf>
    <xf numFmtId="10" fontId="0" fillId="0" borderId="0" xfId="1" applyNumberFormat="1" applyFont="1" applyAlignment="1">
      <alignment horizontal="center"/>
    </xf>
    <xf numFmtId="2" fontId="0" fillId="0" borderId="0" xfId="0" applyNumberFormat="1" applyFont="1" applyAlignment="1">
      <alignment horizontal="center"/>
    </xf>
    <xf numFmtId="0" fontId="21" fillId="0" borderId="0" xfId="0" applyFont="1" applyAlignment="1">
      <alignment horizontal="centerContinuous"/>
    </xf>
    <xf numFmtId="0" fontId="0" fillId="0" borderId="4" xfId="0" applyFont="1" applyBorder="1"/>
    <xf numFmtId="0" fontId="22" fillId="0" borderId="0" xfId="0" applyFont="1"/>
    <xf numFmtId="10" fontId="22" fillId="0" borderId="0" xfId="0" applyNumberFormat="1" applyFont="1" applyAlignment="1">
      <alignment horizontal="center"/>
    </xf>
    <xf numFmtId="173" fontId="0" fillId="0" borderId="0" xfId="0" applyNumberFormat="1" applyFont="1" applyAlignment="1">
      <alignment horizontal="right"/>
    </xf>
    <xf numFmtId="4" fontId="0" fillId="0" borderId="0" xfId="0" applyNumberFormat="1" applyFont="1" applyAlignment="1">
      <alignment horizontal="right"/>
    </xf>
    <xf numFmtId="37" fontId="0" fillId="0" borderId="0" xfId="0" applyNumberFormat="1" applyFont="1" applyAlignment="1">
      <alignment horizontal="right"/>
    </xf>
    <xf numFmtId="171" fontId="0" fillId="0" borderId="0" xfId="0" applyNumberFormat="1" applyFont="1" applyFill="1" applyAlignment="1">
      <alignment horizontal="right"/>
    </xf>
    <xf numFmtId="10" fontId="0" fillId="0" borderId="0" xfId="0" applyNumberFormat="1" applyFont="1" applyAlignment="1">
      <alignment horizontal="right"/>
    </xf>
    <xf numFmtId="171" fontId="0" fillId="0" borderId="0" xfId="0" applyNumberFormat="1" applyFont="1" applyAlignment="1">
      <alignment horizontal="right"/>
    </xf>
    <xf numFmtId="0" fontId="0" fillId="0" borderId="0" xfId="0" applyFont="1" applyAlignment="1">
      <alignment horizontal="right"/>
    </xf>
    <xf numFmtId="0" fontId="23" fillId="0" borderId="0" xfId="2" applyFont="1" applyFill="1"/>
    <xf numFmtId="0" fontId="18" fillId="0" borderId="18" xfId="2" applyFont="1" applyFill="1" applyBorder="1"/>
    <xf numFmtId="0" fontId="18" fillId="0" borderId="18" xfId="2" applyFont="1" applyFill="1" applyBorder="1" applyAlignment="1">
      <alignment horizontal="center"/>
    </xf>
    <xf numFmtId="0" fontId="18" fillId="0" borderId="1" xfId="2" applyFont="1" applyFill="1" applyBorder="1"/>
    <xf numFmtId="0" fontId="18" fillId="0" borderId="1" xfId="2" applyFont="1" applyFill="1" applyBorder="1" applyAlignment="1">
      <alignment horizontal="center"/>
    </xf>
    <xf numFmtId="0" fontId="18" fillId="0" borderId="0" xfId="2" applyFont="1" applyFill="1" applyBorder="1"/>
    <xf numFmtId="0" fontId="18" fillId="0" borderId="5" xfId="2" applyFont="1" applyFill="1" applyBorder="1" applyAlignment="1">
      <alignment horizontal="center"/>
    </xf>
    <xf numFmtId="0" fontId="0" fillId="0" borderId="0" xfId="2" applyFont="1" applyFill="1" applyBorder="1"/>
    <xf numFmtId="0" fontId="0" fillId="0" borderId="0" xfId="2" applyFont="1" applyFill="1" applyBorder="1" applyAlignment="1">
      <alignment horizontal="center"/>
    </xf>
    <xf numFmtId="4" fontId="18" fillId="0" borderId="0" xfId="2" applyNumberFormat="1" applyFont="1" applyFill="1" applyBorder="1" applyAlignment="1">
      <alignment horizontal="center"/>
    </xf>
    <xf numFmtId="2" fontId="23" fillId="0" borderId="0" xfId="2" applyNumberFormat="1" applyFont="1" applyFill="1"/>
    <xf numFmtId="4" fontId="18" fillId="0" borderId="0" xfId="2" applyNumberFormat="1" applyFont="1" applyFill="1" applyAlignment="1">
      <alignment horizontal="center"/>
    </xf>
    <xf numFmtId="0" fontId="18" fillId="0" borderId="0" xfId="2" applyFont="1" applyFill="1"/>
    <xf numFmtId="4" fontId="18" fillId="0" borderId="19" xfId="2" applyNumberFormat="1" applyFont="1" applyFill="1" applyBorder="1" applyAlignment="1">
      <alignment horizontal="left"/>
    </xf>
    <xf numFmtId="4" fontId="18" fillId="0" borderId="19" xfId="2" applyNumberFormat="1" applyFont="1" applyFill="1" applyBorder="1" applyAlignment="1">
      <alignment horizontal="center"/>
    </xf>
    <xf numFmtId="0" fontId="0" fillId="0" borderId="0" xfId="2" applyFont="1" applyFill="1"/>
    <xf numFmtId="0" fontId="24" fillId="0" borderId="0" xfId="0" applyFont="1" applyFill="1" applyAlignment="1"/>
    <xf numFmtId="0" fontId="0" fillId="0" borderId="0" xfId="0" applyFont="1" applyFill="1" applyAlignment="1"/>
    <xf numFmtId="0" fontId="25" fillId="0" borderId="0" xfId="0" applyFont="1"/>
    <xf numFmtId="0" fontId="24" fillId="0" borderId="0" xfId="0" applyFont="1" applyFill="1" applyAlignment="1">
      <alignment horizontal="centerContinuous"/>
    </xf>
    <xf numFmtId="0" fontId="0" fillId="0" borderId="2" xfId="0" applyFont="1" applyFill="1" applyBorder="1" applyAlignment="1"/>
    <xf numFmtId="0" fontId="0" fillId="0" borderId="2" xfId="0" applyFont="1" applyFill="1" applyBorder="1" applyAlignment="1">
      <alignment horizontal="center"/>
    </xf>
    <xf numFmtId="0" fontId="25" fillId="0" borderId="0" xfId="0" applyFont="1" applyFill="1" applyBorder="1" applyAlignment="1">
      <alignment horizontal="center"/>
    </xf>
    <xf numFmtId="0" fontId="0" fillId="0" borderId="1" xfId="0" applyFont="1" applyFill="1" applyBorder="1" applyAlignment="1">
      <alignment horizontal="center"/>
    </xf>
    <xf numFmtId="0" fontId="26" fillId="0" borderId="0" xfId="0" applyFont="1" applyFill="1" applyBorder="1" applyAlignment="1"/>
    <xf numFmtId="0" fontId="0" fillId="0" borderId="0" xfId="0" applyFont="1" applyFill="1" applyBorder="1" applyAlignment="1"/>
    <xf numFmtId="0" fontId="0" fillId="0" borderId="0" xfId="0" applyFont="1" applyFill="1" applyBorder="1" applyAlignment="1">
      <alignment horizontal="center"/>
    </xf>
    <xf numFmtId="37" fontId="0" fillId="0" borderId="0" xfId="0" applyNumberFormat="1" applyFont="1" applyFill="1" applyBorder="1" applyAlignment="1">
      <alignment horizontal="right"/>
    </xf>
    <xf numFmtId="164" fontId="0" fillId="0" borderId="0" xfId="1" applyNumberFormat="1" applyFont="1" applyFill="1" applyBorder="1" applyAlignment="1">
      <alignment horizontal="center"/>
    </xf>
    <xf numFmtId="0" fontId="26" fillId="0" borderId="0" xfId="0" applyFont="1" applyAlignment="1"/>
    <xf numFmtId="0" fontId="18" fillId="0" borderId="0" xfId="0" applyFont="1" applyFill="1" applyBorder="1" applyAlignment="1">
      <alignment horizontal="center"/>
    </xf>
    <xf numFmtId="0" fontId="26" fillId="0" borderId="0" xfId="0" applyFont="1" applyFill="1" applyAlignment="1"/>
    <xf numFmtId="0" fontId="27" fillId="0" borderId="0" xfId="0" applyFont="1"/>
    <xf numFmtId="0" fontId="0" fillId="0" borderId="0" xfId="0" applyFont="1" applyFill="1" applyBorder="1" applyAlignment="1">
      <alignment horizontal="left" vertical="center"/>
    </xf>
    <xf numFmtId="0" fontId="0" fillId="0" borderId="0" xfId="0" applyFont="1" applyFill="1" applyBorder="1" applyAlignment="1">
      <alignment horizontal="center" vertical="center"/>
    </xf>
    <xf numFmtId="0" fontId="25" fillId="0" borderId="0" xfId="0" applyFont="1" applyFill="1"/>
    <xf numFmtId="0" fontId="0" fillId="0" borderId="0" xfId="0" applyFont="1" applyFill="1" applyBorder="1" applyAlignment="1">
      <alignment vertical="center"/>
    </xf>
    <xf numFmtId="174" fontId="0" fillId="0" borderId="0" xfId="4" applyNumberFormat="1" applyFont="1" applyFill="1" applyAlignment="1"/>
    <xf numFmtId="0" fontId="0" fillId="0" borderId="0" xfId="0" applyFont="1" applyFill="1" applyBorder="1" applyAlignment="1">
      <alignment horizontal="right"/>
    </xf>
    <xf numFmtId="9" fontId="0" fillId="0" borderId="0" xfId="1" applyFont="1" applyFill="1" applyBorder="1" applyAlignment="1"/>
    <xf numFmtId="0" fontId="5" fillId="0" borderId="0" xfId="0" applyFont="1" applyFill="1" applyBorder="1" applyAlignment="1"/>
    <xf numFmtId="37" fontId="5" fillId="0" borderId="0" xfId="0" applyNumberFormat="1" applyFont="1" applyFill="1" applyBorder="1" applyAlignment="1"/>
    <xf numFmtId="164" fontId="5" fillId="0" borderId="0" xfId="1" applyNumberFormat="1" applyFont="1" applyFill="1" applyBorder="1" applyAlignment="1">
      <alignment horizontal="center"/>
    </xf>
    <xf numFmtId="3" fontId="0" fillId="0" borderId="0" xfId="0" applyNumberFormat="1" applyFont="1" applyFill="1" applyBorder="1" applyAlignment="1"/>
    <xf numFmtId="0" fontId="27" fillId="0" borderId="0" xfId="0" applyFont="1" applyFill="1" applyBorder="1" applyAlignment="1"/>
    <xf numFmtId="174" fontId="0" fillId="0" borderId="0" xfId="0" applyNumberFormat="1" applyFont="1" applyFill="1" applyBorder="1" applyAlignment="1"/>
    <xf numFmtId="0" fontId="9" fillId="0" borderId="0" xfId="0" applyFont="1" applyAlignment="1"/>
    <xf numFmtId="175" fontId="0" fillId="0" borderId="0" xfId="0" applyNumberFormat="1" applyFont="1" applyAlignment="1"/>
    <xf numFmtId="0" fontId="24" fillId="0" borderId="0" xfId="0" applyFont="1"/>
    <xf numFmtId="169" fontId="0" fillId="0" borderId="0" xfId="0" applyNumberFormat="1" applyFont="1" applyFill="1"/>
    <xf numFmtId="170" fontId="0" fillId="0" borderId="0" xfId="0" applyNumberFormat="1" applyFont="1" applyFill="1"/>
    <xf numFmtId="164" fontId="0" fillId="0" borderId="0" xfId="0" applyNumberFormat="1"/>
    <xf numFmtId="0" fontId="0" fillId="0" borderId="0" xfId="0" applyFont="1" applyFill="1" applyAlignment="1">
      <alignment horizontal="left" indent="1"/>
    </xf>
    <xf numFmtId="0" fontId="2" fillId="0" borderId="0" xfId="0" applyFont="1" applyAlignment="1">
      <alignment horizontal="center"/>
    </xf>
  </cellXfs>
  <cellStyles count="5">
    <cellStyle name="Comma" xfId="4" builtinId="3"/>
    <cellStyle name="Hyperlink" xfId="3" builtinId="8"/>
    <cellStyle name="Normal" xfId="0" builtinId="0" customBuiltin="1"/>
    <cellStyle name="Normal 2" xfId="2"/>
    <cellStyle name="Percent" xfId="1"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26" Type="http://schemas.openxmlformats.org/officeDocument/2006/relationships/customXml" Target="../customXml/item4.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92.168.1.15\ceadata\(03200-03299)%20-%20Projects\03200-MDU-South%20Dakota%20Gas%202015\Prior%20ND%20Case\ND%20Gas%20Exhibit%20No.___(JSG-2)%2026.201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hed 1 Econ Stats"/>
      <sheetName val="Sched 1 Bond Yields"/>
      <sheetName val="Sched 2 Flot Cost"/>
      <sheetName val="Sched 3 Size"/>
      <sheetName val="Sched 3 Credit Ratings"/>
      <sheetName val="Sched 4 Div Yld"/>
      <sheetName val="Sched 4 Ret Growth"/>
      <sheetName val="Sched 4 Blended Growth"/>
      <sheetName val="Sched 4 DCF Retention"/>
      <sheetName val="Sched 4 DCF Basic"/>
      <sheetName val="Sched 4 DCF Blended"/>
      <sheetName val="Sched 5 Market DCF"/>
      <sheetName val="Sched 6 Decoupling"/>
      <sheetName val="Sched 7 Capital Structure"/>
    </sheetNames>
    <sheetDataSet>
      <sheetData sheetId="0"/>
      <sheetData sheetId="1"/>
      <sheetData sheetId="2">
        <row r="28">
          <cell r="A28" t="str">
            <v>Unitil Corporation</v>
          </cell>
          <cell r="B28">
            <v>37917</v>
          </cell>
          <cell r="C28">
            <v>624000</v>
          </cell>
          <cell r="D28">
            <v>25.4</v>
          </cell>
          <cell r="E28">
            <v>24.13</v>
          </cell>
        </row>
        <row r="29">
          <cell r="A29" t="str">
            <v>Piedmont Natural Gas Company, Inc.</v>
          </cell>
          <cell r="B29">
            <v>38006</v>
          </cell>
          <cell r="C29">
            <v>4250000</v>
          </cell>
          <cell r="D29">
            <v>42.5</v>
          </cell>
          <cell r="E29">
            <v>41.01</v>
          </cell>
        </row>
        <row r="30">
          <cell r="A30" t="str">
            <v>MDU Resources Group, Inc.</v>
          </cell>
          <cell r="B30">
            <v>38021</v>
          </cell>
          <cell r="C30">
            <v>2000000</v>
          </cell>
          <cell r="D30">
            <v>23.32</v>
          </cell>
          <cell r="E30">
            <v>22.527000000000001</v>
          </cell>
        </row>
        <row r="31">
          <cell r="A31" t="str">
            <v>UGI Corporation</v>
          </cell>
          <cell r="B31">
            <v>38064</v>
          </cell>
          <cell r="C31">
            <v>7500000</v>
          </cell>
          <cell r="D31">
            <v>32.1</v>
          </cell>
          <cell r="E31">
            <v>30.695600000000002</v>
          </cell>
        </row>
        <row r="32">
          <cell r="A32" t="str">
            <v>Northwest Natural Gas Company</v>
          </cell>
          <cell r="B32">
            <v>38076</v>
          </cell>
          <cell r="C32">
            <v>1200000</v>
          </cell>
          <cell r="D32">
            <v>31</v>
          </cell>
          <cell r="E32">
            <v>29.99</v>
          </cell>
        </row>
        <row r="33">
          <cell r="A33" t="str">
            <v>The Laclede Group, Inc.</v>
          </cell>
          <cell r="B33">
            <v>38132</v>
          </cell>
          <cell r="C33">
            <v>1500000</v>
          </cell>
          <cell r="D33">
            <v>26.8</v>
          </cell>
          <cell r="E33">
            <v>25.928999999999998</v>
          </cell>
        </row>
        <row r="34">
          <cell r="A34" t="str">
            <v>Atmos Energy Corporation</v>
          </cell>
          <cell r="B34">
            <v>38181</v>
          </cell>
          <cell r="C34">
            <v>8650000</v>
          </cell>
          <cell r="D34">
            <v>24.75</v>
          </cell>
          <cell r="E34">
            <v>23.76</v>
          </cell>
        </row>
        <row r="35">
          <cell r="A35" t="str">
            <v>Southern Union Company</v>
          </cell>
          <cell r="B35">
            <v>38194</v>
          </cell>
          <cell r="C35">
            <v>11000000</v>
          </cell>
          <cell r="D35">
            <v>18.75</v>
          </cell>
          <cell r="E35">
            <v>18.094000000000001</v>
          </cell>
        </row>
        <row r="36">
          <cell r="A36" t="str">
            <v>Aquila, Inc.</v>
          </cell>
          <cell r="B36">
            <v>38217</v>
          </cell>
          <cell r="C36">
            <v>40000000</v>
          </cell>
          <cell r="D36">
            <v>2.5499999999999998</v>
          </cell>
          <cell r="E36">
            <v>2.4509999999999996</v>
          </cell>
        </row>
        <row r="37">
          <cell r="A37" t="str">
            <v>Atmos Energy Corporation</v>
          </cell>
          <cell r="B37">
            <v>38281</v>
          </cell>
          <cell r="C37">
            <v>14000000</v>
          </cell>
          <cell r="D37">
            <v>24.75</v>
          </cell>
          <cell r="E37">
            <v>23.76</v>
          </cell>
        </row>
        <row r="38">
          <cell r="A38" t="str">
            <v>AGL Resources Inc.</v>
          </cell>
          <cell r="B38">
            <v>38310</v>
          </cell>
          <cell r="C38">
            <v>9600000</v>
          </cell>
          <cell r="D38">
            <v>31.01</v>
          </cell>
          <cell r="E38">
            <v>30.08</v>
          </cell>
        </row>
        <row r="39">
          <cell r="A39" t="str">
            <v>Cinergy Corporation</v>
          </cell>
          <cell r="B39">
            <v>38330</v>
          </cell>
          <cell r="C39">
            <v>6100000</v>
          </cell>
          <cell r="D39">
            <v>41</v>
          </cell>
          <cell r="E39">
            <v>40.51</v>
          </cell>
        </row>
        <row r="40">
          <cell r="A40" t="str">
            <v>Southern Union Company</v>
          </cell>
          <cell r="B40">
            <v>38390</v>
          </cell>
          <cell r="C40">
            <v>14910000</v>
          </cell>
          <cell r="D40">
            <v>23</v>
          </cell>
          <cell r="E40">
            <v>22.3</v>
          </cell>
        </row>
        <row r="41">
          <cell r="A41" t="str">
            <v>SEMCO Energy, Inc.</v>
          </cell>
          <cell r="B41">
            <v>38574</v>
          </cell>
          <cell r="C41">
            <v>4300000</v>
          </cell>
          <cell r="D41">
            <v>6.32</v>
          </cell>
          <cell r="E41">
            <v>6.0672000000000006</v>
          </cell>
        </row>
        <row r="42">
          <cell r="A42" t="str">
            <v>Chesapeake Utilities Corporation</v>
          </cell>
          <cell r="B42">
            <v>39037</v>
          </cell>
          <cell r="C42">
            <v>600300</v>
          </cell>
          <cell r="D42">
            <v>30.1</v>
          </cell>
          <cell r="E42">
            <v>28.975000000000001</v>
          </cell>
        </row>
        <row r="43">
          <cell r="A43" t="str">
            <v>Atmos Energy Corporation</v>
          </cell>
          <cell r="B43">
            <v>39058</v>
          </cell>
          <cell r="C43">
            <v>5500000</v>
          </cell>
          <cell r="D43">
            <v>31.5</v>
          </cell>
          <cell r="E43">
            <v>30.397500000000001</v>
          </cell>
        </row>
        <row r="44">
          <cell r="A44" t="str">
            <v>Vectren Corporation</v>
          </cell>
          <cell r="B44">
            <v>39135</v>
          </cell>
          <cell r="C44">
            <v>4600000</v>
          </cell>
          <cell r="D44">
            <v>28.33</v>
          </cell>
          <cell r="E44">
            <v>27.3384</v>
          </cell>
        </row>
        <row r="45">
          <cell r="A45" t="str">
            <v>Unitil Corporation</v>
          </cell>
          <cell r="B45">
            <v>39792</v>
          </cell>
          <cell r="C45">
            <v>2000000</v>
          </cell>
          <cell r="D45">
            <v>20</v>
          </cell>
          <cell r="E45">
            <v>18.95</v>
          </cell>
        </row>
        <row r="46">
          <cell r="A46" t="str">
            <v>Unitil Corporation</v>
          </cell>
          <cell r="B46">
            <v>39953</v>
          </cell>
          <cell r="C46">
            <v>2400000</v>
          </cell>
          <cell r="D46">
            <v>20</v>
          </cell>
          <cell r="E46">
            <v>18.95</v>
          </cell>
        </row>
        <row r="47">
          <cell r="A47" t="str">
            <v>CenterPoint Energy, Inc.</v>
          </cell>
          <cell r="B47">
            <v>40066</v>
          </cell>
          <cell r="C47">
            <v>21000000</v>
          </cell>
          <cell r="D47">
            <v>12</v>
          </cell>
          <cell r="E47">
            <v>11.58</v>
          </cell>
        </row>
        <row r="48">
          <cell r="A48" t="str">
            <v>CenterPoint Energy, Inc.</v>
          </cell>
          <cell r="B48">
            <v>40338</v>
          </cell>
          <cell r="C48">
            <v>22000000</v>
          </cell>
          <cell r="D48">
            <v>12.9</v>
          </cell>
          <cell r="E48">
            <v>12.448500000000001</v>
          </cell>
        </row>
        <row r="49">
          <cell r="A49" t="str">
            <v>NiSource Inc.</v>
          </cell>
          <cell r="B49">
            <v>40429</v>
          </cell>
          <cell r="C49">
            <v>21100000</v>
          </cell>
          <cell r="D49">
            <v>16.5</v>
          </cell>
          <cell r="E49">
            <v>15.963799999999999</v>
          </cell>
        </row>
        <row r="50">
          <cell r="A50" t="str">
            <v>Gas Natural Inc.</v>
          </cell>
          <cell r="B50">
            <v>40492</v>
          </cell>
          <cell r="C50">
            <v>2100000</v>
          </cell>
          <cell r="D50">
            <v>10</v>
          </cell>
          <cell r="E50">
            <v>9.4</v>
          </cell>
        </row>
        <row r="51">
          <cell r="A51" t="str">
            <v>Unitil Corporation</v>
          </cell>
          <cell r="B51">
            <v>41039</v>
          </cell>
          <cell r="C51">
            <v>2400000</v>
          </cell>
          <cell r="D51">
            <v>25.25</v>
          </cell>
          <cell r="E51">
            <v>23.987500000000001</v>
          </cell>
        </row>
        <row r="52">
          <cell r="A52" t="str">
            <v>Gas Natural Inc.</v>
          </cell>
          <cell r="B52">
            <v>41087</v>
          </cell>
          <cell r="C52">
            <v>700000</v>
          </cell>
          <cell r="D52">
            <v>10.1</v>
          </cell>
          <cell r="E52">
            <v>9.4939999999999998</v>
          </cell>
        </row>
        <row r="53">
          <cell r="A53" t="str">
            <v>Piedmont Natural Gas Company, Inc.</v>
          </cell>
          <cell r="B53">
            <v>41303</v>
          </cell>
          <cell r="C53">
            <v>4000000</v>
          </cell>
          <cell r="D53">
            <v>32</v>
          </cell>
          <cell r="E53">
            <v>30.88</v>
          </cell>
        </row>
        <row r="54">
          <cell r="A54" t="str">
            <v>The Laclede Group, Inc.</v>
          </cell>
          <cell r="B54">
            <v>41416</v>
          </cell>
          <cell r="C54">
            <v>8700000</v>
          </cell>
          <cell r="D54">
            <v>44.5</v>
          </cell>
          <cell r="E54">
            <v>42.78</v>
          </cell>
        </row>
        <row r="55">
          <cell r="A55" t="str">
            <v>Gas Natural Inc.</v>
          </cell>
          <cell r="B55">
            <v>41466</v>
          </cell>
          <cell r="C55">
            <v>1500000</v>
          </cell>
          <cell r="D55">
            <v>10</v>
          </cell>
          <cell r="E55">
            <v>9.4250000000000007</v>
          </cell>
        </row>
        <row r="56">
          <cell r="A56" t="str">
            <v>Gas Natural Inc.</v>
          </cell>
          <cell r="B56">
            <v>41578</v>
          </cell>
          <cell r="C56">
            <v>1134155</v>
          </cell>
          <cell r="D56">
            <v>10</v>
          </cell>
          <cell r="E56">
            <v>9.4250000000000007</v>
          </cell>
        </row>
        <row r="57">
          <cell r="A57" t="str">
            <v>Atmos Energy Corporation</v>
          </cell>
          <cell r="B57">
            <v>41681</v>
          </cell>
          <cell r="C57">
            <v>8000000</v>
          </cell>
          <cell r="D57">
            <v>44</v>
          </cell>
          <cell r="E57">
            <v>42.46</v>
          </cell>
        </row>
        <row r="58">
          <cell r="A58" t="str">
            <v>The Laclede Group, Inc.</v>
          </cell>
          <cell r="B58">
            <v>41795</v>
          </cell>
          <cell r="C58">
            <v>9000000</v>
          </cell>
          <cell r="D58">
            <v>46.25</v>
          </cell>
          <cell r="E58">
            <v>44.53875</v>
          </cell>
        </row>
      </sheetData>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
  <sheetViews>
    <sheetView workbookViewId="0"/>
  </sheetViews>
  <sheetFormatPr defaultRowHeight="15.75" x14ac:dyDescent="0.25"/>
  <sheetData>
    <row r="1" spans="1:1" x14ac:dyDescent="0.25">
      <c r="A1" t="s">
        <v>1287</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G46"/>
  <sheetViews>
    <sheetView zoomScaleNormal="100" workbookViewId="0">
      <selection activeCell="F3" sqref="F3"/>
    </sheetView>
  </sheetViews>
  <sheetFormatPr defaultColWidth="9" defaultRowHeight="15.75" x14ac:dyDescent="0.25"/>
  <cols>
    <col min="1" max="1" width="30" style="53" customWidth="1"/>
    <col min="2" max="2" width="9" style="53" customWidth="1"/>
    <col min="3" max="5" width="12.75" style="53" customWidth="1"/>
    <col min="6" max="16384" width="9" style="53"/>
  </cols>
  <sheetData>
    <row r="1" spans="1:7" ht="20.25" x14ac:dyDescent="0.3">
      <c r="A1" s="24" t="s">
        <v>1288</v>
      </c>
      <c r="B1" s="57"/>
      <c r="C1" s="57"/>
      <c r="D1" s="57"/>
      <c r="E1" s="57"/>
    </row>
    <row r="3" spans="1:7" ht="18.75" x14ac:dyDescent="0.3">
      <c r="A3" s="25" t="s">
        <v>33</v>
      </c>
      <c r="B3" s="57"/>
      <c r="C3" s="57"/>
      <c r="D3" s="57"/>
      <c r="E3" s="57"/>
    </row>
    <row r="4" spans="1:7" ht="18.75" x14ac:dyDescent="0.3">
      <c r="A4" s="25" t="s">
        <v>123</v>
      </c>
      <c r="B4" s="57"/>
      <c r="C4" s="57"/>
      <c r="D4" s="57"/>
      <c r="E4" s="57"/>
    </row>
    <row r="5" spans="1:7" ht="16.5" thickBot="1" x14ac:dyDescent="0.3"/>
    <row r="6" spans="1:7" x14ac:dyDescent="0.25">
      <c r="A6" s="31"/>
      <c r="B6" s="31"/>
      <c r="C6" s="59" t="s">
        <v>125</v>
      </c>
      <c r="D6" s="60" t="s">
        <v>125</v>
      </c>
      <c r="E6" s="31"/>
    </row>
    <row r="7" spans="1:7" ht="31.5" x14ac:dyDescent="0.25">
      <c r="A7" s="10" t="s">
        <v>145</v>
      </c>
      <c r="B7" s="10" t="s">
        <v>146</v>
      </c>
      <c r="C7" s="72" t="s">
        <v>45</v>
      </c>
      <c r="D7" s="72" t="s">
        <v>1164</v>
      </c>
      <c r="E7" s="13" t="s">
        <v>46</v>
      </c>
      <c r="G7" s="27"/>
    </row>
    <row r="8" spans="1:7" x14ac:dyDescent="0.25">
      <c r="C8" s="29"/>
      <c r="D8" s="29"/>
    </row>
    <row r="9" spans="1:7" x14ac:dyDescent="0.25">
      <c r="A9" s="53" t="s">
        <v>116</v>
      </c>
      <c r="B9" s="56" t="s">
        <v>149</v>
      </c>
      <c r="C9" s="67">
        <f>'Sched 4 Ret Growth'!G9</f>
        <v>5.2499999999999998E-2</v>
      </c>
      <c r="D9" s="67">
        <f>'Sched 4 Earnings Growth'!E9</f>
        <v>7.0000000000000007E-2</v>
      </c>
      <c r="E9" s="67">
        <f>IFERROR(C9*(1/2)+D9*(1/2),D9)</f>
        <v>6.1249999999999999E-2</v>
      </c>
    </row>
    <row r="10" spans="1:7" x14ac:dyDescent="0.25">
      <c r="A10" s="53" t="s">
        <v>1154</v>
      </c>
      <c r="B10" s="56" t="s">
        <v>1120</v>
      </c>
      <c r="C10" s="67">
        <f>'Sched 4 Ret Growth'!G10</f>
        <v>4.0476190476190478E-2</v>
      </c>
      <c r="D10" s="67">
        <f>'Sched 4 Earnings Growth'!E10</f>
        <v>4.6100000000000002E-2</v>
      </c>
      <c r="E10" s="67">
        <f t="shared" ref="E10:E15" si="0">IFERROR(C10*(1/2)+D10*(1/2),D10)</f>
        <v>4.3288095238095237E-2</v>
      </c>
      <c r="G10" s="28"/>
    </row>
    <row r="11" spans="1:7" x14ac:dyDescent="0.25">
      <c r="A11" s="6" t="s">
        <v>189</v>
      </c>
      <c r="B11" s="7" t="s">
        <v>21</v>
      </c>
      <c r="C11" s="67">
        <f>'Sched 4 Ret Growth'!G11</f>
        <v>6.3750000000000001E-2</v>
      </c>
      <c r="D11" s="67">
        <f>'Sched 4 Earnings Growth'!E11</f>
        <v>0.06</v>
      </c>
      <c r="E11" s="67">
        <f t="shared" si="0"/>
        <v>6.1874999999999999E-2</v>
      </c>
      <c r="G11" s="28"/>
    </row>
    <row r="12" spans="1:7" x14ac:dyDescent="0.25">
      <c r="A12" s="53" t="s">
        <v>109</v>
      </c>
      <c r="B12" s="56" t="s">
        <v>10</v>
      </c>
      <c r="C12" s="67">
        <f>'Sched 4 Ret Growth'!G12</f>
        <v>3.6363636363636355E-2</v>
      </c>
      <c r="D12" s="67">
        <f>'Sched 4 Earnings Growth'!E12</f>
        <v>0.04</v>
      </c>
      <c r="E12" s="67">
        <f t="shared" si="0"/>
        <v>3.8181818181818178E-2</v>
      </c>
      <c r="G12" s="28"/>
    </row>
    <row r="13" spans="1:7" x14ac:dyDescent="0.25">
      <c r="A13" s="53" t="s">
        <v>150</v>
      </c>
      <c r="B13" s="56" t="s">
        <v>151</v>
      </c>
      <c r="C13" s="67">
        <f>'Sched 4 Ret Growth'!G13</f>
        <v>5.5319148936170209E-2</v>
      </c>
      <c r="D13" s="67">
        <f>'Sched 4 Earnings Growth'!E13</f>
        <v>0.06</v>
      </c>
      <c r="E13" s="67">
        <f t="shared" si="0"/>
        <v>5.7659574468085104E-2</v>
      </c>
      <c r="G13" s="28"/>
    </row>
    <row r="14" spans="1:7" x14ac:dyDescent="0.25">
      <c r="A14" s="53" t="s">
        <v>190</v>
      </c>
      <c r="B14" s="56" t="s">
        <v>24</v>
      </c>
      <c r="C14" s="67">
        <f>'Sched 4 Ret Growth'!G14</f>
        <v>6.1333333333333337E-2</v>
      </c>
      <c r="D14" s="67">
        <f>'Sched 4 Earnings Growth'!E14</f>
        <v>4.4999999999999998E-2</v>
      </c>
      <c r="E14" s="67">
        <f t="shared" si="0"/>
        <v>5.3166666666666668E-2</v>
      </c>
    </row>
    <row r="15" spans="1:7" x14ac:dyDescent="0.25">
      <c r="A15" s="53" t="s">
        <v>114</v>
      </c>
      <c r="B15" s="56" t="s">
        <v>148</v>
      </c>
      <c r="C15" s="67">
        <f>'Sched 4 Ret Growth'!G15</f>
        <v>5.2732394366197179E-2</v>
      </c>
      <c r="D15" s="67">
        <f>'Sched 4 Earnings Growth'!E15</f>
        <v>6.5000000000000002E-2</v>
      </c>
      <c r="E15" s="67">
        <f t="shared" si="0"/>
        <v>5.8866197183098587E-2</v>
      </c>
      <c r="G15" s="28"/>
    </row>
    <row r="16" spans="1:7" x14ac:dyDescent="0.25">
      <c r="B16" s="56"/>
      <c r="E16" s="3"/>
    </row>
    <row r="17" spans="1:7" x14ac:dyDescent="0.25">
      <c r="A17" s="2" t="s">
        <v>7</v>
      </c>
      <c r="C17" s="14">
        <f>AVERAGE(C9:C15)</f>
        <v>5.178210049650394E-2</v>
      </c>
      <c r="D17" s="14">
        <f>AVERAGE(D9:D15)</f>
        <v>5.5157142857142856E-2</v>
      </c>
      <c r="E17" s="14">
        <f>AVERAGE(E9:E15)</f>
        <v>5.3469621676823391E-2</v>
      </c>
      <c r="G17" s="14"/>
    </row>
    <row r="18" spans="1:7" x14ac:dyDescent="0.25">
      <c r="A18" s="2" t="s">
        <v>1</v>
      </c>
      <c r="C18" s="14">
        <f>MEDIAN(C9:C15)</f>
        <v>5.2732394366197179E-2</v>
      </c>
      <c r="D18" s="14">
        <f>MEDIAN(D9:D15)</f>
        <v>0.06</v>
      </c>
      <c r="E18" s="14">
        <f>MEDIAN(E9:E15)</f>
        <v>5.7659574468085104E-2</v>
      </c>
      <c r="G18" s="14"/>
    </row>
    <row r="20" spans="1:7" x14ac:dyDescent="0.25">
      <c r="A20" s="29" t="s">
        <v>1246</v>
      </c>
    </row>
    <row r="46" spans="5:5" ht="17.25" x14ac:dyDescent="0.3">
      <c r="E46" s="82"/>
    </row>
  </sheetData>
  <printOptions horizontalCentered="1"/>
  <pageMargins left="0.7" right="0.7" top="1.25" bottom="0.75" header="0.3" footer="0.3"/>
  <pageSetup scale="81" firstPageNumber="4" orientation="portrait" useFirstPageNumber="1" r:id="rId1"/>
  <headerFooter alignWithMargins="0">
    <oddHeader>&amp;R&amp;K000000Docket No. UG-15____
Cascade Natural Gas Corp.
Exhibit No.___(JSG-2)
Schedule 4
Page 5 of 8</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H28"/>
  <sheetViews>
    <sheetView view="pageLayout" zoomScale="80" zoomScaleNormal="85" zoomScalePageLayoutView="80" workbookViewId="0">
      <selection activeCell="H3" sqref="H3"/>
    </sheetView>
  </sheetViews>
  <sheetFormatPr defaultColWidth="9" defaultRowHeight="15.75" x14ac:dyDescent="0.25"/>
  <cols>
    <col min="1" max="1" width="30" style="6" customWidth="1"/>
    <col min="2" max="2" width="9" style="6" customWidth="1"/>
    <col min="3" max="3" width="10.625" style="6" bestFit="1" customWidth="1"/>
    <col min="4" max="4" width="13.125" style="6" customWidth="1"/>
    <col min="5" max="5" width="10.625" style="6" bestFit="1" customWidth="1"/>
    <col min="6" max="6" width="12.625" style="6" customWidth="1"/>
    <col min="7" max="7" width="12.125" style="6" customWidth="1"/>
    <col min="8" max="8" width="10.625" style="6" bestFit="1" customWidth="1"/>
    <col min="9" max="16384" width="9" style="6"/>
  </cols>
  <sheetData>
    <row r="1" spans="1:8" ht="20.25" x14ac:dyDescent="0.3">
      <c r="A1" s="24" t="s">
        <v>1290</v>
      </c>
      <c r="B1" s="98"/>
      <c r="C1" s="98"/>
      <c r="D1" s="98"/>
      <c r="E1" s="98"/>
      <c r="F1" s="98"/>
      <c r="G1" s="98"/>
      <c r="H1" s="98"/>
    </row>
    <row r="3" spans="1:8" ht="18.75" x14ac:dyDescent="0.3">
      <c r="A3" s="25" t="s">
        <v>33</v>
      </c>
      <c r="B3" s="98"/>
      <c r="C3" s="98"/>
      <c r="D3" s="98"/>
      <c r="E3" s="98"/>
      <c r="F3" s="98"/>
      <c r="G3" s="98"/>
      <c r="H3" s="98"/>
    </row>
    <row r="4" spans="1:8" ht="18.75" x14ac:dyDescent="0.3">
      <c r="A4" s="25" t="s">
        <v>112</v>
      </c>
      <c r="B4" s="98"/>
      <c r="C4" s="98"/>
      <c r="D4" s="98"/>
      <c r="E4" s="98"/>
      <c r="F4" s="98"/>
      <c r="G4" s="98"/>
      <c r="H4" s="98"/>
    </row>
    <row r="6" spans="1:8" ht="32.25" thickBot="1" x14ac:dyDescent="0.3">
      <c r="F6" s="133" t="s">
        <v>51</v>
      </c>
      <c r="H6" s="133" t="s">
        <v>52</v>
      </c>
    </row>
    <row r="7" spans="1:8" ht="47.25" x14ac:dyDescent="0.25">
      <c r="A7" s="100" t="s">
        <v>145</v>
      </c>
      <c r="B7" s="100" t="s">
        <v>146</v>
      </c>
      <c r="C7" s="101" t="s">
        <v>48</v>
      </c>
      <c r="D7" s="101" t="s">
        <v>53</v>
      </c>
      <c r="E7" s="101" t="s">
        <v>49</v>
      </c>
      <c r="F7" s="134" t="s">
        <v>50</v>
      </c>
      <c r="G7" s="101" t="s">
        <v>17</v>
      </c>
      <c r="H7" s="134" t="s">
        <v>16</v>
      </c>
    </row>
    <row r="9" spans="1:8" x14ac:dyDescent="0.25">
      <c r="A9" s="23" t="s">
        <v>116</v>
      </c>
      <c r="B9" s="66" t="s">
        <v>149</v>
      </c>
      <c r="C9" s="135">
        <f>'Sched 4 Div Yld'!H11</f>
        <v>2.8380506997908308E-2</v>
      </c>
      <c r="D9" s="135">
        <f t="shared" ref="D9:D15" si="0">(1+(0.625*E9))*C9</f>
        <v>2.9311742383777172E-2</v>
      </c>
      <c r="E9" s="135">
        <f>'Sched 4 Ret Growth'!G9</f>
        <v>5.2499999999999998E-2</v>
      </c>
      <c r="F9" s="135">
        <f>D9+E9</f>
        <v>8.181174238377717E-2</v>
      </c>
      <c r="G9" s="137">
        <f>1+'Sched 2 Flot Cost'!$F$42</f>
        <v>1.04</v>
      </c>
      <c r="H9" s="135">
        <f t="shared" ref="H9:H15" si="1">F9*G9</f>
        <v>8.5084212079128266E-2</v>
      </c>
    </row>
    <row r="10" spans="1:8" x14ac:dyDescent="0.25">
      <c r="A10" s="23" t="s">
        <v>1154</v>
      </c>
      <c r="B10" s="66" t="s">
        <v>1120</v>
      </c>
      <c r="C10" s="135">
        <f>'Sched 4 Div Yld'!H12</f>
        <v>3.4488774035952199E-2</v>
      </c>
      <c r="D10" s="135">
        <f>(1+(0.625*E10))*C10</f>
        <v>3.5361257902933131E-2</v>
      </c>
      <c r="E10" s="135">
        <f>'Sched 4 Ret Growth'!G10</f>
        <v>4.0476190476190478E-2</v>
      </c>
      <c r="F10" s="135">
        <f t="shared" ref="F10:F15" si="2">D10+E10</f>
        <v>7.5837448379123609E-2</v>
      </c>
      <c r="G10" s="137">
        <f>1+'Sched 2 Flot Cost'!$F$42</f>
        <v>1.04</v>
      </c>
      <c r="H10" s="135">
        <f t="shared" si="1"/>
        <v>7.8870946314288551E-2</v>
      </c>
    </row>
    <row r="11" spans="1:8" x14ac:dyDescent="0.25">
      <c r="A11" s="23" t="s">
        <v>189</v>
      </c>
      <c r="B11" s="66" t="s">
        <v>21</v>
      </c>
      <c r="C11" s="135">
        <f>'Sched 4 Div Yld'!H13</f>
        <v>3.1508438877692023E-2</v>
      </c>
      <c r="D11" s="135">
        <f>(1+(0.625*E11))*C11</f>
        <v>3.2763853239225066E-2</v>
      </c>
      <c r="E11" s="135">
        <f>'Sched 4 Ret Growth'!G11</f>
        <v>6.3750000000000001E-2</v>
      </c>
      <c r="F11" s="135">
        <f t="shared" si="2"/>
        <v>9.6513853239225067E-2</v>
      </c>
      <c r="G11" s="137">
        <f>1+'Sched 2 Flot Cost'!$F$42</f>
        <v>1.04</v>
      </c>
      <c r="H11" s="135">
        <f t="shared" si="1"/>
        <v>0.10037440736879408</v>
      </c>
    </row>
    <row r="12" spans="1:8" x14ac:dyDescent="0.25">
      <c r="A12" s="23" t="s">
        <v>109</v>
      </c>
      <c r="B12" s="66" t="s">
        <v>10</v>
      </c>
      <c r="C12" s="135">
        <f>'Sched 4 Div Yld'!H14</f>
        <v>4.1790126527913786E-2</v>
      </c>
      <c r="D12" s="135">
        <f t="shared" si="0"/>
        <v>4.273990213082092E-2</v>
      </c>
      <c r="E12" s="135">
        <f>'Sched 4 Ret Growth'!G12</f>
        <v>3.6363636363636355E-2</v>
      </c>
      <c r="F12" s="135">
        <f t="shared" si="2"/>
        <v>7.9103538494457282E-2</v>
      </c>
      <c r="G12" s="137">
        <f>1+'Sched 2 Flot Cost'!$F$42</f>
        <v>1.04</v>
      </c>
      <c r="H12" s="135">
        <f t="shared" si="1"/>
        <v>8.2267680034235582E-2</v>
      </c>
    </row>
    <row r="13" spans="1:8" x14ac:dyDescent="0.25">
      <c r="A13" s="23" t="s">
        <v>150</v>
      </c>
      <c r="B13" s="66" t="s">
        <v>151</v>
      </c>
      <c r="C13" s="135">
        <f>'Sched 4 Div Yld'!H15</f>
        <v>3.9858395293962644E-2</v>
      </c>
      <c r="D13" s="135">
        <f t="shared" si="0"/>
        <v>4.1236478109977305E-2</v>
      </c>
      <c r="E13" s="135">
        <f>'Sched 4 Ret Growth'!G13</f>
        <v>5.5319148936170209E-2</v>
      </c>
      <c r="F13" s="135">
        <f t="shared" si="2"/>
        <v>9.6555627046147507E-2</v>
      </c>
      <c r="G13" s="137">
        <f>1+'Sched 2 Flot Cost'!$F$42</f>
        <v>1.04</v>
      </c>
      <c r="H13" s="135">
        <f t="shared" si="1"/>
        <v>0.10041785212799341</v>
      </c>
    </row>
    <row r="14" spans="1:8" x14ac:dyDescent="0.25">
      <c r="A14" s="23" t="s">
        <v>190</v>
      </c>
      <c r="B14" s="66" t="s">
        <v>24</v>
      </c>
      <c r="C14" s="135">
        <f>'Sched 4 Div Yld'!H16</f>
        <v>2.9264264090663881E-2</v>
      </c>
      <c r="D14" s="135">
        <f>(1+(0.625*E14))*C14</f>
        <v>3.0386060880805997E-2</v>
      </c>
      <c r="E14" s="135">
        <f>'Sched 4 Ret Growth'!G14</f>
        <v>6.1333333333333337E-2</v>
      </c>
      <c r="F14" s="135">
        <f t="shared" si="2"/>
        <v>9.1719394214139327E-2</v>
      </c>
      <c r="G14" s="137">
        <f>1+'Sched 2 Flot Cost'!$F$42</f>
        <v>1.04</v>
      </c>
      <c r="H14" s="135">
        <f t="shared" si="1"/>
        <v>9.5388169982704898E-2</v>
      </c>
    </row>
    <row r="15" spans="1:8" x14ac:dyDescent="0.25">
      <c r="A15" s="23" t="s">
        <v>114</v>
      </c>
      <c r="B15" s="66" t="s">
        <v>148</v>
      </c>
      <c r="C15" s="135">
        <f>'Sched 4 Div Yld'!H17</f>
        <v>3.2918385515915645E-2</v>
      </c>
      <c r="D15" s="135">
        <f t="shared" si="0"/>
        <v>3.4003301320243005E-2</v>
      </c>
      <c r="E15" s="135">
        <f>'Sched 4 Ret Growth'!G15</f>
        <v>5.2732394366197179E-2</v>
      </c>
      <c r="F15" s="135">
        <f t="shared" si="2"/>
        <v>8.6735695686440184E-2</v>
      </c>
      <c r="G15" s="137">
        <f>1+'Sched 2 Flot Cost'!$F$42</f>
        <v>1.04</v>
      </c>
      <c r="H15" s="135">
        <f t="shared" si="1"/>
        <v>9.0205123513897797E-2</v>
      </c>
    </row>
    <row r="16" spans="1:8" x14ac:dyDescent="0.25">
      <c r="A16" s="2"/>
      <c r="H16" s="4"/>
    </row>
    <row r="17" spans="1:8" ht="18.75" customHeight="1" x14ac:dyDescent="0.25">
      <c r="A17" s="6" t="s">
        <v>0</v>
      </c>
      <c r="F17" s="136">
        <f>MAX(F9:F15)</f>
        <v>9.6555627046147507E-2</v>
      </c>
      <c r="H17" s="136">
        <f>MAX(H9:H15)</f>
        <v>0.10041785212799341</v>
      </c>
    </row>
    <row r="18" spans="1:8" ht="18.75" x14ac:dyDescent="0.25">
      <c r="A18" s="6" t="s">
        <v>1274</v>
      </c>
      <c r="F18" s="136">
        <f>QUARTILE(F9:F15,3)</f>
        <v>9.4116623726682197E-2</v>
      </c>
      <c r="H18" s="136">
        <f>QUARTILE(H9:H15,3)</f>
        <v>9.7881288675749495E-2</v>
      </c>
    </row>
    <row r="19" spans="1:8" ht="18.75" x14ac:dyDescent="0.25">
      <c r="A19" s="2" t="s">
        <v>1275</v>
      </c>
      <c r="F19" s="4">
        <f>MEDIAN(F9:F15)</f>
        <v>8.6735695686440184E-2</v>
      </c>
      <c r="H19" s="4">
        <f>MEDIAN(H9:H15)</f>
        <v>9.0205123513897797E-2</v>
      </c>
    </row>
    <row r="20" spans="1:8" ht="18.75" x14ac:dyDescent="0.25">
      <c r="A20" s="6" t="s">
        <v>1276</v>
      </c>
      <c r="F20" s="136">
        <f>QUARTILE(F9:F15,1)</f>
        <v>8.0457640439117226E-2</v>
      </c>
      <c r="H20" s="136">
        <f>QUARTILE(H9:H15,1)</f>
        <v>8.3675946056681924E-2</v>
      </c>
    </row>
    <row r="21" spans="1:8" ht="18.75" customHeight="1" x14ac:dyDescent="0.25">
      <c r="A21" s="6" t="s">
        <v>2</v>
      </c>
      <c r="F21" s="136">
        <f>MIN(F9:F15)</f>
        <v>7.5837448379123609E-2</v>
      </c>
      <c r="H21" s="136">
        <f>MIN(H9:H15)</f>
        <v>7.8870946314288551E-2</v>
      </c>
    </row>
    <row r="28" spans="1:8" x14ac:dyDescent="0.25">
      <c r="H28" s="6" t="s">
        <v>1162</v>
      </c>
    </row>
  </sheetData>
  <printOptions horizontalCentered="1"/>
  <pageMargins left="0.7" right="0.7" top="1.25" bottom="0.75" header="0.3" footer="0.3"/>
  <pageSetup scale="72" firstPageNumber="5" orientation="portrait" useFirstPageNumber="1" copies="3" r:id="rId1"/>
  <headerFooter alignWithMargins="0">
    <oddHeader>&amp;R&amp;K000000Docket No. UG-15____
Cascade Natural Gas Corp.
Exhibit No.___(JSG-2)
Schedule 4
Page 6 of 8</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H21"/>
  <sheetViews>
    <sheetView zoomScale="85" zoomScaleNormal="85" workbookViewId="0">
      <selection activeCell="G3" sqref="G3"/>
    </sheetView>
  </sheetViews>
  <sheetFormatPr defaultColWidth="9" defaultRowHeight="15.75" x14ac:dyDescent="0.25"/>
  <cols>
    <col min="1" max="1" width="30" style="6" customWidth="1"/>
    <col min="2" max="2" width="9" style="6"/>
    <col min="3" max="3" width="10.625" style="6" customWidth="1"/>
    <col min="4" max="4" width="12.875" style="6" customWidth="1"/>
    <col min="5" max="5" width="10.625" style="6" customWidth="1"/>
    <col min="6" max="6" width="13.75" style="6" customWidth="1"/>
    <col min="7" max="7" width="13" style="6" customWidth="1"/>
    <col min="8" max="8" width="10.625" style="6" customWidth="1"/>
    <col min="9" max="16384" width="9" style="6"/>
  </cols>
  <sheetData>
    <row r="1" spans="1:8" ht="20.25" x14ac:dyDescent="0.3">
      <c r="A1" s="24" t="s">
        <v>1290</v>
      </c>
      <c r="B1" s="98"/>
      <c r="C1" s="98"/>
      <c r="D1" s="98"/>
      <c r="E1" s="98"/>
      <c r="F1" s="98"/>
      <c r="G1" s="98"/>
      <c r="H1" s="98"/>
    </row>
    <row r="3" spans="1:8" ht="18.75" x14ac:dyDescent="0.3">
      <c r="A3" s="25" t="s">
        <v>33</v>
      </c>
      <c r="B3" s="98"/>
      <c r="C3" s="98"/>
      <c r="D3" s="98"/>
      <c r="E3" s="98"/>
      <c r="F3" s="98"/>
      <c r="G3" s="98"/>
      <c r="H3" s="98"/>
    </row>
    <row r="4" spans="1:8" ht="18.75" x14ac:dyDescent="0.3">
      <c r="A4" s="25" t="s">
        <v>54</v>
      </c>
      <c r="B4" s="98"/>
      <c r="C4" s="98"/>
      <c r="D4" s="98"/>
      <c r="E4" s="98"/>
      <c r="F4" s="98"/>
      <c r="G4" s="98"/>
      <c r="H4" s="98"/>
    </row>
    <row r="6" spans="1:8" ht="32.25" thickBot="1" x14ac:dyDescent="0.3">
      <c r="F6" s="133" t="s">
        <v>51</v>
      </c>
      <c r="H6" s="133" t="s">
        <v>52</v>
      </c>
    </row>
    <row r="7" spans="1:8" ht="64.5" customHeight="1" x14ac:dyDescent="0.25">
      <c r="A7" s="100" t="s">
        <v>145</v>
      </c>
      <c r="B7" s="100" t="s">
        <v>146</v>
      </c>
      <c r="C7" s="101" t="s">
        <v>48</v>
      </c>
      <c r="D7" s="101" t="s">
        <v>53</v>
      </c>
      <c r="E7" s="101" t="s">
        <v>49</v>
      </c>
      <c r="F7" s="134" t="s">
        <v>14</v>
      </c>
      <c r="G7" s="101" t="s">
        <v>15</v>
      </c>
      <c r="H7" s="134" t="s">
        <v>16</v>
      </c>
    </row>
    <row r="9" spans="1:8" x14ac:dyDescent="0.25">
      <c r="A9" s="23" t="s">
        <v>116</v>
      </c>
      <c r="B9" s="66" t="s">
        <v>149</v>
      </c>
      <c r="C9" s="135">
        <f>'Sched 4 Div Yld'!H11</f>
        <v>2.8380506997908308E-2</v>
      </c>
      <c r="D9" s="135">
        <f>(1+(0.625*E9))*C9</f>
        <v>2.9622154179066794E-2</v>
      </c>
      <c r="E9" s="135">
        <f>'Sched 4 Earnings Growth'!E9</f>
        <v>7.0000000000000007E-2</v>
      </c>
      <c r="F9" s="135">
        <f>D9+E9</f>
        <v>9.9622154179066807E-2</v>
      </c>
      <c r="G9" s="137">
        <f>1+'Sched 2 Flot Cost'!$F$42</f>
        <v>1.04</v>
      </c>
      <c r="H9" s="135">
        <f>F9*G9</f>
        <v>0.10360704034622949</v>
      </c>
    </row>
    <row r="10" spans="1:8" x14ac:dyDescent="0.25">
      <c r="A10" s="23" t="s">
        <v>1154</v>
      </c>
      <c r="B10" s="66" t="s">
        <v>1120</v>
      </c>
      <c r="C10" s="135">
        <f>'Sched 4 Div Yld'!H12</f>
        <v>3.4488774035952199E-2</v>
      </c>
      <c r="D10" s="135">
        <f>(1+(0.625*E10))*C10</f>
        <v>3.5482481837863067E-2</v>
      </c>
      <c r="E10" s="135">
        <f>'Sched 4 Earnings Growth'!E10</f>
        <v>4.6100000000000002E-2</v>
      </c>
      <c r="F10" s="135">
        <f>D10+E10</f>
        <v>8.1582481837863069E-2</v>
      </c>
      <c r="G10" s="137">
        <f>1+'Sched 2 Flot Cost'!$F$42</f>
        <v>1.04</v>
      </c>
      <c r="H10" s="135">
        <f>F10*G10</f>
        <v>8.4845781111377597E-2</v>
      </c>
    </row>
    <row r="11" spans="1:8" x14ac:dyDescent="0.25">
      <c r="A11" s="23" t="s">
        <v>189</v>
      </c>
      <c r="B11" s="66" t="s">
        <v>21</v>
      </c>
      <c r="C11" s="135">
        <f>'Sched 4 Div Yld'!H13</f>
        <v>3.1508438877692023E-2</v>
      </c>
      <c r="D11" s="135">
        <f>(1+(0.625*E11))*C11</f>
        <v>3.2690005335605475E-2</v>
      </c>
      <c r="E11" s="135">
        <f>'Sched 4 Earnings Growth'!E11</f>
        <v>0.06</v>
      </c>
      <c r="F11" s="135">
        <f>D11+E11</f>
        <v>9.269000533560548E-2</v>
      </c>
      <c r="G11" s="137">
        <f>1+'Sched 2 Flot Cost'!$F$42</f>
        <v>1.04</v>
      </c>
      <c r="H11" s="135">
        <f>F11*G11</f>
        <v>9.6397605549029708E-2</v>
      </c>
    </row>
    <row r="12" spans="1:8" x14ac:dyDescent="0.25">
      <c r="A12" s="23" t="s">
        <v>109</v>
      </c>
      <c r="B12" s="66" t="s">
        <v>10</v>
      </c>
      <c r="C12" s="135">
        <f>'Sched 4 Div Yld'!H14</f>
        <v>4.1790126527913786E-2</v>
      </c>
      <c r="D12" s="135">
        <f t="shared" ref="D12:D15" si="0">(1+(0.625*E12))*C12</f>
        <v>4.2834879691111626E-2</v>
      </c>
      <c r="E12" s="135">
        <f>'Sched 4 Earnings Growth'!E12</f>
        <v>0.04</v>
      </c>
      <c r="F12" s="135">
        <f t="shared" ref="F12:F15" si="1">D12+E12</f>
        <v>8.2834879691111626E-2</v>
      </c>
      <c r="G12" s="137">
        <f>1+'Sched 2 Flot Cost'!$F$42</f>
        <v>1.04</v>
      </c>
      <c r="H12" s="135">
        <f t="shared" ref="H12:H15" si="2">F12*G12</f>
        <v>8.6148274878756093E-2</v>
      </c>
    </row>
    <row r="13" spans="1:8" x14ac:dyDescent="0.25">
      <c r="A13" s="23" t="s">
        <v>150</v>
      </c>
      <c r="B13" s="66" t="s">
        <v>151</v>
      </c>
      <c r="C13" s="135">
        <f>'Sched 4 Div Yld'!H15</f>
        <v>3.9858395293962644E-2</v>
      </c>
      <c r="D13" s="135">
        <f t="shared" si="0"/>
        <v>4.1353085117486248E-2</v>
      </c>
      <c r="E13" s="135">
        <f>'Sched 4 Earnings Growth'!E13</f>
        <v>0.06</v>
      </c>
      <c r="F13" s="135">
        <f t="shared" si="1"/>
        <v>0.10135308511748625</v>
      </c>
      <c r="G13" s="137">
        <f>1+'Sched 2 Flot Cost'!$F$42</f>
        <v>1.04</v>
      </c>
      <c r="H13" s="135">
        <f t="shared" si="2"/>
        <v>0.1054072085221857</v>
      </c>
    </row>
    <row r="14" spans="1:8" x14ac:dyDescent="0.25">
      <c r="A14" s="23" t="s">
        <v>190</v>
      </c>
      <c r="B14" s="66" t="s">
        <v>24</v>
      </c>
      <c r="C14" s="135">
        <f>'Sched 4 Div Yld'!H16</f>
        <v>2.9264264090663881E-2</v>
      </c>
      <c r="D14" s="135">
        <f>(1+(0.625*E14))*C14</f>
        <v>3.0087321518213802E-2</v>
      </c>
      <c r="E14" s="135">
        <f>'Sched 4 Earnings Growth'!E14</f>
        <v>4.4999999999999998E-2</v>
      </c>
      <c r="F14" s="135">
        <f t="shared" ref="F14" si="3">D14+E14</f>
        <v>7.5087321518213804E-2</v>
      </c>
      <c r="G14" s="137">
        <f>1+'Sched 2 Flot Cost'!$F$42</f>
        <v>1.04</v>
      </c>
      <c r="H14" s="135">
        <f t="shared" ref="H14" si="4">F14*G14</f>
        <v>7.8090814378942358E-2</v>
      </c>
    </row>
    <row r="15" spans="1:8" x14ac:dyDescent="0.25">
      <c r="A15" s="23" t="s">
        <v>114</v>
      </c>
      <c r="B15" s="66" t="s">
        <v>148</v>
      </c>
      <c r="C15" s="135">
        <f>'Sched 4 Div Yld'!H17</f>
        <v>3.2918385515915645E-2</v>
      </c>
      <c r="D15" s="135">
        <f t="shared" si="0"/>
        <v>3.4255694927499712E-2</v>
      </c>
      <c r="E15" s="135">
        <f>'Sched 4 Earnings Growth'!E15</f>
        <v>6.5000000000000002E-2</v>
      </c>
      <c r="F15" s="135">
        <f t="shared" si="1"/>
        <v>9.9255694927499721E-2</v>
      </c>
      <c r="G15" s="137">
        <f>1+'Sched 2 Flot Cost'!$F$42</f>
        <v>1.04</v>
      </c>
      <c r="H15" s="135">
        <f t="shared" si="2"/>
        <v>0.10322592272459971</v>
      </c>
    </row>
    <row r="16" spans="1:8" x14ac:dyDescent="0.25">
      <c r="A16" s="2"/>
      <c r="H16" s="4"/>
    </row>
    <row r="17" spans="1:8" ht="18.75" customHeight="1" x14ac:dyDescent="0.25">
      <c r="A17" s="6" t="s">
        <v>0</v>
      </c>
      <c r="F17" s="136">
        <f>MAX(F9:F15)</f>
        <v>0.10135308511748625</v>
      </c>
      <c r="H17" s="136">
        <f>MAX(H9:H15)</f>
        <v>0.1054072085221857</v>
      </c>
    </row>
    <row r="18" spans="1:8" ht="18.75" x14ac:dyDescent="0.25">
      <c r="A18" s="6" t="s">
        <v>1274</v>
      </c>
      <c r="F18" s="136">
        <f>QUARTILE(F9:F15,3)</f>
        <v>9.9438924553283264E-2</v>
      </c>
      <c r="H18" s="136">
        <f>QUARTILE(H9:H15,3)</f>
        <v>0.10341648153541461</v>
      </c>
    </row>
    <row r="19" spans="1:8" ht="18.75" x14ac:dyDescent="0.25">
      <c r="A19" s="2" t="s">
        <v>1275</v>
      </c>
      <c r="F19" s="4">
        <f>MEDIAN(F9:F15)</f>
        <v>9.269000533560548E-2</v>
      </c>
      <c r="H19" s="4">
        <f>MEDIAN(H9:H15)</f>
        <v>9.6397605549029708E-2</v>
      </c>
    </row>
    <row r="20" spans="1:8" ht="18.75" x14ac:dyDescent="0.25">
      <c r="A20" s="6" t="s">
        <v>1276</v>
      </c>
      <c r="F20" s="136">
        <f>QUARTILE(F9:F15,1)</f>
        <v>8.2208680764487341E-2</v>
      </c>
      <c r="H20" s="136">
        <f>QUARTILE(H9:H15,1)</f>
        <v>8.5497027995066838E-2</v>
      </c>
    </row>
    <row r="21" spans="1:8" ht="18.75" customHeight="1" x14ac:dyDescent="0.25">
      <c r="A21" s="6" t="s">
        <v>2</v>
      </c>
      <c r="F21" s="136">
        <f>MIN(F9:F15)</f>
        <v>7.5087321518213804E-2</v>
      </c>
      <c r="H21" s="136">
        <f>MIN(H9:H15)</f>
        <v>7.8090814378942358E-2</v>
      </c>
    </row>
  </sheetData>
  <phoneticPr fontId="0" type="noConversion"/>
  <printOptions horizontalCentered="1"/>
  <pageMargins left="0.7" right="0.7" top="1.25" bottom="0.75" header="0.3" footer="0.3"/>
  <pageSetup scale="76" firstPageNumber="6" orientation="portrait" useFirstPageNumber="1" copies="3" r:id="rId1"/>
  <headerFooter alignWithMargins="0">
    <oddHeader>&amp;R&amp;K01+000Docket No. UG-15____
Cascade Natural Gas Corp.&amp;K000000
Exhibit No.___(JSG-2)
Schedule 4
Page 7 of 8</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H21"/>
  <sheetViews>
    <sheetView zoomScale="85" zoomScaleNormal="85" workbookViewId="0">
      <selection activeCell="G4" sqref="G4"/>
    </sheetView>
  </sheetViews>
  <sheetFormatPr defaultColWidth="9" defaultRowHeight="15.75" x14ac:dyDescent="0.25"/>
  <cols>
    <col min="1" max="1" width="30" style="6" customWidth="1"/>
    <col min="2" max="2" width="9" style="6" customWidth="1"/>
    <col min="3" max="3" width="10.625" style="6" bestFit="1" customWidth="1"/>
    <col min="4" max="4" width="12.125" style="6" customWidth="1"/>
    <col min="5" max="5" width="10.625" style="6" bestFit="1" customWidth="1"/>
    <col min="6" max="6" width="12" style="6" customWidth="1"/>
    <col min="7" max="7" width="12.625" style="6" customWidth="1"/>
    <col min="8" max="8" width="10.625" style="6" bestFit="1" customWidth="1"/>
    <col min="9" max="16384" width="9" style="6"/>
  </cols>
  <sheetData>
    <row r="1" spans="1:8" ht="20.25" x14ac:dyDescent="0.3">
      <c r="A1" s="24" t="s">
        <v>1288</v>
      </c>
      <c r="B1" s="98"/>
      <c r="C1" s="98"/>
      <c r="D1" s="98"/>
      <c r="E1" s="98"/>
      <c r="F1" s="98"/>
      <c r="G1" s="98"/>
      <c r="H1" s="98"/>
    </row>
    <row r="3" spans="1:8" ht="18.75" x14ac:dyDescent="0.3">
      <c r="A3" s="25" t="s">
        <v>33</v>
      </c>
      <c r="B3" s="98"/>
      <c r="C3" s="98"/>
      <c r="D3" s="98"/>
      <c r="E3" s="98"/>
      <c r="F3" s="98"/>
      <c r="G3" s="98"/>
      <c r="H3" s="98"/>
    </row>
    <row r="4" spans="1:8" ht="18.75" x14ac:dyDescent="0.3">
      <c r="A4" s="25" t="s">
        <v>124</v>
      </c>
      <c r="B4" s="98"/>
      <c r="C4" s="98"/>
      <c r="D4" s="98"/>
      <c r="E4" s="98"/>
      <c r="F4" s="98"/>
      <c r="G4" s="98"/>
      <c r="H4" s="98"/>
    </row>
    <row r="6" spans="1:8" ht="32.25" thickBot="1" x14ac:dyDescent="0.3">
      <c r="F6" s="133" t="s">
        <v>51</v>
      </c>
      <c r="H6" s="133" t="s">
        <v>52</v>
      </c>
    </row>
    <row r="7" spans="1:8" ht="47.25" x14ac:dyDescent="0.25">
      <c r="A7" s="100" t="s">
        <v>145</v>
      </c>
      <c r="B7" s="100" t="s">
        <v>146</v>
      </c>
      <c r="C7" s="101" t="s">
        <v>48</v>
      </c>
      <c r="D7" s="101" t="s">
        <v>53</v>
      </c>
      <c r="E7" s="101" t="s">
        <v>49</v>
      </c>
      <c r="F7" s="134" t="s">
        <v>50</v>
      </c>
      <c r="G7" s="101" t="s">
        <v>17</v>
      </c>
      <c r="H7" s="134" t="s">
        <v>16</v>
      </c>
    </row>
    <row r="9" spans="1:8" x14ac:dyDescent="0.25">
      <c r="A9" s="23" t="s">
        <v>116</v>
      </c>
      <c r="B9" s="66" t="s">
        <v>149</v>
      </c>
      <c r="C9" s="135">
        <f>'Sched 4 Div Yld'!H11</f>
        <v>2.8380506997908308E-2</v>
      </c>
      <c r="D9" s="135">
        <f t="shared" ref="D9:D15" si="0">(1+(0.625*E9))*C9</f>
        <v>2.9466948281421986E-2</v>
      </c>
      <c r="E9" s="135">
        <f>'Sched 4 Blended Growth'!E9</f>
        <v>6.1249999999999999E-2</v>
      </c>
      <c r="F9" s="135">
        <f t="shared" ref="F9:F15" si="1">D9+E9</f>
        <v>9.0716948281421989E-2</v>
      </c>
      <c r="G9" s="137">
        <f>1+'Sched 2 Flot Cost'!$F$42</f>
        <v>1.04</v>
      </c>
      <c r="H9" s="135">
        <f t="shared" ref="H9:H15" si="2">F9*G9</f>
        <v>9.4345626212678876E-2</v>
      </c>
    </row>
    <row r="10" spans="1:8" x14ac:dyDescent="0.25">
      <c r="A10" s="23" t="s">
        <v>1154</v>
      </c>
      <c r="B10" s="66" t="s">
        <v>1120</v>
      </c>
      <c r="C10" s="135">
        <f>'Sched 4 Div Yld'!H12</f>
        <v>3.4488774035952199E-2</v>
      </c>
      <c r="D10" s="135">
        <f>(1+(0.625*E10))*C10</f>
        <v>3.5421869870398102E-2</v>
      </c>
      <c r="E10" s="135">
        <f>'Sched 4 Blended Growth'!E10</f>
        <v>4.3288095238095237E-2</v>
      </c>
      <c r="F10" s="135">
        <f>D10+E10</f>
        <v>7.8709965108493346E-2</v>
      </c>
      <c r="G10" s="137">
        <f>1+'Sched 2 Flot Cost'!$F$42</f>
        <v>1.04</v>
      </c>
      <c r="H10" s="135">
        <f>F10*G10</f>
        <v>8.1858363712833088E-2</v>
      </c>
    </row>
    <row r="11" spans="1:8" x14ac:dyDescent="0.25">
      <c r="A11" s="23" t="s">
        <v>189</v>
      </c>
      <c r="B11" s="66" t="s">
        <v>21</v>
      </c>
      <c r="C11" s="135">
        <f>'Sched 4 Div Yld'!H13</f>
        <v>3.1508438877692023E-2</v>
      </c>
      <c r="D11" s="135">
        <f>(1+(0.625*E11))*C11</f>
        <v>3.2726929287415267E-2</v>
      </c>
      <c r="E11" s="135">
        <f>'Sched 4 Blended Growth'!E11</f>
        <v>6.1874999999999999E-2</v>
      </c>
      <c r="F11" s="135">
        <f>D11+E11</f>
        <v>9.460192928741526E-2</v>
      </c>
      <c r="G11" s="137">
        <f>1+'Sched 2 Flot Cost'!$F$42</f>
        <v>1.04</v>
      </c>
      <c r="H11" s="135">
        <f>F11*G11</f>
        <v>9.8386006458911879E-2</v>
      </c>
    </row>
    <row r="12" spans="1:8" x14ac:dyDescent="0.25">
      <c r="A12" s="23" t="s">
        <v>109</v>
      </c>
      <c r="B12" s="66" t="s">
        <v>10</v>
      </c>
      <c r="C12" s="135">
        <f>'Sched 4 Div Yld'!H14</f>
        <v>4.1790126527913786E-2</v>
      </c>
      <c r="D12" s="135">
        <f t="shared" si="0"/>
        <v>4.2787390910966276E-2</v>
      </c>
      <c r="E12" s="135">
        <f>'Sched 4 Blended Growth'!E12</f>
        <v>3.8181818181818178E-2</v>
      </c>
      <c r="F12" s="135">
        <f t="shared" si="1"/>
        <v>8.0969209092784461E-2</v>
      </c>
      <c r="G12" s="137">
        <f>1+'Sched 2 Flot Cost'!$F$42</f>
        <v>1.04</v>
      </c>
      <c r="H12" s="135">
        <f t="shared" si="2"/>
        <v>8.4207977456495844E-2</v>
      </c>
    </row>
    <row r="13" spans="1:8" x14ac:dyDescent="0.25">
      <c r="A13" s="23" t="s">
        <v>150</v>
      </c>
      <c r="B13" s="66" t="s">
        <v>151</v>
      </c>
      <c r="C13" s="135">
        <f>'Sched 4 Div Yld'!H15</f>
        <v>3.9858395293962644E-2</v>
      </c>
      <c r="D13" s="135">
        <f t="shared" si="0"/>
        <v>4.1294781613731776E-2</v>
      </c>
      <c r="E13" s="135">
        <f>'Sched 4 Blended Growth'!E13</f>
        <v>5.7659574468085104E-2</v>
      </c>
      <c r="F13" s="135">
        <f t="shared" si="1"/>
        <v>9.895435608181688E-2</v>
      </c>
      <c r="G13" s="137">
        <f>1+'Sched 2 Flot Cost'!$F$42</f>
        <v>1.04</v>
      </c>
      <c r="H13" s="135">
        <f t="shared" si="2"/>
        <v>0.10291253032508955</v>
      </c>
    </row>
    <row r="14" spans="1:8" x14ac:dyDescent="0.25">
      <c r="A14" s="23" t="s">
        <v>190</v>
      </c>
      <c r="B14" s="66" t="s">
        <v>24</v>
      </c>
      <c r="C14" s="135">
        <f>'Sched 4 Div Yld'!H16</f>
        <v>2.9264264090663881E-2</v>
      </c>
      <c r="D14" s="135">
        <f>(1+(0.625*E14))*C14</f>
        <v>3.0236691199509898E-2</v>
      </c>
      <c r="E14" s="135">
        <f>'Sched 4 Blended Growth'!E14</f>
        <v>5.3166666666666668E-2</v>
      </c>
      <c r="F14" s="135">
        <f t="shared" ref="F14" si="3">D14+E14</f>
        <v>8.3403357866176558E-2</v>
      </c>
      <c r="G14" s="137">
        <f>1+'Sched 2 Flot Cost'!$F$42</f>
        <v>1.04</v>
      </c>
      <c r="H14" s="135">
        <f t="shared" ref="H14" si="4">F14*G14</f>
        <v>8.6739492180823621E-2</v>
      </c>
    </row>
    <row r="15" spans="1:8" x14ac:dyDescent="0.25">
      <c r="A15" s="23" t="s">
        <v>114</v>
      </c>
      <c r="B15" s="66" t="s">
        <v>148</v>
      </c>
      <c r="C15" s="135">
        <f>'Sched 4 Div Yld'!H17</f>
        <v>3.2918385515915645E-2</v>
      </c>
      <c r="D15" s="135">
        <f t="shared" si="0"/>
        <v>3.4129498123871366E-2</v>
      </c>
      <c r="E15" s="135">
        <f>'Sched 4 Blended Growth'!E15</f>
        <v>5.8866197183098587E-2</v>
      </c>
      <c r="F15" s="135">
        <f t="shared" si="1"/>
        <v>9.2995695306969953E-2</v>
      </c>
      <c r="G15" s="137">
        <f>1+'Sched 2 Flot Cost'!$F$42</f>
        <v>1.04</v>
      </c>
      <c r="H15" s="135">
        <f t="shared" si="2"/>
        <v>9.6715523119248747E-2</v>
      </c>
    </row>
    <row r="16" spans="1:8" x14ac:dyDescent="0.25">
      <c r="A16" s="2"/>
      <c r="H16" s="4"/>
    </row>
    <row r="17" spans="1:8" ht="18.75" customHeight="1" x14ac:dyDescent="0.25">
      <c r="A17" s="6" t="s">
        <v>0</v>
      </c>
      <c r="F17" s="136">
        <f>MAX(F9:F15)</f>
        <v>9.895435608181688E-2</v>
      </c>
      <c r="H17" s="136">
        <f>MAX(H9:H15)</f>
        <v>0.10291253032508955</v>
      </c>
    </row>
    <row r="18" spans="1:8" ht="18.75" x14ac:dyDescent="0.25">
      <c r="A18" s="6" t="s">
        <v>1274</v>
      </c>
      <c r="F18" s="136">
        <f>QUARTILE(F9:F15,3)</f>
        <v>9.3798812297192613E-2</v>
      </c>
      <c r="H18" s="136">
        <f>QUARTILE(H9:H15,3)</f>
        <v>9.7550764789080313E-2</v>
      </c>
    </row>
    <row r="19" spans="1:8" ht="18.75" x14ac:dyDescent="0.25">
      <c r="A19" s="2" t="s">
        <v>1275</v>
      </c>
      <c r="F19" s="4">
        <f>MEDIAN(F9:F15)</f>
        <v>9.0716948281421989E-2</v>
      </c>
      <c r="H19" s="4">
        <f>MEDIAN(H9:H15)</f>
        <v>9.4345626212678876E-2</v>
      </c>
    </row>
    <row r="20" spans="1:8" ht="18.75" x14ac:dyDescent="0.25">
      <c r="A20" s="6" t="s">
        <v>1276</v>
      </c>
      <c r="F20" s="136">
        <f>QUARTILE(F9:F15,1)</f>
        <v>8.218628347948051E-2</v>
      </c>
      <c r="H20" s="136">
        <f>QUARTILE(H9:H15,1)</f>
        <v>8.5473734818659733E-2</v>
      </c>
    </row>
    <row r="21" spans="1:8" ht="18.75" customHeight="1" x14ac:dyDescent="0.25">
      <c r="A21" s="6" t="s">
        <v>2</v>
      </c>
      <c r="F21" s="136">
        <f>MIN(F9:F15)</f>
        <v>7.8709965108493346E-2</v>
      </c>
      <c r="H21" s="136">
        <f>MIN(H9:H15)</f>
        <v>8.1858363712833088E-2</v>
      </c>
    </row>
  </sheetData>
  <phoneticPr fontId="0" type="noConversion"/>
  <printOptions horizontalCentered="1"/>
  <pageMargins left="0.7" right="0.7" top="1.25" bottom="0.75" header="0.3" footer="0.3"/>
  <pageSetup scale="79" firstPageNumber="7" orientation="portrait" useFirstPageNumber="1" copies="3" r:id="rId1"/>
  <headerFooter alignWithMargins="0">
    <oddHeader>&amp;R&amp;K01+000Docket No. UG-15____
Cascade Natural Gas Corp.&amp;K000000
Exhibit No.___(JSG-2)
Schedule 4
Page 8 of 8</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J535"/>
  <sheetViews>
    <sheetView zoomScale="70" zoomScaleNormal="70" zoomScalePageLayoutView="80" workbookViewId="0">
      <selection activeCell="J6" sqref="J6"/>
    </sheetView>
  </sheetViews>
  <sheetFormatPr defaultColWidth="9" defaultRowHeight="15.75" x14ac:dyDescent="0.25"/>
  <cols>
    <col min="1" max="1" width="48.375" style="6" customWidth="1"/>
    <col min="2" max="2" width="9" style="6"/>
    <col min="3" max="3" width="10.625" style="6" customWidth="1"/>
    <col min="4" max="4" width="11.25" style="6" customWidth="1"/>
    <col min="5" max="5" width="12.625" style="6" customWidth="1"/>
    <col min="6" max="6" width="12.75" style="6" customWidth="1"/>
    <col min="7" max="8" width="12.25" style="6" customWidth="1"/>
    <col min="9" max="10" width="12.75" style="6" customWidth="1"/>
    <col min="11" max="11" width="4" style="6" customWidth="1"/>
    <col min="12" max="13" width="9" style="6"/>
    <col min="14" max="18" width="0" style="6" hidden="1" customWidth="1"/>
    <col min="19" max="20" width="9" style="6"/>
    <col min="21" max="22" width="9.625" style="6" bestFit="1" customWidth="1"/>
    <col min="23" max="16384" width="9" style="6"/>
  </cols>
  <sheetData>
    <row r="1" spans="1:10" ht="20.25" x14ac:dyDescent="0.3">
      <c r="A1" s="24" t="s">
        <v>1288</v>
      </c>
      <c r="B1" s="98"/>
      <c r="C1" s="98"/>
      <c r="D1" s="98"/>
      <c r="E1" s="98"/>
      <c r="F1" s="98"/>
      <c r="G1" s="98"/>
      <c r="H1" s="98"/>
      <c r="I1" s="98"/>
      <c r="J1" s="98"/>
    </row>
    <row r="2" spans="1:10" x14ac:dyDescent="0.25">
      <c r="J2" s="98"/>
    </row>
    <row r="3" spans="1:10" ht="18.75" x14ac:dyDescent="0.3">
      <c r="A3" s="138" t="s">
        <v>1266</v>
      </c>
      <c r="B3" s="98"/>
      <c r="C3" s="98"/>
      <c r="D3" s="98"/>
      <c r="E3" s="98"/>
      <c r="F3" s="98"/>
      <c r="G3" s="98"/>
      <c r="H3" s="98"/>
      <c r="I3" s="98"/>
      <c r="J3" s="98"/>
    </row>
    <row r="5" spans="1:10" ht="16.5" thickBot="1" x14ac:dyDescent="0.3">
      <c r="C5" s="7" t="s">
        <v>80</v>
      </c>
      <c r="D5" s="7" t="s">
        <v>81</v>
      </c>
      <c r="E5" s="7" t="s">
        <v>82</v>
      </c>
      <c r="F5" s="7" t="s">
        <v>83</v>
      </c>
    </row>
    <row r="6" spans="1:10" ht="78.75" x14ac:dyDescent="0.25">
      <c r="A6" s="139"/>
      <c r="B6" s="139"/>
      <c r="C6" s="101" t="s">
        <v>174</v>
      </c>
      <c r="D6" s="101" t="s">
        <v>173</v>
      </c>
      <c r="E6" s="101" t="s">
        <v>49</v>
      </c>
      <c r="F6" s="101" t="s">
        <v>172</v>
      </c>
    </row>
    <row r="8" spans="1:10" x14ac:dyDescent="0.25">
      <c r="A8" s="140" t="s">
        <v>171</v>
      </c>
      <c r="C8" s="141">
        <f>SUM(I14:I518)</f>
        <v>2.4407564591049275E-2</v>
      </c>
      <c r="D8" s="141">
        <f>(1+(0.625*E8))*C8</f>
        <v>2.5954282939937665E-2</v>
      </c>
      <c r="E8" s="141">
        <f>SUM(J14:J518)</f>
        <v>0.10139271982625256</v>
      </c>
      <c r="F8" s="141">
        <f>D8+E8</f>
        <v>0.12734700276619021</v>
      </c>
    </row>
    <row r="9" spans="1:10" x14ac:dyDescent="0.25">
      <c r="C9" s="114"/>
      <c r="D9" s="114"/>
      <c r="E9" s="114"/>
      <c r="F9" s="114"/>
    </row>
    <row r="11" spans="1:10" ht="16.5" thickBot="1" x14ac:dyDescent="0.3">
      <c r="C11" s="66" t="s">
        <v>84</v>
      </c>
      <c r="D11" s="66" t="s">
        <v>85</v>
      </c>
      <c r="E11" s="66" t="s">
        <v>170</v>
      </c>
      <c r="F11" s="66" t="s">
        <v>169</v>
      </c>
      <c r="G11" s="66" t="s">
        <v>168</v>
      </c>
      <c r="H11" s="66" t="s">
        <v>167</v>
      </c>
      <c r="I11" s="7" t="s">
        <v>166</v>
      </c>
      <c r="J11" s="7" t="s">
        <v>165</v>
      </c>
    </row>
    <row r="12" spans="1:10" ht="94.5" x14ac:dyDescent="0.25">
      <c r="A12" s="100" t="s">
        <v>145</v>
      </c>
      <c r="B12" s="100" t="s">
        <v>146</v>
      </c>
      <c r="C12" s="89" t="s">
        <v>164</v>
      </c>
      <c r="D12" s="88" t="s">
        <v>75</v>
      </c>
      <c r="E12" s="101" t="s">
        <v>163</v>
      </c>
      <c r="F12" s="101" t="s">
        <v>162</v>
      </c>
      <c r="G12" s="89" t="s">
        <v>161</v>
      </c>
      <c r="H12" s="89" t="s">
        <v>1153</v>
      </c>
      <c r="I12" s="101" t="s">
        <v>160</v>
      </c>
      <c r="J12" s="101" t="s">
        <v>1160</v>
      </c>
    </row>
    <row r="13" spans="1:10" x14ac:dyDescent="0.25">
      <c r="G13" s="73"/>
    </row>
    <row r="14" spans="1:10" x14ac:dyDescent="0.25">
      <c r="A14" s="6" t="s">
        <v>206</v>
      </c>
      <c r="B14" s="7" t="s">
        <v>37</v>
      </c>
      <c r="C14" s="142">
        <v>1310.1289999999999</v>
      </c>
      <c r="D14" s="143">
        <v>8.94</v>
      </c>
      <c r="E14" s="144">
        <f>C14*D14</f>
        <v>11712.553259999999</v>
      </c>
      <c r="F14" s="145">
        <f>IF(OR(G14="n/a",H14="n/a",H14&lt;0%),0%,E14/SUMIFS(E$14:E$518,G$14:G$518,"&lt;&gt;n/a",$H$14:$H$518,"&lt;&gt;n/a",$H$14:$H$518,"&gt;=0"))</f>
        <v>7.5757232760711925E-4</v>
      </c>
      <c r="G14" s="146">
        <v>1.3423000000000001E-2</v>
      </c>
      <c r="H14" s="146">
        <v>0.12300000000000001</v>
      </c>
      <c r="I14" s="147">
        <f t="shared" ref="I14:I77" si="0">IF(G14="n/a","n/a",$F14*G14)</f>
        <v>1.0168893353470362E-5</v>
      </c>
      <c r="J14" s="147">
        <f t="shared" ref="J14:J77" si="1">IF(H14="n/a","n/a",$F14*H14)</f>
        <v>9.3181396295675679E-5</v>
      </c>
    </row>
    <row r="15" spans="1:10" x14ac:dyDescent="0.25">
      <c r="A15" s="6" t="s">
        <v>447</v>
      </c>
      <c r="B15" s="7" t="s">
        <v>836</v>
      </c>
      <c r="C15" s="142">
        <v>449.44400000000002</v>
      </c>
      <c r="D15" s="143">
        <v>93.03</v>
      </c>
      <c r="E15" s="144">
        <f t="shared" ref="E15:E77" si="2">C15*D15</f>
        <v>41811.775320000001</v>
      </c>
      <c r="F15" s="145">
        <f t="shared" ref="F15:F78" si="3">IF(OR(G15="n/a",H15="n/a",H15&lt;0%),0%,E15/SUMIFS(E$14:E$518,G$14:G$518,"&lt;&gt;n/a",$H$14:$H$518,"&lt;&gt;n/a",$H$14:$H$518,"&gt;=0"))</f>
        <v>2.7044012733529552E-3</v>
      </c>
      <c r="G15" s="146">
        <v>3.3537999999999998E-2</v>
      </c>
      <c r="H15" s="146">
        <v>5.8600000000000006E-2</v>
      </c>
      <c r="I15" s="147">
        <f t="shared" si="0"/>
        <v>9.0700209905711406E-5</v>
      </c>
      <c r="J15" s="147">
        <f t="shared" si="1"/>
        <v>1.5847791461848318E-4</v>
      </c>
    </row>
    <row r="16" spans="1:10" x14ac:dyDescent="0.25">
      <c r="A16" s="6" t="s">
        <v>216</v>
      </c>
      <c r="B16" s="7" t="s">
        <v>655</v>
      </c>
      <c r="C16" s="142">
        <v>984.24599999999998</v>
      </c>
      <c r="D16" s="143">
        <v>73.319999999999993</v>
      </c>
      <c r="E16" s="144">
        <f t="shared" si="2"/>
        <v>72164.916719999994</v>
      </c>
      <c r="F16" s="145">
        <f t="shared" si="3"/>
        <v>4.6676538170247195E-3</v>
      </c>
      <c r="G16" s="146">
        <v>1.5821000000000002E-2</v>
      </c>
      <c r="H16" s="146">
        <v>9.4200000000000006E-2</v>
      </c>
      <c r="I16" s="147">
        <f t="shared" si="0"/>
        <v>7.3846951039148093E-5</v>
      </c>
      <c r="J16" s="147">
        <f t="shared" si="1"/>
        <v>4.3969298956372858E-4</v>
      </c>
    </row>
    <row r="17" spans="1:10" x14ac:dyDescent="0.25">
      <c r="A17" s="6" t="s">
        <v>609</v>
      </c>
      <c r="B17" s="7" t="s">
        <v>969</v>
      </c>
      <c r="C17" s="142">
        <v>4068.873</v>
      </c>
      <c r="D17" s="143">
        <v>46.95</v>
      </c>
      <c r="E17" s="144">
        <f t="shared" si="2"/>
        <v>191033.58735000002</v>
      </c>
      <c r="F17" s="145">
        <f t="shared" si="3"/>
        <v>1.2356123913145601E-2</v>
      </c>
      <c r="G17" s="146">
        <v>4.8135999999999998E-2</v>
      </c>
      <c r="H17" s="146">
        <v>7.3510000000000006E-2</v>
      </c>
      <c r="I17" s="147">
        <f t="shared" si="0"/>
        <v>5.9477438068317667E-4</v>
      </c>
      <c r="J17" s="147">
        <f t="shared" si="1"/>
        <v>9.0829866885533319E-4</v>
      </c>
    </row>
    <row r="18" spans="1:10" x14ac:dyDescent="0.25">
      <c r="A18" s="6" t="s">
        <v>238</v>
      </c>
      <c r="B18" s="7" t="s">
        <v>1003</v>
      </c>
      <c r="C18" s="142">
        <v>275.99900000000002</v>
      </c>
      <c r="D18" s="143">
        <v>123.41</v>
      </c>
      <c r="E18" s="144">
        <f t="shared" si="2"/>
        <v>34061.036590000003</v>
      </c>
      <c r="F18" s="145">
        <f t="shared" si="3"/>
        <v>2.203080592027768E-3</v>
      </c>
      <c r="G18" s="146">
        <v>1.3613E-2</v>
      </c>
      <c r="H18" s="146">
        <v>0.20777999999999999</v>
      </c>
      <c r="I18" s="147">
        <f t="shared" si="0"/>
        <v>2.9990536099274005E-5</v>
      </c>
      <c r="J18" s="147">
        <f t="shared" si="1"/>
        <v>4.577560854115296E-4</v>
      </c>
    </row>
    <row r="19" spans="1:10" x14ac:dyDescent="0.25">
      <c r="A19" s="6" t="s">
        <v>252</v>
      </c>
      <c r="B19" s="7" t="s">
        <v>683</v>
      </c>
      <c r="C19" s="142">
        <v>669.98400000000004</v>
      </c>
      <c r="D19" s="143">
        <v>148.22</v>
      </c>
      <c r="E19" s="144">
        <f t="shared" si="2"/>
        <v>99305.028480000008</v>
      </c>
      <c r="F19" s="145">
        <f t="shared" si="3"/>
        <v>6.4230864012894901E-3</v>
      </c>
      <c r="G19" s="146">
        <v>2.4558E-2</v>
      </c>
      <c r="H19" s="146">
        <v>0.1128</v>
      </c>
      <c r="I19" s="147">
        <f t="shared" si="0"/>
        <v>1.577381558428673E-4</v>
      </c>
      <c r="J19" s="147">
        <f t="shared" si="1"/>
        <v>7.2452414606545448E-4</v>
      </c>
    </row>
    <row r="20" spans="1:10" x14ac:dyDescent="0.25">
      <c r="A20" s="6" t="s">
        <v>268</v>
      </c>
      <c r="B20" s="7" t="s">
        <v>697</v>
      </c>
      <c r="C20" s="142">
        <v>582.23400000000004</v>
      </c>
      <c r="D20" s="143">
        <v>73.02</v>
      </c>
      <c r="E20" s="144">
        <f t="shared" si="2"/>
        <v>42514.72668</v>
      </c>
      <c r="F20" s="145">
        <f t="shared" si="3"/>
        <v>2.7498684303569262E-3</v>
      </c>
      <c r="G20" s="146">
        <v>4.2180000000000002E-2</v>
      </c>
      <c r="H20" s="146">
        <v>0.09</v>
      </c>
      <c r="I20" s="147">
        <f t="shared" si="0"/>
        <v>1.1598945039245516E-4</v>
      </c>
      <c r="J20" s="147">
        <f t="shared" si="1"/>
        <v>2.4748815873212334E-4</v>
      </c>
    </row>
    <row r="21" spans="1:10" x14ac:dyDescent="0.25">
      <c r="A21" s="6" t="s">
        <v>422</v>
      </c>
      <c r="B21" s="7" t="s">
        <v>815</v>
      </c>
      <c r="C21" s="142">
        <v>3698.067</v>
      </c>
      <c r="D21" s="143">
        <v>64.34</v>
      </c>
      <c r="E21" s="144">
        <f t="shared" si="2"/>
        <v>237933.63078000001</v>
      </c>
      <c r="F21" s="145">
        <f t="shared" si="3"/>
        <v>1.5389636271845438E-2</v>
      </c>
      <c r="G21" s="146">
        <v>2.7355000000000001E-2</v>
      </c>
      <c r="H21" s="146">
        <v>7.9979999999999996E-2</v>
      </c>
      <c r="I21" s="147">
        <f t="shared" si="0"/>
        <v>4.20983500216332E-4</v>
      </c>
      <c r="J21" s="147">
        <f t="shared" si="1"/>
        <v>1.2308631090221982E-3</v>
      </c>
    </row>
    <row r="22" spans="1:10" x14ac:dyDescent="0.25">
      <c r="A22" s="6" t="s">
        <v>279</v>
      </c>
      <c r="B22" s="7" t="s">
        <v>705</v>
      </c>
      <c r="C22" s="142">
        <v>1881.7349999999999</v>
      </c>
      <c r="D22" s="143">
        <v>91.05</v>
      </c>
      <c r="E22" s="144">
        <f t="shared" si="2"/>
        <v>171331.97175</v>
      </c>
      <c r="F22" s="145">
        <f t="shared" si="3"/>
        <v>0</v>
      </c>
      <c r="G22" s="146">
        <v>4.7007E-2</v>
      </c>
      <c r="H22" s="146">
        <v>-3.8699999999999998E-2</v>
      </c>
      <c r="I22" s="147">
        <f t="shared" si="0"/>
        <v>0</v>
      </c>
      <c r="J22" s="147">
        <f t="shared" si="1"/>
        <v>0</v>
      </c>
    </row>
    <row r="23" spans="1:10" x14ac:dyDescent="0.25">
      <c r="A23" s="6" t="s">
        <v>292</v>
      </c>
      <c r="B23" s="7" t="s">
        <v>713</v>
      </c>
      <c r="C23" s="142">
        <v>4348.9849999999997</v>
      </c>
      <c r="D23" s="143">
        <v>42.37</v>
      </c>
      <c r="E23" s="144">
        <f t="shared" si="2"/>
        <v>184266.49444999997</v>
      </c>
      <c r="F23" s="145">
        <f t="shared" si="3"/>
        <v>1.1918425812177764E-2</v>
      </c>
      <c r="G23" s="146">
        <v>3.1154000000000001E-2</v>
      </c>
      <c r="H23" s="146">
        <v>5.7880000000000001E-2</v>
      </c>
      <c r="I23" s="147">
        <f t="shared" si="0"/>
        <v>3.7130663775258605E-4</v>
      </c>
      <c r="J23" s="147">
        <f t="shared" si="1"/>
        <v>6.8983848600884896E-4</v>
      </c>
    </row>
    <row r="24" spans="1:10" x14ac:dyDescent="0.25">
      <c r="A24" s="6" t="s">
        <v>193</v>
      </c>
      <c r="B24" s="7" t="s">
        <v>641</v>
      </c>
      <c r="C24" s="142">
        <v>1655.2760000000001</v>
      </c>
      <c r="D24" s="143">
        <v>59.55</v>
      </c>
      <c r="E24" s="144">
        <f t="shared" si="2"/>
        <v>98571.685800000007</v>
      </c>
      <c r="F24" s="145">
        <f t="shared" si="3"/>
        <v>6.3756535223357131E-3</v>
      </c>
      <c r="G24" s="146">
        <v>3.8287000000000002E-2</v>
      </c>
      <c r="H24" s="146">
        <v>8.3000000000000004E-2</v>
      </c>
      <c r="I24" s="147">
        <f t="shared" si="0"/>
        <v>2.4410464640966744E-4</v>
      </c>
      <c r="J24" s="147">
        <f t="shared" si="1"/>
        <v>5.2917924235386425E-4</v>
      </c>
    </row>
    <row r="25" spans="1:10" x14ac:dyDescent="0.25">
      <c r="A25" s="6" t="s">
        <v>617</v>
      </c>
      <c r="B25" s="7" t="s">
        <v>975</v>
      </c>
      <c r="C25" s="142">
        <v>1687.8579999999999</v>
      </c>
      <c r="D25" s="143">
        <v>113.78</v>
      </c>
      <c r="E25" s="144">
        <f t="shared" si="2"/>
        <v>192044.48324</v>
      </c>
      <c r="F25" s="145">
        <f t="shared" si="3"/>
        <v>1.2421509037580524E-2</v>
      </c>
      <c r="G25" s="146">
        <v>1.1600999999999998E-2</v>
      </c>
      <c r="H25" s="146">
        <v>0.11903000000000001</v>
      </c>
      <c r="I25" s="147">
        <f t="shared" si="0"/>
        <v>1.4410192634497164E-4</v>
      </c>
      <c r="J25" s="147">
        <f t="shared" si="1"/>
        <v>1.47853222074321E-3</v>
      </c>
    </row>
    <row r="26" spans="1:10" x14ac:dyDescent="0.25">
      <c r="A26" s="6" t="s">
        <v>338</v>
      </c>
      <c r="B26" s="7" t="s">
        <v>751</v>
      </c>
      <c r="C26" s="142">
        <v>876.40700000000004</v>
      </c>
      <c r="D26" s="143">
        <v>63.46</v>
      </c>
      <c r="E26" s="144">
        <f t="shared" si="2"/>
        <v>55616.788220000002</v>
      </c>
      <c r="F26" s="145">
        <f t="shared" si="3"/>
        <v>3.5973146734581099E-3</v>
      </c>
      <c r="G26" s="146">
        <v>2.3952000000000001E-2</v>
      </c>
      <c r="H26" s="146">
        <v>0.05</v>
      </c>
      <c r="I26" s="147">
        <f t="shared" si="0"/>
        <v>8.6162881058668656E-5</v>
      </c>
      <c r="J26" s="147">
        <f t="shared" si="1"/>
        <v>1.798657336729055E-4</v>
      </c>
    </row>
    <row r="27" spans="1:10" x14ac:dyDescent="0.25">
      <c r="A27" s="6" t="s">
        <v>355</v>
      </c>
      <c r="B27" s="7" t="s">
        <v>764</v>
      </c>
      <c r="C27" s="142">
        <v>4169.4489999999996</v>
      </c>
      <c r="D27" s="143">
        <v>82.9</v>
      </c>
      <c r="E27" s="144">
        <f t="shared" si="2"/>
        <v>345647.32209999999</v>
      </c>
      <c r="F27" s="145">
        <f t="shared" si="3"/>
        <v>0</v>
      </c>
      <c r="G27" s="146">
        <v>3.5222999999999997E-2</v>
      </c>
      <c r="H27" s="146">
        <v>-2.3050000000000001E-2</v>
      </c>
      <c r="I27" s="147">
        <f t="shared" si="0"/>
        <v>0</v>
      </c>
      <c r="J27" s="147">
        <f t="shared" si="1"/>
        <v>0</v>
      </c>
    </row>
    <row r="28" spans="1:10" x14ac:dyDescent="0.25">
      <c r="A28" s="6" t="s">
        <v>515</v>
      </c>
      <c r="B28" s="7" t="s">
        <v>888</v>
      </c>
      <c r="C28" s="142">
        <v>533.44000000000005</v>
      </c>
      <c r="D28" s="143">
        <v>89.11</v>
      </c>
      <c r="E28" s="144">
        <f t="shared" si="2"/>
        <v>47534.838400000008</v>
      </c>
      <c r="F28" s="145">
        <f t="shared" si="3"/>
        <v>3.0745711348949957E-3</v>
      </c>
      <c r="G28" s="146">
        <v>2.5137E-2</v>
      </c>
      <c r="H28" s="146">
        <v>5.3150000000000003E-2</v>
      </c>
      <c r="I28" s="147">
        <f t="shared" si="0"/>
        <v>7.7285494617855506E-5</v>
      </c>
      <c r="J28" s="147">
        <f t="shared" si="1"/>
        <v>1.6341345581966904E-4</v>
      </c>
    </row>
    <row r="29" spans="1:10" x14ac:dyDescent="0.25">
      <c r="A29" s="6" t="s">
        <v>378</v>
      </c>
      <c r="B29" s="7" t="s">
        <v>778</v>
      </c>
      <c r="C29" s="142">
        <v>10096.429</v>
      </c>
      <c r="D29" s="143">
        <v>28.95</v>
      </c>
      <c r="E29" s="144">
        <f t="shared" si="2"/>
        <v>292291.61955</v>
      </c>
      <c r="F29" s="145">
        <f t="shared" si="3"/>
        <v>1.8905531325844157E-2</v>
      </c>
      <c r="G29" s="146">
        <v>3.1779000000000002E-2</v>
      </c>
      <c r="H29" s="146">
        <v>8.0749999999999988E-2</v>
      </c>
      <c r="I29" s="147">
        <f t="shared" si="0"/>
        <v>6.0079888000400146E-4</v>
      </c>
      <c r="J29" s="147">
        <f t="shared" si="1"/>
        <v>1.5266216545619154E-3</v>
      </c>
    </row>
    <row r="30" spans="1:10" x14ac:dyDescent="0.25">
      <c r="A30" s="6" t="s">
        <v>398</v>
      </c>
      <c r="B30" s="7" t="s">
        <v>796</v>
      </c>
      <c r="C30" s="142">
        <v>1878</v>
      </c>
      <c r="D30" s="143">
        <v>26.984999999999999</v>
      </c>
      <c r="E30" s="144">
        <f t="shared" si="2"/>
        <v>50677.83</v>
      </c>
      <c r="F30" s="145">
        <f t="shared" si="3"/>
        <v>3.2778610076670766E-3</v>
      </c>
      <c r="G30" s="146">
        <v>2.6093000000000002E-2</v>
      </c>
      <c r="H30" s="146">
        <v>4.1399999999999999E-2</v>
      </c>
      <c r="I30" s="147">
        <f t="shared" si="0"/>
        <v>8.5529227273057037E-5</v>
      </c>
      <c r="J30" s="147">
        <f t="shared" si="1"/>
        <v>1.3570344571741698E-4</v>
      </c>
    </row>
    <row r="31" spans="1:10" x14ac:dyDescent="0.25">
      <c r="A31" s="6" t="s">
        <v>399</v>
      </c>
      <c r="B31" s="7" t="s">
        <v>797</v>
      </c>
      <c r="C31" s="142">
        <v>1284.1030000000001</v>
      </c>
      <c r="D31" s="143">
        <v>123.83</v>
      </c>
      <c r="E31" s="144">
        <f t="shared" si="2"/>
        <v>159010.47448999999</v>
      </c>
      <c r="F31" s="145">
        <f t="shared" si="3"/>
        <v>1.0284856990550135E-2</v>
      </c>
      <c r="G31" s="146">
        <v>1.9058000000000002E-2</v>
      </c>
      <c r="H31" s="146">
        <v>0.13970000000000002</v>
      </c>
      <c r="I31" s="147">
        <f t="shared" si="0"/>
        <v>1.9600880452590449E-4</v>
      </c>
      <c r="J31" s="147">
        <f t="shared" si="1"/>
        <v>1.4367945215798541E-3</v>
      </c>
    </row>
    <row r="32" spans="1:10" x14ac:dyDescent="0.25">
      <c r="A32" s="6" t="s">
        <v>410</v>
      </c>
      <c r="B32" s="7" t="s">
        <v>805</v>
      </c>
      <c r="C32" s="142">
        <v>970.11</v>
      </c>
      <c r="D32" s="143">
        <v>140.16999999999999</v>
      </c>
      <c r="E32" s="144">
        <f t="shared" si="2"/>
        <v>135980.3187</v>
      </c>
      <c r="F32" s="145">
        <f t="shared" si="3"/>
        <v>8.7952578963399232E-3</v>
      </c>
      <c r="G32" s="146">
        <v>3.7097999999999999E-2</v>
      </c>
      <c r="H32" s="146">
        <v>6.4750000000000002E-2</v>
      </c>
      <c r="I32" s="147">
        <f t="shared" si="0"/>
        <v>3.2628647743841846E-4</v>
      </c>
      <c r="J32" s="147">
        <f t="shared" si="1"/>
        <v>5.6949294878801007E-4</v>
      </c>
    </row>
    <row r="33" spans="1:10" x14ac:dyDescent="0.25">
      <c r="A33" s="6" t="s">
        <v>420</v>
      </c>
      <c r="B33" s="7" t="s">
        <v>813</v>
      </c>
      <c r="C33" s="142">
        <v>2766.944</v>
      </c>
      <c r="D33" s="143">
        <v>101.12</v>
      </c>
      <c r="E33" s="144">
        <f t="shared" si="2"/>
        <v>279793.37728000002</v>
      </c>
      <c r="F33" s="145">
        <f t="shared" si="3"/>
        <v>1.8097140339071255E-2</v>
      </c>
      <c r="G33" s="146">
        <v>2.9668E-2</v>
      </c>
      <c r="H33" s="146">
        <v>6.0110000000000004E-2</v>
      </c>
      <c r="I33" s="147">
        <f t="shared" si="0"/>
        <v>5.3690595957956594E-4</v>
      </c>
      <c r="J33" s="147">
        <f t="shared" si="1"/>
        <v>1.0878191057815732E-3</v>
      </c>
    </row>
    <row r="34" spans="1:10" x14ac:dyDescent="0.25">
      <c r="A34" s="6" t="s">
        <v>458</v>
      </c>
      <c r="B34" s="7" t="s">
        <v>846</v>
      </c>
      <c r="C34" s="142">
        <v>941.81</v>
      </c>
      <c r="D34" s="143">
        <v>112.36</v>
      </c>
      <c r="E34" s="144">
        <f t="shared" si="2"/>
        <v>105821.77159999999</v>
      </c>
      <c r="F34" s="145">
        <f t="shared" si="3"/>
        <v>6.8445917848078972E-3</v>
      </c>
      <c r="G34" s="146">
        <v>3.0259999999999999E-2</v>
      </c>
      <c r="H34" s="146">
        <v>7.7699999999999991E-2</v>
      </c>
      <c r="I34" s="147">
        <f t="shared" si="0"/>
        <v>2.0711734740828697E-4</v>
      </c>
      <c r="J34" s="147">
        <f t="shared" si="1"/>
        <v>5.3182478167957358E-4</v>
      </c>
    </row>
    <row r="35" spans="1:10" x14ac:dyDescent="0.25">
      <c r="A35" s="6" t="s">
        <v>462</v>
      </c>
      <c r="B35" s="7" t="s">
        <v>851</v>
      </c>
      <c r="C35" s="142">
        <v>2816.6350000000002</v>
      </c>
      <c r="D35" s="143">
        <v>54.73</v>
      </c>
      <c r="E35" s="144">
        <f t="shared" si="2"/>
        <v>154154.43355000002</v>
      </c>
      <c r="F35" s="145">
        <f t="shared" si="3"/>
        <v>9.9707664454565335E-3</v>
      </c>
      <c r="G35" s="146">
        <v>3.2885999999999999E-2</v>
      </c>
      <c r="H35" s="146">
        <v>6.7000000000000004E-2</v>
      </c>
      <c r="I35" s="147">
        <f t="shared" si="0"/>
        <v>3.2789862532528355E-4</v>
      </c>
      <c r="J35" s="147">
        <f t="shared" si="1"/>
        <v>6.6804135184558779E-4</v>
      </c>
    </row>
    <row r="36" spans="1:10" x14ac:dyDescent="0.25">
      <c r="A36" s="6" t="s">
        <v>191</v>
      </c>
      <c r="B36" s="7" t="s">
        <v>639</v>
      </c>
      <c r="C36" s="142">
        <v>615.71299999999997</v>
      </c>
      <c r="D36" s="143">
        <v>157.29</v>
      </c>
      <c r="E36" s="144">
        <f t="shared" si="2"/>
        <v>96845.497769999987</v>
      </c>
      <c r="F36" s="145">
        <f t="shared" si="3"/>
        <v>6.2640030346285897E-3</v>
      </c>
      <c r="G36" s="146">
        <v>2.6067E-2</v>
      </c>
      <c r="H36" s="146">
        <v>9.0399999999999994E-2</v>
      </c>
      <c r="I36" s="147">
        <f t="shared" si="0"/>
        <v>1.6328376710366346E-4</v>
      </c>
      <c r="J36" s="147">
        <f t="shared" si="1"/>
        <v>5.6626587433042451E-4</v>
      </c>
    </row>
    <row r="37" spans="1:10" x14ac:dyDescent="0.25">
      <c r="A37" s="6" t="s">
        <v>243</v>
      </c>
      <c r="B37" s="7" t="s">
        <v>675</v>
      </c>
      <c r="C37" s="142">
        <v>10438.42</v>
      </c>
      <c r="D37" s="143">
        <v>16.809999999999999</v>
      </c>
      <c r="E37" s="144">
        <f t="shared" si="2"/>
        <v>175469.84019999998</v>
      </c>
      <c r="F37" s="145">
        <f t="shared" si="3"/>
        <v>1.1349454923645167E-2</v>
      </c>
      <c r="G37" s="146">
        <v>1.1894E-2</v>
      </c>
      <c r="H37" s="146">
        <v>0.20949999999999999</v>
      </c>
      <c r="I37" s="147">
        <f t="shared" si="0"/>
        <v>1.3499041686183561E-4</v>
      </c>
      <c r="J37" s="147">
        <f t="shared" si="1"/>
        <v>2.3777108065036624E-3</v>
      </c>
    </row>
    <row r="38" spans="1:10" x14ac:dyDescent="0.25">
      <c r="A38" s="6" t="s">
        <v>512</v>
      </c>
      <c r="B38" s="7" t="s">
        <v>885</v>
      </c>
      <c r="C38" s="142">
        <v>6167.348</v>
      </c>
      <c r="D38" s="143">
        <v>33.89</v>
      </c>
      <c r="E38" s="144">
        <f t="shared" si="2"/>
        <v>209011.42371999999</v>
      </c>
      <c r="F38" s="145">
        <f t="shared" si="3"/>
        <v>1.3518937096729862E-2</v>
      </c>
      <c r="G38" s="146">
        <v>3.3037999999999998E-2</v>
      </c>
      <c r="H38" s="146">
        <v>4.24E-2</v>
      </c>
      <c r="I38" s="147">
        <f t="shared" si="0"/>
        <v>4.4663864380176116E-4</v>
      </c>
      <c r="J38" s="147">
        <f t="shared" si="1"/>
        <v>5.732029329013461E-4</v>
      </c>
    </row>
    <row r="39" spans="1:10" x14ac:dyDescent="0.25">
      <c r="A39" s="6" t="s">
        <v>527</v>
      </c>
      <c r="B39" s="7" t="s">
        <v>899</v>
      </c>
      <c r="C39" s="142">
        <v>2720.5729999999999</v>
      </c>
      <c r="D39" s="143">
        <v>76.454999999999998</v>
      </c>
      <c r="E39" s="144">
        <f t="shared" si="2"/>
        <v>208001.408715</v>
      </c>
      <c r="F39" s="145">
        <f t="shared" si="3"/>
        <v>1.3453608948266358E-2</v>
      </c>
      <c r="G39" s="146">
        <v>3.4684E-2</v>
      </c>
      <c r="H39" s="146">
        <v>7.1749999999999994E-2</v>
      </c>
      <c r="I39" s="147">
        <f t="shared" si="0"/>
        <v>4.6662497276167038E-4</v>
      </c>
      <c r="J39" s="147">
        <f t="shared" si="1"/>
        <v>9.6529644203811112E-4</v>
      </c>
    </row>
    <row r="40" spans="1:10" x14ac:dyDescent="0.25">
      <c r="A40" s="6" t="s">
        <v>233</v>
      </c>
      <c r="B40" s="7" t="s">
        <v>668</v>
      </c>
      <c r="C40" s="142">
        <v>6151</v>
      </c>
      <c r="D40" s="143">
        <v>33.54</v>
      </c>
      <c r="E40" s="144">
        <f t="shared" si="2"/>
        <v>206304.54</v>
      </c>
      <c r="F40" s="145">
        <f t="shared" si="3"/>
        <v>1.3343854844824506E-2</v>
      </c>
      <c r="G40" s="146">
        <v>5.6051999999999998E-2</v>
      </c>
      <c r="H40" s="146">
        <v>4.2780000000000006E-2</v>
      </c>
      <c r="I40" s="147">
        <f t="shared" si="0"/>
        <v>7.4794975176210323E-4</v>
      </c>
      <c r="J40" s="147">
        <f t="shared" si="1"/>
        <v>5.7085011026159242E-4</v>
      </c>
    </row>
    <row r="41" spans="1:10" x14ac:dyDescent="0.25">
      <c r="A41" s="6" t="s">
        <v>594</v>
      </c>
      <c r="B41" s="7" t="s">
        <v>956</v>
      </c>
      <c r="C41" s="142">
        <v>304.21899999999999</v>
      </c>
      <c r="D41" s="143">
        <v>112.98</v>
      </c>
      <c r="E41" s="144">
        <f t="shared" si="2"/>
        <v>34370.662620000003</v>
      </c>
      <c r="F41" s="145">
        <f t="shared" si="3"/>
        <v>2.2231073195079255E-3</v>
      </c>
      <c r="G41" s="146">
        <v>2.1600999999999999E-2</v>
      </c>
      <c r="H41" s="146">
        <v>8.617000000000001E-2</v>
      </c>
      <c r="I41" s="147">
        <f t="shared" si="0"/>
        <v>4.8021341208690696E-5</v>
      </c>
      <c r="J41" s="147">
        <f t="shared" si="1"/>
        <v>1.9156515772199796E-4</v>
      </c>
    </row>
    <row r="42" spans="1:10" x14ac:dyDescent="0.25">
      <c r="A42" s="6" t="s">
        <v>601</v>
      </c>
      <c r="B42" s="7" t="s">
        <v>962</v>
      </c>
      <c r="C42" s="142">
        <v>887.02099999999996</v>
      </c>
      <c r="D42" s="143">
        <v>98.48</v>
      </c>
      <c r="E42" s="144">
        <f t="shared" si="2"/>
        <v>87353.828080000007</v>
      </c>
      <c r="F42" s="145">
        <f t="shared" si="3"/>
        <v>5.6500782873671858E-3</v>
      </c>
      <c r="G42" s="146">
        <v>2.5995000000000001E-2</v>
      </c>
      <c r="H42" s="146">
        <v>8.2979999999999998E-2</v>
      </c>
      <c r="I42" s="147">
        <f t="shared" si="0"/>
        <v>1.4687378508011E-4</v>
      </c>
      <c r="J42" s="147">
        <f t="shared" si="1"/>
        <v>4.6884349628572908E-4</v>
      </c>
    </row>
    <row r="43" spans="1:10" x14ac:dyDescent="0.25">
      <c r="A43" s="6" t="s">
        <v>225</v>
      </c>
      <c r="B43" s="7" t="s">
        <v>998</v>
      </c>
      <c r="C43" s="142">
        <v>313.67500000000001</v>
      </c>
      <c r="D43" s="143">
        <v>60.14</v>
      </c>
      <c r="E43" s="144">
        <f t="shared" si="2"/>
        <v>18864.414500000003</v>
      </c>
      <c r="F43" s="145">
        <f t="shared" si="3"/>
        <v>1.2201573887836046E-3</v>
      </c>
      <c r="G43" s="146">
        <v>2.6605E-2</v>
      </c>
      <c r="H43" s="146">
        <v>0.11380000000000001</v>
      </c>
      <c r="I43" s="147">
        <f t="shared" si="0"/>
        <v>3.2462287328587804E-5</v>
      </c>
      <c r="J43" s="147">
        <f t="shared" si="1"/>
        <v>1.3885391084357421E-4</v>
      </c>
    </row>
    <row r="44" spans="1:10" x14ac:dyDescent="0.25">
      <c r="A44" s="6" t="s">
        <v>616</v>
      </c>
      <c r="B44" s="7" t="s">
        <v>974</v>
      </c>
      <c r="C44" s="142">
        <v>3205.942</v>
      </c>
      <c r="D44" s="143">
        <v>57.265000000000001</v>
      </c>
      <c r="E44" s="144">
        <f t="shared" si="2"/>
        <v>183588.26863000001</v>
      </c>
      <c r="F44" s="145">
        <f t="shared" si="3"/>
        <v>1.1874557912353109E-2</v>
      </c>
      <c r="G44" s="146">
        <v>3.4227E-2</v>
      </c>
      <c r="H44" s="146">
        <v>2.9290000000000004E-2</v>
      </c>
      <c r="I44" s="147">
        <f t="shared" si="0"/>
        <v>4.0643049366610989E-4</v>
      </c>
      <c r="J44" s="147">
        <f t="shared" si="1"/>
        <v>3.4780580125282258E-4</v>
      </c>
    </row>
    <row r="45" spans="1:10" x14ac:dyDescent="0.25">
      <c r="A45" s="6" t="s">
        <v>285</v>
      </c>
      <c r="B45" s="7" t="s">
        <v>1012</v>
      </c>
      <c r="C45" s="142">
        <v>5087.1530000000002</v>
      </c>
      <c r="D45" s="143">
        <v>28.89</v>
      </c>
      <c r="E45" s="144">
        <f t="shared" si="2"/>
        <v>146967.85017000002</v>
      </c>
      <c r="F45" s="145">
        <f t="shared" si="3"/>
        <v>9.5059355432720819E-3</v>
      </c>
      <c r="G45" s="146">
        <v>2.9076000000000001E-2</v>
      </c>
      <c r="H45" s="146">
        <v>8.7669999999999998E-2</v>
      </c>
      <c r="I45" s="147">
        <f t="shared" si="0"/>
        <v>2.7639458185617908E-4</v>
      </c>
      <c r="J45" s="147">
        <f t="shared" si="1"/>
        <v>8.3338536907866343E-4</v>
      </c>
    </row>
    <row r="46" spans="1:10" x14ac:dyDescent="0.25">
      <c r="A46" s="6" t="s">
        <v>408</v>
      </c>
      <c r="B46" s="7" t="s">
        <v>1044</v>
      </c>
      <c r="C46" s="142">
        <v>4719</v>
      </c>
      <c r="D46" s="143">
        <v>33.905000000000001</v>
      </c>
      <c r="E46" s="144">
        <f t="shared" si="2"/>
        <v>159997.69500000001</v>
      </c>
      <c r="F46" s="145">
        <f t="shared" si="3"/>
        <v>1.0348710782547508E-2</v>
      </c>
      <c r="G46" s="146">
        <v>2.8313999999999999E-2</v>
      </c>
      <c r="H46" s="146">
        <v>8.5999999999999993E-2</v>
      </c>
      <c r="I46" s="147">
        <f t="shared" si="0"/>
        <v>2.9301339709705013E-4</v>
      </c>
      <c r="J46" s="147">
        <f t="shared" si="1"/>
        <v>8.8998912729908565E-4</v>
      </c>
    </row>
    <row r="47" spans="1:10" x14ac:dyDescent="0.25">
      <c r="A47" s="6" t="s">
        <v>381</v>
      </c>
      <c r="B47" s="7" t="s">
        <v>781</v>
      </c>
      <c r="C47" s="142">
        <v>1556.1769999999999</v>
      </c>
      <c r="D47" s="143">
        <v>34.94</v>
      </c>
      <c r="E47" s="144">
        <f t="shared" si="2"/>
        <v>54372.824379999991</v>
      </c>
      <c r="F47" s="145">
        <f t="shared" si="3"/>
        <v>3.5168546268048921E-3</v>
      </c>
      <c r="G47" s="146">
        <v>4.1214000000000001E-2</v>
      </c>
      <c r="H47" s="146">
        <v>0.11685000000000001</v>
      </c>
      <c r="I47" s="147">
        <f t="shared" si="0"/>
        <v>1.4494364658913683E-4</v>
      </c>
      <c r="J47" s="147">
        <f t="shared" si="1"/>
        <v>4.1094446314215169E-4</v>
      </c>
    </row>
    <row r="48" spans="1:10" x14ac:dyDescent="0.25">
      <c r="A48" s="6" t="s">
        <v>467</v>
      </c>
      <c r="B48" s="7" t="s">
        <v>1054</v>
      </c>
      <c r="C48" s="142">
        <v>7987.9129999999996</v>
      </c>
      <c r="D48" s="143">
        <v>52.78</v>
      </c>
      <c r="E48" s="144">
        <f t="shared" si="2"/>
        <v>421602.04813999997</v>
      </c>
      <c r="F48" s="145">
        <f t="shared" si="3"/>
        <v>2.7269378234046005E-2</v>
      </c>
      <c r="G48" s="146">
        <v>2.7273000000000002E-2</v>
      </c>
      <c r="H48" s="146">
        <v>9.5519999999999994E-2</v>
      </c>
      <c r="I48" s="147">
        <f t="shared" si="0"/>
        <v>7.4371775257713675E-4</v>
      </c>
      <c r="J48" s="147">
        <f t="shared" si="1"/>
        <v>2.6047710089160741E-3</v>
      </c>
    </row>
    <row r="49" spans="1:10" x14ac:dyDescent="0.25">
      <c r="A49" s="6" t="s">
        <v>321</v>
      </c>
      <c r="B49" s="7" t="s">
        <v>738</v>
      </c>
      <c r="C49" s="142">
        <v>294.66000000000003</v>
      </c>
      <c r="D49" s="143">
        <v>67.81</v>
      </c>
      <c r="E49" s="144">
        <f t="shared" si="2"/>
        <v>19980.894600000003</v>
      </c>
      <c r="F49" s="145">
        <f t="shared" si="3"/>
        <v>1.2923717394301543E-3</v>
      </c>
      <c r="G49" s="146">
        <v>1.2980999999999999E-2</v>
      </c>
      <c r="H49" s="146">
        <v>0.12294000000000001</v>
      </c>
      <c r="I49" s="147">
        <f t="shared" si="0"/>
        <v>1.6776277549542834E-5</v>
      </c>
      <c r="J49" s="147">
        <f t="shared" si="1"/>
        <v>1.5888418164554318E-4</v>
      </c>
    </row>
    <row r="50" spans="1:10" x14ac:dyDescent="0.25">
      <c r="A50" s="6" t="s">
        <v>430</v>
      </c>
      <c r="B50" s="7" t="s">
        <v>822</v>
      </c>
      <c r="C50" s="142">
        <v>2231.5149999999999</v>
      </c>
      <c r="D50" s="143">
        <v>27.36</v>
      </c>
      <c r="E50" s="144">
        <f t="shared" si="2"/>
        <v>61054.250399999997</v>
      </c>
      <c r="F50" s="145">
        <f t="shared" si="3"/>
        <v>3.9490117619184169E-3</v>
      </c>
      <c r="G50" s="146">
        <v>7.4589000000000003E-2</v>
      </c>
      <c r="H50" s="146">
        <v>6.1330000000000003E-2</v>
      </c>
      <c r="I50" s="147">
        <f t="shared" si="0"/>
        <v>2.9455283830973278E-4</v>
      </c>
      <c r="J50" s="147">
        <f t="shared" si="1"/>
        <v>2.4219289135845652E-4</v>
      </c>
    </row>
    <row r="51" spans="1:10" x14ac:dyDescent="0.25">
      <c r="A51" s="6" t="s">
        <v>286</v>
      </c>
      <c r="B51" s="7" t="s">
        <v>709</v>
      </c>
      <c r="C51" s="142">
        <v>3009.8449999999998</v>
      </c>
      <c r="D51" s="143">
        <v>53.25</v>
      </c>
      <c r="E51" s="144">
        <f t="shared" si="2"/>
        <v>160274.24625</v>
      </c>
      <c r="F51" s="145">
        <f t="shared" si="3"/>
        <v>1.0366598220880929E-2</v>
      </c>
      <c r="G51" s="146">
        <v>3.7559999999999998E-3</v>
      </c>
      <c r="H51" s="146">
        <v>0.25413000000000002</v>
      </c>
      <c r="I51" s="147">
        <f t="shared" si="0"/>
        <v>3.8936942917628771E-5</v>
      </c>
      <c r="J51" s="147">
        <f t="shared" si="1"/>
        <v>2.6344636058724708E-3</v>
      </c>
    </row>
    <row r="52" spans="1:10" x14ac:dyDescent="0.25">
      <c r="A52" s="6" t="s">
        <v>217</v>
      </c>
      <c r="B52" s="7" t="s">
        <v>656</v>
      </c>
      <c r="C52" s="142">
        <v>1293.8869999999999</v>
      </c>
      <c r="D52" s="143">
        <v>63.1</v>
      </c>
      <c r="E52" s="144">
        <f t="shared" si="2"/>
        <v>81644.269700000004</v>
      </c>
      <c r="F52" s="145">
        <f t="shared" si="3"/>
        <v>5.2807819148745034E-3</v>
      </c>
      <c r="G52" s="146">
        <v>1.7749999999999998E-2</v>
      </c>
      <c r="H52" s="146">
        <v>9.0399999999999994E-2</v>
      </c>
      <c r="I52" s="147">
        <f t="shared" si="0"/>
        <v>9.3733878989022429E-5</v>
      </c>
      <c r="J52" s="147">
        <f t="shared" si="1"/>
        <v>4.7738268510465507E-4</v>
      </c>
    </row>
    <row r="53" spans="1:10" x14ac:dyDescent="0.25">
      <c r="A53" s="6" t="s">
        <v>400</v>
      </c>
      <c r="B53" s="7" t="s">
        <v>798</v>
      </c>
      <c r="C53" s="142">
        <v>770.69100000000003</v>
      </c>
      <c r="D53" s="143">
        <v>103.35</v>
      </c>
      <c r="E53" s="144">
        <f t="shared" si="2"/>
        <v>79650.914850000001</v>
      </c>
      <c r="F53" s="145">
        <f t="shared" si="3"/>
        <v>5.1518509772779438E-3</v>
      </c>
      <c r="G53" s="146">
        <v>2.3029000000000001E-2</v>
      </c>
      <c r="H53" s="146">
        <v>9.8460000000000006E-2</v>
      </c>
      <c r="I53" s="147">
        <f t="shared" si="0"/>
        <v>1.1864197615573378E-4</v>
      </c>
      <c r="J53" s="147">
        <f t="shared" si="1"/>
        <v>5.0725124722278642E-4</v>
      </c>
    </row>
    <row r="54" spans="1:10" x14ac:dyDescent="0.25">
      <c r="A54" s="6" t="s">
        <v>212</v>
      </c>
      <c r="B54" s="7" t="s">
        <v>108</v>
      </c>
      <c r="C54" s="142">
        <v>1960.6790000000001</v>
      </c>
      <c r="D54" s="143">
        <v>60.54</v>
      </c>
      <c r="E54" s="144">
        <f t="shared" si="2"/>
        <v>118699.50666</v>
      </c>
      <c r="F54" s="145">
        <f t="shared" si="3"/>
        <v>7.6775285072413803E-3</v>
      </c>
      <c r="G54" s="146">
        <v>3.7330999999999996E-2</v>
      </c>
      <c r="H54" s="146">
        <v>7.6280000000000001E-2</v>
      </c>
      <c r="I54" s="147">
        <f t="shared" si="0"/>
        <v>2.8660981670382795E-4</v>
      </c>
      <c r="J54" s="147">
        <f t="shared" si="1"/>
        <v>5.8564187453237254E-4</v>
      </c>
    </row>
    <row r="55" spans="1:10" x14ac:dyDescent="0.25">
      <c r="A55" s="6" t="s">
        <v>1121</v>
      </c>
      <c r="B55" s="7" t="s">
        <v>1122</v>
      </c>
      <c r="C55" s="142">
        <v>407.66800000000001</v>
      </c>
      <c r="D55" s="143">
        <v>68.83</v>
      </c>
      <c r="E55" s="144">
        <f t="shared" si="2"/>
        <v>28059.78844</v>
      </c>
      <c r="F55" s="145">
        <f t="shared" si="3"/>
        <v>0</v>
      </c>
      <c r="G55" s="146" t="s">
        <v>1109</v>
      </c>
      <c r="H55" s="146">
        <v>0.12167</v>
      </c>
      <c r="I55" s="147" t="str">
        <f t="shared" si="0"/>
        <v>n/a</v>
      </c>
      <c r="J55" s="147">
        <f t="shared" si="1"/>
        <v>0</v>
      </c>
    </row>
    <row r="56" spans="1:10" x14ac:dyDescent="0.25">
      <c r="A56" s="6" t="s">
        <v>598</v>
      </c>
      <c r="B56" s="7" t="s">
        <v>959</v>
      </c>
      <c r="C56" s="142">
        <v>179.96199999999999</v>
      </c>
      <c r="D56" s="143">
        <v>95.17</v>
      </c>
      <c r="E56" s="144">
        <f t="shared" si="2"/>
        <v>17126.983540000001</v>
      </c>
      <c r="F56" s="145">
        <f t="shared" si="3"/>
        <v>0</v>
      </c>
      <c r="G56" s="146" t="s">
        <v>1109</v>
      </c>
      <c r="H56" s="146">
        <v>0.22635000000000002</v>
      </c>
      <c r="I56" s="147" t="str">
        <f t="shared" si="0"/>
        <v>n/a</v>
      </c>
      <c r="J56" s="147">
        <f t="shared" si="1"/>
        <v>0</v>
      </c>
    </row>
    <row r="57" spans="1:10" x14ac:dyDescent="0.25">
      <c r="A57" s="6" t="s">
        <v>412</v>
      </c>
      <c r="B57" s="7" t="s">
        <v>807</v>
      </c>
      <c r="C57" s="142">
        <v>417.74099999999999</v>
      </c>
      <c r="D57" s="143">
        <v>42.72</v>
      </c>
      <c r="E57" s="144">
        <f t="shared" si="2"/>
        <v>17845.895519999998</v>
      </c>
      <c r="F57" s="145">
        <f t="shared" si="3"/>
        <v>1.1542792000349771E-3</v>
      </c>
      <c r="G57" s="146">
        <v>4.1199000000000006E-2</v>
      </c>
      <c r="H57" s="146">
        <v>6.2670000000000003E-2</v>
      </c>
      <c r="I57" s="147">
        <f t="shared" si="0"/>
        <v>4.7555148762241032E-5</v>
      </c>
      <c r="J57" s="147">
        <f t="shared" si="1"/>
        <v>7.2338677466192016E-5</v>
      </c>
    </row>
    <row r="58" spans="1:10" x14ac:dyDescent="0.25">
      <c r="A58" s="6" t="s">
        <v>192</v>
      </c>
      <c r="B58" s="7" t="s">
        <v>640</v>
      </c>
      <c r="C58" s="142">
        <v>1490.441</v>
      </c>
      <c r="D58" s="143">
        <v>44.82</v>
      </c>
      <c r="E58" s="144">
        <f t="shared" si="2"/>
        <v>66801.565620000008</v>
      </c>
      <c r="F58" s="145">
        <f t="shared" si="3"/>
        <v>4.3207502609506282E-3</v>
      </c>
      <c r="G58" s="146">
        <v>2.1419000000000001E-2</v>
      </c>
      <c r="H58" s="146">
        <v>0.12140000000000001</v>
      </c>
      <c r="I58" s="147">
        <f t="shared" si="0"/>
        <v>9.2546149839301507E-5</v>
      </c>
      <c r="J58" s="147">
        <f t="shared" si="1"/>
        <v>5.2453908167940627E-4</v>
      </c>
    </row>
    <row r="59" spans="1:10" x14ac:dyDescent="0.25">
      <c r="A59" s="6" t="s">
        <v>200</v>
      </c>
      <c r="B59" s="7" t="s">
        <v>647</v>
      </c>
      <c r="C59" s="142">
        <v>430.69400000000002</v>
      </c>
      <c r="D59" s="143">
        <v>63.78</v>
      </c>
      <c r="E59" s="144">
        <f t="shared" si="2"/>
        <v>27469.663320000003</v>
      </c>
      <c r="F59" s="145">
        <f t="shared" si="3"/>
        <v>1.7767481024813126E-3</v>
      </c>
      <c r="G59" s="146">
        <v>2.5713E-2</v>
      </c>
      <c r="H59" s="146">
        <v>9.0500000000000011E-2</v>
      </c>
      <c r="I59" s="147">
        <f t="shared" si="0"/>
        <v>4.568552395910199E-5</v>
      </c>
      <c r="J59" s="147">
        <f t="shared" si="1"/>
        <v>1.607957032745588E-4</v>
      </c>
    </row>
    <row r="60" spans="1:10" x14ac:dyDescent="0.25">
      <c r="A60" s="6" t="s">
        <v>203</v>
      </c>
      <c r="B60" s="7" t="s">
        <v>648</v>
      </c>
      <c r="C60" s="142">
        <v>214.982</v>
      </c>
      <c r="D60" s="143">
        <v>139.06</v>
      </c>
      <c r="E60" s="144">
        <f t="shared" si="2"/>
        <v>29895.396919999999</v>
      </c>
      <c r="F60" s="145">
        <f t="shared" si="3"/>
        <v>1.9336454594207845E-3</v>
      </c>
      <c r="G60" s="146">
        <v>2.3299E-2</v>
      </c>
      <c r="H60" s="146">
        <v>9.325E-2</v>
      </c>
      <c r="I60" s="147">
        <f t="shared" si="0"/>
        <v>4.5052005559044858E-5</v>
      </c>
      <c r="J60" s="147">
        <f t="shared" si="1"/>
        <v>1.8031243909098814E-4</v>
      </c>
    </row>
    <row r="61" spans="1:10" x14ac:dyDescent="0.25">
      <c r="A61" s="6" t="s">
        <v>204</v>
      </c>
      <c r="B61" s="7" t="s">
        <v>649</v>
      </c>
      <c r="C61" s="142">
        <v>74.653999999999996</v>
      </c>
      <c r="D61" s="143">
        <v>96.21</v>
      </c>
      <c r="E61" s="144">
        <f t="shared" si="2"/>
        <v>7182.4613399999989</v>
      </c>
      <c r="F61" s="145">
        <f t="shared" si="3"/>
        <v>4.6456428709481477E-4</v>
      </c>
      <c r="G61" s="146">
        <v>2.4944999999999998E-2</v>
      </c>
      <c r="H61" s="146">
        <v>9.0749999999999997E-2</v>
      </c>
      <c r="I61" s="147">
        <f t="shared" si="0"/>
        <v>1.1588556141580154E-5</v>
      </c>
      <c r="J61" s="147">
        <f t="shared" si="1"/>
        <v>4.2159209053854442E-5</v>
      </c>
    </row>
    <row r="62" spans="1:10" x14ac:dyDescent="0.25">
      <c r="A62" s="6" t="s">
        <v>1123</v>
      </c>
      <c r="B62" s="7" t="s">
        <v>1124</v>
      </c>
      <c r="C62" s="142">
        <v>219.995</v>
      </c>
      <c r="D62" s="143">
        <v>98.43</v>
      </c>
      <c r="E62" s="144">
        <f t="shared" si="2"/>
        <v>21654.10785</v>
      </c>
      <c r="F62" s="145">
        <f t="shared" si="3"/>
        <v>1.4005957985441079E-3</v>
      </c>
      <c r="G62" s="146">
        <v>1.5239000000000001E-2</v>
      </c>
      <c r="H62" s="146">
        <v>0.19699999999999998</v>
      </c>
      <c r="I62" s="147">
        <f t="shared" si="0"/>
        <v>2.1343679374013662E-5</v>
      </c>
      <c r="J62" s="147">
        <f t="shared" si="1"/>
        <v>2.7591737231318921E-4</v>
      </c>
    </row>
    <row r="63" spans="1:10" x14ac:dyDescent="0.25">
      <c r="A63" s="6" t="s">
        <v>215</v>
      </c>
      <c r="B63" s="7" t="s">
        <v>654</v>
      </c>
      <c r="C63" s="142">
        <v>490.81700000000001</v>
      </c>
      <c r="D63" s="143">
        <v>56.695</v>
      </c>
      <c r="E63" s="144">
        <f t="shared" si="2"/>
        <v>27826.869815000002</v>
      </c>
      <c r="F63" s="145">
        <f t="shared" si="3"/>
        <v>1.7998523522419264E-3</v>
      </c>
      <c r="G63" s="146">
        <v>3.9513E-2</v>
      </c>
      <c r="H63" s="146">
        <v>5.3360000000000005E-2</v>
      </c>
      <c r="I63" s="147">
        <f t="shared" si="0"/>
        <v>7.1117565994135231E-5</v>
      </c>
      <c r="J63" s="147">
        <f t="shared" si="1"/>
        <v>9.6040121515629206E-5</v>
      </c>
    </row>
    <row r="64" spans="1:10" x14ac:dyDescent="0.25">
      <c r="A64" s="6" t="s">
        <v>397</v>
      </c>
      <c r="B64" s="7" t="s">
        <v>795</v>
      </c>
      <c r="C64" s="142">
        <v>287.05799999999999</v>
      </c>
      <c r="D64" s="143">
        <v>56.25</v>
      </c>
      <c r="E64" s="144">
        <f t="shared" si="2"/>
        <v>16147.012499999999</v>
      </c>
      <c r="F64" s="145">
        <f t="shared" si="3"/>
        <v>0</v>
      </c>
      <c r="G64" s="146">
        <v>1.7778000000000002E-2</v>
      </c>
      <c r="H64" s="146">
        <v>-0.15073</v>
      </c>
      <c r="I64" s="147">
        <f t="shared" si="0"/>
        <v>0</v>
      </c>
      <c r="J64" s="147">
        <f t="shared" si="1"/>
        <v>0</v>
      </c>
    </row>
    <row r="65" spans="1:10" x14ac:dyDescent="0.25">
      <c r="A65" s="6" t="s">
        <v>224</v>
      </c>
      <c r="B65" s="7" t="s">
        <v>662</v>
      </c>
      <c r="C65" s="142">
        <v>508.14299999999997</v>
      </c>
      <c r="D65" s="143">
        <v>66.97</v>
      </c>
      <c r="E65" s="144">
        <f t="shared" si="2"/>
        <v>34030.336709999996</v>
      </c>
      <c r="F65" s="145">
        <f t="shared" si="3"/>
        <v>2.2010949123017006E-3</v>
      </c>
      <c r="G65" s="146">
        <v>1.6131E-2</v>
      </c>
      <c r="H65" s="146">
        <v>8.3330000000000001E-2</v>
      </c>
      <c r="I65" s="147">
        <f t="shared" si="0"/>
        <v>3.5505862030338732E-5</v>
      </c>
      <c r="J65" s="147">
        <f t="shared" si="1"/>
        <v>1.8341723904210071E-4</v>
      </c>
    </row>
    <row r="66" spans="1:10" x14ac:dyDescent="0.25">
      <c r="A66" s="6" t="s">
        <v>226</v>
      </c>
      <c r="B66" s="7" t="s">
        <v>663</v>
      </c>
      <c r="C66" s="142">
        <v>280.04300000000001</v>
      </c>
      <c r="D66" s="143">
        <v>93.32</v>
      </c>
      <c r="E66" s="144">
        <f t="shared" si="2"/>
        <v>26133.61276</v>
      </c>
      <c r="F66" s="145">
        <f t="shared" si="3"/>
        <v>1.6903318523203295E-3</v>
      </c>
      <c r="G66" s="146">
        <v>1.2859000000000001E-2</v>
      </c>
      <c r="H66" s="146">
        <v>0.1104</v>
      </c>
      <c r="I66" s="147">
        <f t="shared" si="0"/>
        <v>2.173597728898712E-5</v>
      </c>
      <c r="J66" s="147">
        <f t="shared" si="1"/>
        <v>1.8661263649616438E-4</v>
      </c>
    </row>
    <row r="67" spans="1:10" x14ac:dyDescent="0.25">
      <c r="A67" s="6" t="s">
        <v>227</v>
      </c>
      <c r="B67" s="7" t="s">
        <v>664</v>
      </c>
      <c r="C67" s="142">
        <v>377.98700000000002</v>
      </c>
      <c r="D67" s="143">
        <v>47.15</v>
      </c>
      <c r="E67" s="144">
        <f t="shared" si="2"/>
        <v>17822.087050000002</v>
      </c>
      <c r="F67" s="145">
        <f t="shared" si="3"/>
        <v>0</v>
      </c>
      <c r="G67" s="146">
        <v>2.1208999999999999E-2</v>
      </c>
      <c r="H67" s="146">
        <v>-2.46E-2</v>
      </c>
      <c r="I67" s="147">
        <f t="shared" si="0"/>
        <v>0</v>
      </c>
      <c r="J67" s="147">
        <f t="shared" si="1"/>
        <v>0</v>
      </c>
    </row>
    <row r="68" spans="1:10" x14ac:dyDescent="0.25">
      <c r="A68" s="6" t="s">
        <v>231</v>
      </c>
      <c r="B68" s="7" t="s">
        <v>666</v>
      </c>
      <c r="C68" s="142">
        <v>608.94000000000005</v>
      </c>
      <c r="D68" s="143">
        <v>45.69</v>
      </c>
      <c r="E68" s="144">
        <f t="shared" si="2"/>
        <v>27822.4686</v>
      </c>
      <c r="F68" s="145">
        <f t="shared" si="3"/>
        <v>1.7995676800088244E-3</v>
      </c>
      <c r="G68" s="146">
        <v>2.4512999999999997E-2</v>
      </c>
      <c r="H68" s="146">
        <v>3.6499999999999998E-2</v>
      </c>
      <c r="I68" s="147">
        <f t="shared" si="0"/>
        <v>4.4112802540056309E-5</v>
      </c>
      <c r="J68" s="147">
        <f t="shared" si="1"/>
        <v>6.5684220320322089E-5</v>
      </c>
    </row>
    <row r="69" spans="1:10" x14ac:dyDescent="0.25">
      <c r="A69" s="6" t="s">
        <v>202</v>
      </c>
      <c r="B69" s="7" t="s">
        <v>20</v>
      </c>
      <c r="C69" s="142">
        <v>120.08799999999999</v>
      </c>
      <c r="D69" s="143">
        <v>62.52</v>
      </c>
      <c r="E69" s="144">
        <f t="shared" si="2"/>
        <v>7507.9017599999997</v>
      </c>
      <c r="F69" s="145">
        <f t="shared" si="3"/>
        <v>4.8561389523779956E-4</v>
      </c>
      <c r="G69" s="146">
        <v>3.2629999999999999E-2</v>
      </c>
      <c r="H69" s="146">
        <v>6.5000000000000002E-2</v>
      </c>
      <c r="I69" s="147">
        <f t="shared" si="0"/>
        <v>1.5845581401609401E-5</v>
      </c>
      <c r="J69" s="147">
        <f t="shared" si="1"/>
        <v>3.1564903190456972E-5</v>
      </c>
    </row>
    <row r="70" spans="1:10" x14ac:dyDescent="0.25">
      <c r="A70" s="6" t="s">
        <v>235</v>
      </c>
      <c r="B70" s="7" t="s">
        <v>1002</v>
      </c>
      <c r="C70" s="142">
        <v>465.27300000000002</v>
      </c>
      <c r="D70" s="143">
        <v>87.1</v>
      </c>
      <c r="E70" s="144">
        <f t="shared" si="2"/>
        <v>40525.278299999998</v>
      </c>
      <c r="F70" s="145">
        <f t="shared" si="3"/>
        <v>2.6211901647017386E-3</v>
      </c>
      <c r="G70" s="146">
        <v>2.2503000000000002E-2</v>
      </c>
      <c r="H70" s="146">
        <v>0.10400000000000001</v>
      </c>
      <c r="I70" s="147">
        <f t="shared" si="0"/>
        <v>5.8984642276283227E-5</v>
      </c>
      <c r="J70" s="147">
        <f t="shared" si="1"/>
        <v>2.7260377712898086E-4</v>
      </c>
    </row>
    <row r="71" spans="1:10" x14ac:dyDescent="0.25">
      <c r="A71" s="6" t="s">
        <v>1256</v>
      </c>
      <c r="B71" s="7" t="s">
        <v>1257</v>
      </c>
      <c r="C71" s="142">
        <v>169.428</v>
      </c>
      <c r="D71" s="143">
        <v>71.680000000000007</v>
      </c>
      <c r="E71" s="144">
        <f t="shared" si="2"/>
        <v>12144.599040000001</v>
      </c>
      <c r="F71" s="145">
        <f t="shared" si="3"/>
        <v>0</v>
      </c>
      <c r="G71" s="146" t="s">
        <v>1109</v>
      </c>
      <c r="H71" s="146">
        <v>0.12</v>
      </c>
      <c r="I71" s="147" t="str">
        <f t="shared" si="0"/>
        <v>n/a</v>
      </c>
      <c r="J71" s="147">
        <f t="shared" si="1"/>
        <v>0</v>
      </c>
    </row>
    <row r="72" spans="1:10" x14ac:dyDescent="0.25">
      <c r="A72" s="6" t="s">
        <v>237</v>
      </c>
      <c r="B72" s="7" t="s">
        <v>670</v>
      </c>
      <c r="C72" s="142">
        <v>30.484999999999999</v>
      </c>
      <c r="D72" s="143">
        <v>785.57</v>
      </c>
      <c r="E72" s="144">
        <f t="shared" si="2"/>
        <v>23948.101450000002</v>
      </c>
      <c r="F72" s="145">
        <f t="shared" si="3"/>
        <v>0</v>
      </c>
      <c r="G72" s="146" t="s">
        <v>1109</v>
      </c>
      <c r="H72" s="146">
        <v>0.12767000000000001</v>
      </c>
      <c r="I72" s="147" t="str">
        <f t="shared" si="0"/>
        <v>n/a</v>
      </c>
      <c r="J72" s="147">
        <f t="shared" si="1"/>
        <v>0</v>
      </c>
    </row>
    <row r="73" spans="1:10" x14ac:dyDescent="0.25">
      <c r="A73" s="6" t="s">
        <v>240</v>
      </c>
      <c r="B73" s="7" t="s">
        <v>672</v>
      </c>
      <c r="C73" s="142">
        <v>91.438000000000002</v>
      </c>
      <c r="D73" s="143">
        <v>65.010000000000005</v>
      </c>
      <c r="E73" s="144">
        <f t="shared" si="2"/>
        <v>5944.3843800000004</v>
      </c>
      <c r="F73" s="145">
        <f t="shared" si="3"/>
        <v>3.8448500604282445E-4</v>
      </c>
      <c r="G73" s="146">
        <v>2.2766000000000002E-2</v>
      </c>
      <c r="H73" s="146">
        <v>7.2999999999999995E-2</v>
      </c>
      <c r="I73" s="147">
        <f t="shared" si="0"/>
        <v>8.7531856475709422E-6</v>
      </c>
      <c r="J73" s="147">
        <f t="shared" si="1"/>
        <v>2.8067405441126182E-5</v>
      </c>
    </row>
    <row r="74" spans="1:10" x14ac:dyDescent="0.25">
      <c r="A74" s="6" t="s">
        <v>241</v>
      </c>
      <c r="B74" s="7" t="s">
        <v>673</v>
      </c>
      <c r="C74" s="142">
        <v>436.08699999999999</v>
      </c>
      <c r="D74" s="143">
        <v>52.77</v>
      </c>
      <c r="E74" s="144">
        <f t="shared" si="2"/>
        <v>23012.310990000002</v>
      </c>
      <c r="F74" s="145">
        <f t="shared" si="3"/>
        <v>1.4884448858688217E-3</v>
      </c>
      <c r="G74" s="146">
        <v>1.2886E-2</v>
      </c>
      <c r="H74" s="146">
        <v>8.1000000000000003E-2</v>
      </c>
      <c r="I74" s="147">
        <f t="shared" si="0"/>
        <v>1.9180100799305635E-5</v>
      </c>
      <c r="J74" s="147">
        <f t="shared" si="1"/>
        <v>1.2056403575537457E-4</v>
      </c>
    </row>
    <row r="75" spans="1:10" x14ac:dyDescent="0.25">
      <c r="A75" s="6" t="s">
        <v>242</v>
      </c>
      <c r="B75" s="7" t="s">
        <v>674</v>
      </c>
      <c r="C75" s="142">
        <v>136.22800000000001</v>
      </c>
      <c r="D75" s="143">
        <v>68.53</v>
      </c>
      <c r="E75" s="144">
        <f t="shared" si="2"/>
        <v>9335.7048400000003</v>
      </c>
      <c r="F75" s="145">
        <f t="shared" si="3"/>
        <v>6.0383688240251809E-4</v>
      </c>
      <c r="G75" s="146">
        <v>7.5880000000000001E-3</v>
      </c>
      <c r="H75" s="146">
        <v>6.0999999999999999E-2</v>
      </c>
      <c r="I75" s="147">
        <f t="shared" si="0"/>
        <v>4.581914263670307E-6</v>
      </c>
      <c r="J75" s="147">
        <f t="shared" si="1"/>
        <v>3.6834049826553602E-5</v>
      </c>
    </row>
    <row r="76" spans="1:10" x14ac:dyDescent="0.25">
      <c r="A76" s="6" t="s">
        <v>244</v>
      </c>
      <c r="B76" s="7" t="s">
        <v>676</v>
      </c>
      <c r="C76" s="142">
        <v>1106.518</v>
      </c>
      <c r="D76" s="143">
        <v>41.69</v>
      </c>
      <c r="E76" s="144">
        <f t="shared" si="2"/>
        <v>46130.735419999997</v>
      </c>
      <c r="F76" s="145">
        <f t="shared" si="3"/>
        <v>2.9837532287437028E-3</v>
      </c>
      <c r="G76" s="146">
        <v>1.6310999999999999E-2</v>
      </c>
      <c r="H76" s="146">
        <v>0.12567</v>
      </c>
      <c r="I76" s="147">
        <f t="shared" si="0"/>
        <v>4.8667998914038536E-5</v>
      </c>
      <c r="J76" s="147">
        <f t="shared" si="1"/>
        <v>3.7496826825622116E-4</v>
      </c>
    </row>
    <row r="77" spans="1:10" x14ac:dyDescent="0.25">
      <c r="A77" s="6" t="s">
        <v>306</v>
      </c>
      <c r="B77" s="7" t="s">
        <v>724</v>
      </c>
      <c r="C77" s="142">
        <v>73.885999999999996</v>
      </c>
      <c r="D77" s="143">
        <v>186.51</v>
      </c>
      <c r="E77" s="144">
        <f t="shared" si="2"/>
        <v>13780.477859999999</v>
      </c>
      <c r="F77" s="145">
        <f t="shared" si="3"/>
        <v>8.9132646453712471E-4</v>
      </c>
      <c r="G77" s="146">
        <v>5.1480000000000007E-3</v>
      </c>
      <c r="H77" s="146">
        <v>0.13780000000000001</v>
      </c>
      <c r="I77" s="147">
        <f t="shared" si="0"/>
        <v>4.5885486394371183E-6</v>
      </c>
      <c r="J77" s="147">
        <f t="shared" si="1"/>
        <v>1.2282478681321579E-4</v>
      </c>
    </row>
    <row r="78" spans="1:10" x14ac:dyDescent="0.25">
      <c r="A78" s="6" t="s">
        <v>245</v>
      </c>
      <c r="B78" s="7" t="s">
        <v>677</v>
      </c>
      <c r="C78" s="142">
        <v>545.53899999999999</v>
      </c>
      <c r="D78" s="143">
        <v>37.42</v>
      </c>
      <c r="E78" s="144">
        <f t="shared" ref="E78:E141" si="4">C78*D78</f>
        <v>20414.069380000001</v>
      </c>
      <c r="F78" s="145">
        <f t="shared" si="3"/>
        <v>1.3203896462913353E-3</v>
      </c>
      <c r="G78" s="146">
        <v>1.2293E-2</v>
      </c>
      <c r="H78" s="146">
        <v>9.4E-2</v>
      </c>
      <c r="I78" s="147">
        <f t="shared" ref="I78:I141" si="5">IF(G78="n/a","n/a",$F78*G78)</f>
        <v>1.6231549921859383E-5</v>
      </c>
      <c r="J78" s="147">
        <f t="shared" ref="J78:J141" si="6">IF(H78="n/a","n/a",$F78*H78)</f>
        <v>1.2411662675138551E-4</v>
      </c>
    </row>
    <row r="79" spans="1:10" x14ac:dyDescent="0.25">
      <c r="A79" s="6" t="s">
        <v>247</v>
      </c>
      <c r="B79" s="7" t="s">
        <v>679</v>
      </c>
      <c r="C79" s="142">
        <v>210.25399999999999</v>
      </c>
      <c r="D79" s="143">
        <v>142.65</v>
      </c>
      <c r="E79" s="144">
        <f t="shared" si="4"/>
        <v>29992.733100000001</v>
      </c>
      <c r="F79" s="145">
        <f t="shared" ref="F79:F142" si="7">IF(OR(G79="n/a",H79="n/a",H79&lt;0%),0%,E79/SUMIFS(E$14:E$518,G$14:G$518,"&lt;&gt;n/a",$H$14:$H$518,"&lt;&gt;n/a",$H$14:$H$518,"&gt;=0"))</f>
        <v>1.9399411999656592E-3</v>
      </c>
      <c r="G79" s="146">
        <v>1.6827000000000002E-2</v>
      </c>
      <c r="H79" s="146">
        <v>0.11199999999999999</v>
      </c>
      <c r="I79" s="147">
        <f t="shared" si="5"/>
        <v>3.264339057182215E-5</v>
      </c>
      <c r="J79" s="147">
        <f t="shared" si="6"/>
        <v>2.1727341439615382E-4</v>
      </c>
    </row>
    <row r="80" spans="1:10" x14ac:dyDescent="0.25">
      <c r="A80" s="6" t="s">
        <v>249</v>
      </c>
      <c r="B80" s="7" t="s">
        <v>680</v>
      </c>
      <c r="C80" s="142">
        <v>1247.366</v>
      </c>
      <c r="D80" s="143">
        <v>136.19</v>
      </c>
      <c r="E80" s="144">
        <f t="shared" si="4"/>
        <v>169878.77554</v>
      </c>
      <c r="F80" s="145">
        <f t="shared" si="7"/>
        <v>0</v>
      </c>
      <c r="G80" s="146" t="s">
        <v>1109</v>
      </c>
      <c r="H80" s="146">
        <v>5.7999999999999996E-2</v>
      </c>
      <c r="I80" s="147" t="str">
        <f t="shared" si="5"/>
        <v>n/a</v>
      </c>
      <c r="J80" s="147">
        <f t="shared" si="6"/>
        <v>0</v>
      </c>
    </row>
    <row r="81" spans="1:10" x14ac:dyDescent="0.25">
      <c r="A81" s="6" t="s">
        <v>250</v>
      </c>
      <c r="B81" s="7" t="s">
        <v>681</v>
      </c>
      <c r="C81" s="142">
        <v>344.572</v>
      </c>
      <c r="D81" s="143">
        <v>35.06</v>
      </c>
      <c r="E81" s="144">
        <f t="shared" si="4"/>
        <v>12080.694320000001</v>
      </c>
      <c r="F81" s="145">
        <f t="shared" si="7"/>
        <v>7.81383829123566E-4</v>
      </c>
      <c r="G81" s="146">
        <v>2.6241E-2</v>
      </c>
      <c r="H81" s="146">
        <v>0.10471999999999999</v>
      </c>
      <c r="I81" s="147">
        <f t="shared" si="5"/>
        <v>2.0504293060031495E-5</v>
      </c>
      <c r="J81" s="147">
        <f t="shared" si="6"/>
        <v>8.1826514585819823E-5</v>
      </c>
    </row>
    <row r="82" spans="1:10" x14ac:dyDescent="0.25">
      <c r="A82" s="6" t="s">
        <v>387</v>
      </c>
      <c r="B82" s="7" t="s">
        <v>785</v>
      </c>
      <c r="C82" s="142">
        <v>276.36</v>
      </c>
      <c r="D82" s="143">
        <v>37.29</v>
      </c>
      <c r="E82" s="144">
        <f t="shared" si="4"/>
        <v>10305.464400000001</v>
      </c>
      <c r="F82" s="145">
        <f t="shared" si="7"/>
        <v>6.6656129362013307E-4</v>
      </c>
      <c r="G82" s="146">
        <v>2.1453000000000003E-2</v>
      </c>
      <c r="H82" s="146">
        <v>0.11</v>
      </c>
      <c r="I82" s="147">
        <f t="shared" si="5"/>
        <v>1.4299739432032717E-5</v>
      </c>
      <c r="J82" s="147">
        <f t="shared" si="6"/>
        <v>7.3321742298214634E-5</v>
      </c>
    </row>
    <row r="83" spans="1:10" x14ac:dyDescent="0.25">
      <c r="A83" s="6" t="s">
        <v>255</v>
      </c>
      <c r="B83" s="7" t="s">
        <v>686</v>
      </c>
      <c r="C83" s="142">
        <v>1343.9570000000001</v>
      </c>
      <c r="D83" s="143">
        <v>18.3</v>
      </c>
      <c r="E83" s="144">
        <f t="shared" si="4"/>
        <v>24594.413100000002</v>
      </c>
      <c r="F83" s="145">
        <f t="shared" si="7"/>
        <v>0</v>
      </c>
      <c r="G83" s="146" t="s">
        <v>1109</v>
      </c>
      <c r="H83" s="146">
        <v>9.7200000000000009E-2</v>
      </c>
      <c r="I83" s="147" t="str">
        <f t="shared" si="5"/>
        <v>n/a</v>
      </c>
      <c r="J83" s="147">
        <f t="shared" si="6"/>
        <v>0</v>
      </c>
    </row>
    <row r="84" spans="1:10" x14ac:dyDescent="0.25">
      <c r="A84" s="6" t="s">
        <v>256</v>
      </c>
      <c r="B84" s="7" t="s">
        <v>687</v>
      </c>
      <c r="C84" s="142">
        <v>1668.2860000000001</v>
      </c>
      <c r="D84" s="143">
        <v>65.989999999999995</v>
      </c>
      <c r="E84" s="144">
        <f t="shared" si="4"/>
        <v>110090.19313999999</v>
      </c>
      <c r="F84" s="145">
        <f t="shared" si="7"/>
        <v>7.120674887226691E-3</v>
      </c>
      <c r="G84" s="146">
        <v>2.2428E-2</v>
      </c>
      <c r="H84" s="146">
        <v>0.13533000000000001</v>
      </c>
      <c r="I84" s="147">
        <f t="shared" si="5"/>
        <v>1.5970249637072023E-4</v>
      </c>
      <c r="J84" s="147">
        <f t="shared" si="6"/>
        <v>9.6364093248838814E-4</v>
      </c>
    </row>
    <row r="85" spans="1:10" x14ac:dyDescent="0.25">
      <c r="A85" s="6" t="s">
        <v>258</v>
      </c>
      <c r="B85" s="7" t="s">
        <v>688</v>
      </c>
      <c r="C85" s="142">
        <v>121.96299999999999</v>
      </c>
      <c r="D85" s="143">
        <v>106.22</v>
      </c>
      <c r="E85" s="144">
        <f t="shared" si="4"/>
        <v>12954.90986</v>
      </c>
      <c r="F85" s="145">
        <f t="shared" si="7"/>
        <v>8.3792841737571921E-4</v>
      </c>
      <c r="G85" s="146">
        <v>1.1861999999999999E-2</v>
      </c>
      <c r="H85" s="146">
        <v>8.795E-2</v>
      </c>
      <c r="I85" s="147">
        <f t="shared" si="5"/>
        <v>9.9395068869107807E-6</v>
      </c>
      <c r="J85" s="147">
        <f t="shared" si="6"/>
        <v>7.3695804308194501E-5</v>
      </c>
    </row>
    <row r="86" spans="1:10" x14ac:dyDescent="0.25">
      <c r="A86" s="6" t="s">
        <v>261</v>
      </c>
      <c r="B86" s="7" t="s">
        <v>690</v>
      </c>
      <c r="C86" s="142">
        <v>413.875</v>
      </c>
      <c r="D86" s="143">
        <v>21.74</v>
      </c>
      <c r="E86" s="144">
        <f t="shared" si="4"/>
        <v>8997.6424999999999</v>
      </c>
      <c r="F86" s="145">
        <f t="shared" si="7"/>
        <v>5.8197088375090472E-4</v>
      </c>
      <c r="G86" s="146">
        <v>3.6800000000000001E-3</v>
      </c>
      <c r="H86" s="146">
        <v>0.41826999999999998</v>
      </c>
      <c r="I86" s="147">
        <f t="shared" si="5"/>
        <v>2.1416528522033292E-6</v>
      </c>
      <c r="J86" s="147">
        <f t="shared" si="6"/>
        <v>2.4342096154649089E-4</v>
      </c>
    </row>
    <row r="87" spans="1:10" x14ac:dyDescent="0.25">
      <c r="A87" s="6" t="s">
        <v>263</v>
      </c>
      <c r="B87" s="7" t="s">
        <v>692</v>
      </c>
      <c r="C87" s="142">
        <v>309.77800000000002</v>
      </c>
      <c r="D87" s="143">
        <v>50.81</v>
      </c>
      <c r="E87" s="144">
        <f t="shared" si="4"/>
        <v>15739.820180000002</v>
      </c>
      <c r="F87" s="145">
        <f t="shared" si="7"/>
        <v>1.0180574589660487E-3</v>
      </c>
      <c r="G87" s="146">
        <v>2.4567000000000002E-2</v>
      </c>
      <c r="H87" s="146">
        <v>4.4950000000000004E-2</v>
      </c>
      <c r="I87" s="147">
        <f t="shared" si="5"/>
        <v>2.501061759441892E-5</v>
      </c>
      <c r="J87" s="147">
        <f t="shared" si="6"/>
        <v>4.5761682780523897E-5</v>
      </c>
    </row>
    <row r="88" spans="1:10" x14ac:dyDescent="0.25">
      <c r="A88" s="6" t="s">
        <v>424</v>
      </c>
      <c r="B88" s="7" t="s">
        <v>817</v>
      </c>
      <c r="C88" s="142">
        <v>109.136</v>
      </c>
      <c r="D88" s="143">
        <v>82.84</v>
      </c>
      <c r="E88" s="144">
        <f t="shared" si="4"/>
        <v>9040.8262400000003</v>
      </c>
      <c r="F88" s="145">
        <f t="shared" si="7"/>
        <v>5.8476402421313908E-4</v>
      </c>
      <c r="G88" s="146">
        <v>1.5937999999999997E-2</v>
      </c>
      <c r="H88" s="146">
        <v>0.106</v>
      </c>
      <c r="I88" s="147">
        <f t="shared" si="5"/>
        <v>9.3199690179090098E-6</v>
      </c>
      <c r="J88" s="147">
        <f t="shared" si="6"/>
        <v>6.1984986566592738E-5</v>
      </c>
    </row>
    <row r="89" spans="1:10" x14ac:dyDescent="0.25">
      <c r="A89" s="6" t="s">
        <v>267</v>
      </c>
      <c r="B89" s="7" t="s">
        <v>696</v>
      </c>
      <c r="C89" s="142">
        <v>590.11</v>
      </c>
      <c r="D89" s="143">
        <v>54.13</v>
      </c>
      <c r="E89" s="144">
        <f t="shared" si="4"/>
        <v>31942.654300000002</v>
      </c>
      <c r="F89" s="145">
        <f t="shared" si="7"/>
        <v>2.0660628328276701E-3</v>
      </c>
      <c r="G89" s="146">
        <v>2.2172999999999998E-2</v>
      </c>
      <c r="H89" s="146">
        <v>0.19117000000000001</v>
      </c>
      <c r="I89" s="147">
        <f t="shared" si="5"/>
        <v>4.5810811192287926E-5</v>
      </c>
      <c r="J89" s="147">
        <f t="shared" si="6"/>
        <v>3.9496923175166572E-4</v>
      </c>
    </row>
    <row r="90" spans="1:10" x14ac:dyDescent="0.25">
      <c r="A90" s="6" t="s">
        <v>1208</v>
      </c>
      <c r="B90" s="7" t="s">
        <v>1209</v>
      </c>
      <c r="C90" s="142">
        <v>149.53100000000001</v>
      </c>
      <c r="D90" s="143">
        <v>43.97</v>
      </c>
      <c r="E90" s="144">
        <f t="shared" si="4"/>
        <v>6574.8780699999998</v>
      </c>
      <c r="F90" s="145">
        <f t="shared" si="7"/>
        <v>0</v>
      </c>
      <c r="G90" s="146" t="s">
        <v>1109</v>
      </c>
      <c r="H90" s="146">
        <v>0.1653</v>
      </c>
      <c r="I90" s="147" t="str">
        <f t="shared" si="5"/>
        <v>n/a</v>
      </c>
      <c r="J90" s="147">
        <f t="shared" si="6"/>
        <v>0</v>
      </c>
    </row>
    <row r="91" spans="1:10" x14ac:dyDescent="0.25">
      <c r="A91" s="6" t="s">
        <v>273</v>
      </c>
      <c r="B91" s="7" t="s">
        <v>701</v>
      </c>
      <c r="C91" s="142">
        <v>562.98599999999999</v>
      </c>
      <c r="D91" s="143">
        <v>28.24</v>
      </c>
      <c r="E91" s="144">
        <f t="shared" si="4"/>
        <v>15898.724639999999</v>
      </c>
      <c r="F91" s="145">
        <f t="shared" si="7"/>
        <v>0</v>
      </c>
      <c r="G91" s="146">
        <v>7.6486999999999999E-2</v>
      </c>
      <c r="H91" s="146">
        <v>-1.29E-2</v>
      </c>
      <c r="I91" s="147">
        <f t="shared" si="5"/>
        <v>0</v>
      </c>
      <c r="J91" s="147">
        <f t="shared" si="6"/>
        <v>0</v>
      </c>
    </row>
    <row r="92" spans="1:10" x14ac:dyDescent="0.25">
      <c r="A92" s="6" t="s">
        <v>281</v>
      </c>
      <c r="B92" s="7" t="s">
        <v>707</v>
      </c>
      <c r="C92" s="142">
        <v>227.047</v>
      </c>
      <c r="D92" s="143">
        <v>129.4</v>
      </c>
      <c r="E92" s="144">
        <f t="shared" si="4"/>
        <v>29379.881799999999</v>
      </c>
      <c r="F92" s="145">
        <f t="shared" si="7"/>
        <v>1.9003017485572605E-3</v>
      </c>
      <c r="G92" s="146">
        <v>1.7618000000000002E-2</v>
      </c>
      <c r="H92" s="146">
        <v>9.7500000000000003E-2</v>
      </c>
      <c r="I92" s="147">
        <f t="shared" si="5"/>
        <v>3.3479516206081822E-5</v>
      </c>
      <c r="J92" s="147">
        <f t="shared" si="6"/>
        <v>1.852794204843329E-4</v>
      </c>
    </row>
    <row r="93" spans="1:10" x14ac:dyDescent="0.25">
      <c r="A93" s="6" t="s">
        <v>282</v>
      </c>
      <c r="B93" s="7" t="s">
        <v>708</v>
      </c>
      <c r="C93" s="142">
        <v>257.495</v>
      </c>
      <c r="D93" s="143">
        <v>134.07</v>
      </c>
      <c r="E93" s="144">
        <f t="shared" si="4"/>
        <v>34522.354650000001</v>
      </c>
      <c r="F93" s="145">
        <f t="shared" si="7"/>
        <v>2.2329188167703549E-3</v>
      </c>
      <c r="G93" s="146">
        <v>2.9799999999999998E-4</v>
      </c>
      <c r="H93" s="146">
        <v>0.11448</v>
      </c>
      <c r="I93" s="147">
        <f t="shared" si="5"/>
        <v>6.6540980739756573E-7</v>
      </c>
      <c r="J93" s="147">
        <f t="shared" si="6"/>
        <v>2.5562454614387023E-4</v>
      </c>
    </row>
    <row r="94" spans="1:10" x14ac:dyDescent="0.25">
      <c r="A94" s="6" t="s">
        <v>373</v>
      </c>
      <c r="B94" s="7" t="s">
        <v>1035</v>
      </c>
      <c r="C94" s="142">
        <v>1168.2070000000001</v>
      </c>
      <c r="D94" s="143">
        <v>5.1349999999999998</v>
      </c>
      <c r="E94" s="144">
        <f t="shared" si="4"/>
        <v>5998.742945</v>
      </c>
      <c r="F94" s="145">
        <f t="shared" si="7"/>
        <v>3.8800093836759516E-4</v>
      </c>
      <c r="G94" s="146">
        <v>8.1792000000000004E-2</v>
      </c>
      <c r="H94" s="146">
        <v>0.03</v>
      </c>
      <c r="I94" s="147">
        <f t="shared" si="5"/>
        <v>3.1735372750962346E-5</v>
      </c>
      <c r="J94" s="147">
        <f t="shared" si="6"/>
        <v>1.1640028151027855E-5</v>
      </c>
    </row>
    <row r="95" spans="1:10" x14ac:dyDescent="0.25">
      <c r="A95" s="6" t="s">
        <v>288</v>
      </c>
      <c r="B95" s="7" t="s">
        <v>710</v>
      </c>
      <c r="C95" s="142">
        <v>129.126</v>
      </c>
      <c r="D95" s="143">
        <v>121.94</v>
      </c>
      <c r="E95" s="144">
        <f t="shared" si="4"/>
        <v>15745.62444</v>
      </c>
      <c r="F95" s="145">
        <f t="shared" si="7"/>
        <v>1.0184328806747596E-3</v>
      </c>
      <c r="G95" s="146">
        <v>2.5258000000000003E-2</v>
      </c>
      <c r="H95" s="146">
        <v>6.8179999999999991E-2</v>
      </c>
      <c r="I95" s="147">
        <f t="shared" si="5"/>
        <v>2.5723577700083081E-5</v>
      </c>
      <c r="J95" s="147">
        <f t="shared" si="6"/>
        <v>6.9436753804405103E-5</v>
      </c>
    </row>
    <row r="96" spans="1:10" x14ac:dyDescent="0.25">
      <c r="A96" s="6" t="s">
        <v>290</v>
      </c>
      <c r="B96" s="7" t="s">
        <v>711</v>
      </c>
      <c r="C96" s="142">
        <v>277.88</v>
      </c>
      <c r="D96" s="143">
        <v>36.1</v>
      </c>
      <c r="E96" s="144">
        <f t="shared" si="4"/>
        <v>10031.468000000001</v>
      </c>
      <c r="F96" s="145">
        <f t="shared" si="7"/>
        <v>6.4883910394071792E-4</v>
      </c>
      <c r="G96" s="146">
        <v>3.2132999999999995E-2</v>
      </c>
      <c r="H96" s="146">
        <v>6.5250000000000002E-2</v>
      </c>
      <c r="I96" s="147">
        <f t="shared" si="5"/>
        <v>2.0849146926927086E-5</v>
      </c>
      <c r="J96" s="147">
        <f t="shared" si="6"/>
        <v>4.2336751532131844E-5</v>
      </c>
    </row>
    <row r="97" spans="1:10" x14ac:dyDescent="0.25">
      <c r="A97" s="6" t="s">
        <v>293</v>
      </c>
      <c r="B97" s="7" t="s">
        <v>714</v>
      </c>
      <c r="C97" s="142">
        <v>226.952</v>
      </c>
      <c r="D97" s="143">
        <v>51.39</v>
      </c>
      <c r="E97" s="144">
        <f t="shared" si="4"/>
        <v>11663.06328</v>
      </c>
      <c r="F97" s="145">
        <f t="shared" si="7"/>
        <v>7.5437129718193693E-4</v>
      </c>
      <c r="G97" s="146">
        <v>2.1794000000000001E-2</v>
      </c>
      <c r="H97" s="146">
        <v>6.0400000000000002E-2</v>
      </c>
      <c r="I97" s="147">
        <f t="shared" si="5"/>
        <v>1.6440768050783135E-5</v>
      </c>
      <c r="J97" s="147">
        <f t="shared" si="6"/>
        <v>4.5564026349788995E-5</v>
      </c>
    </row>
    <row r="98" spans="1:10" x14ac:dyDescent="0.25">
      <c r="A98" s="6" t="s">
        <v>295</v>
      </c>
      <c r="B98" s="7" t="s">
        <v>715</v>
      </c>
      <c r="C98" s="142">
        <v>896.92200000000003</v>
      </c>
      <c r="D98" s="143">
        <v>66.38</v>
      </c>
      <c r="E98" s="144">
        <f t="shared" si="4"/>
        <v>59537.682359999999</v>
      </c>
      <c r="F98" s="145">
        <f t="shared" si="7"/>
        <v>3.8509195736027356E-3</v>
      </c>
      <c r="G98" s="146">
        <v>2.2892000000000003E-2</v>
      </c>
      <c r="H98" s="146">
        <v>7.9030000000000003E-2</v>
      </c>
      <c r="I98" s="147">
        <f t="shared" si="5"/>
        <v>8.8155250878913834E-5</v>
      </c>
      <c r="J98" s="147">
        <f t="shared" si="6"/>
        <v>3.0433817390182423E-4</v>
      </c>
    </row>
    <row r="99" spans="1:10" x14ac:dyDescent="0.25">
      <c r="A99" s="6" t="s">
        <v>297</v>
      </c>
      <c r="B99" s="7" t="s">
        <v>716</v>
      </c>
      <c r="C99" s="142">
        <v>176.73500000000001</v>
      </c>
      <c r="D99" s="143">
        <v>43.43</v>
      </c>
      <c r="E99" s="144">
        <f t="shared" si="4"/>
        <v>7675.6010500000002</v>
      </c>
      <c r="F99" s="145">
        <f t="shared" si="7"/>
        <v>4.9646074806682669E-4</v>
      </c>
      <c r="G99" s="146">
        <v>1.9341000000000001E-2</v>
      </c>
      <c r="H99" s="146">
        <v>9.2749999999999999E-2</v>
      </c>
      <c r="I99" s="147">
        <f t="shared" si="5"/>
        <v>9.602047328360495E-6</v>
      </c>
      <c r="J99" s="147">
        <f t="shared" si="6"/>
        <v>4.6046734383198173E-5</v>
      </c>
    </row>
    <row r="100" spans="1:10" x14ac:dyDescent="0.25">
      <c r="A100" s="6" t="s">
        <v>259</v>
      </c>
      <c r="B100" s="7" t="s">
        <v>111</v>
      </c>
      <c r="C100" s="142">
        <v>438.74200000000002</v>
      </c>
      <c r="D100" s="143">
        <v>27.73</v>
      </c>
      <c r="E100" s="144">
        <f t="shared" si="4"/>
        <v>12166.31566</v>
      </c>
      <c r="F100" s="145">
        <f t="shared" si="7"/>
        <v>7.8692184943363465E-4</v>
      </c>
      <c r="G100" s="146">
        <v>3.6061999999999997E-2</v>
      </c>
      <c r="H100" s="146">
        <v>5.5E-2</v>
      </c>
      <c r="I100" s="147">
        <f t="shared" si="5"/>
        <v>2.8377975734275732E-5</v>
      </c>
      <c r="J100" s="147">
        <f t="shared" si="6"/>
        <v>4.3280701718849903E-5</v>
      </c>
    </row>
    <row r="101" spans="1:10" x14ac:dyDescent="0.25">
      <c r="A101" s="6" t="s">
        <v>298</v>
      </c>
      <c r="B101" s="7" t="s">
        <v>717</v>
      </c>
      <c r="C101" s="142">
        <v>138.33199999999999</v>
      </c>
      <c r="D101" s="143">
        <v>66.63</v>
      </c>
      <c r="E101" s="144">
        <f t="shared" si="4"/>
        <v>9217.0611599999993</v>
      </c>
      <c r="F101" s="145">
        <f t="shared" si="7"/>
        <v>5.9616296478453537E-4</v>
      </c>
      <c r="G101" s="146">
        <v>1.3808000000000001E-2</v>
      </c>
      <c r="H101" s="146">
        <v>9.3000000000000013E-2</v>
      </c>
      <c r="I101" s="147">
        <f t="shared" si="5"/>
        <v>8.2318182177448647E-6</v>
      </c>
      <c r="J101" s="147">
        <f t="shared" si="6"/>
        <v>5.54431557249618E-5</v>
      </c>
    </row>
    <row r="102" spans="1:10" x14ac:dyDescent="0.25">
      <c r="A102" s="6" t="s">
        <v>299</v>
      </c>
      <c r="B102" s="7" t="s">
        <v>718</v>
      </c>
      <c r="C102" s="142">
        <v>432.911</v>
      </c>
      <c r="D102" s="143">
        <v>40.57</v>
      </c>
      <c r="E102" s="144">
        <f t="shared" si="4"/>
        <v>17563.199270000001</v>
      </c>
      <c r="F102" s="145">
        <f t="shared" si="7"/>
        <v>1.1359943008021429E-3</v>
      </c>
      <c r="G102" s="146">
        <v>2.4649000000000001E-2</v>
      </c>
      <c r="H102" s="146">
        <v>8.5000000000000006E-2</v>
      </c>
      <c r="I102" s="147">
        <f t="shared" si="5"/>
        <v>2.8001123520472024E-5</v>
      </c>
      <c r="J102" s="147">
        <f t="shared" si="6"/>
        <v>9.6559515568182163E-5</v>
      </c>
    </row>
    <row r="103" spans="1:10" x14ac:dyDescent="0.25">
      <c r="A103" s="23" t="s">
        <v>302</v>
      </c>
      <c r="B103" s="7" t="s">
        <v>721</v>
      </c>
      <c r="C103" s="142">
        <v>292.87200000000001</v>
      </c>
      <c r="D103" s="143">
        <v>65.790000000000006</v>
      </c>
      <c r="E103" s="144">
        <f t="shared" si="4"/>
        <v>19268.048880000002</v>
      </c>
      <c r="F103" s="145">
        <f t="shared" si="7"/>
        <v>1.2462646115189875E-3</v>
      </c>
      <c r="G103" s="146">
        <v>3.952E-2</v>
      </c>
      <c r="H103" s="146">
        <v>2.9500000000000002E-2</v>
      </c>
      <c r="I103" s="147">
        <f t="shared" si="5"/>
        <v>4.9252377447230388E-5</v>
      </c>
      <c r="J103" s="147">
        <f t="shared" si="6"/>
        <v>3.6764806039810136E-5</v>
      </c>
    </row>
    <row r="104" spans="1:10" x14ac:dyDescent="0.25">
      <c r="A104" s="6" t="s">
        <v>1125</v>
      </c>
      <c r="B104" s="7" t="s">
        <v>1126</v>
      </c>
      <c r="C104" s="142">
        <v>99.507999999999996</v>
      </c>
      <c r="D104" s="143">
        <v>118.71</v>
      </c>
      <c r="E104" s="144">
        <f t="shared" si="4"/>
        <v>11812.594679999998</v>
      </c>
      <c r="F104" s="145">
        <f t="shared" si="7"/>
        <v>7.6404304408747461E-4</v>
      </c>
      <c r="G104" s="146">
        <v>2.0216999999999999E-2</v>
      </c>
      <c r="H104" s="146">
        <v>5.7200000000000001E-2</v>
      </c>
      <c r="I104" s="147">
        <f t="shared" si="5"/>
        <v>1.5446658222316473E-5</v>
      </c>
      <c r="J104" s="147">
        <f t="shared" si="6"/>
        <v>4.3703262121803549E-5</v>
      </c>
    </row>
    <row r="105" spans="1:10" x14ac:dyDescent="0.25">
      <c r="A105" s="6" t="s">
        <v>304</v>
      </c>
      <c r="B105" s="7" t="s">
        <v>723</v>
      </c>
      <c r="C105" s="142">
        <v>1182.9839999999999</v>
      </c>
      <c r="D105" s="143">
        <v>18.62</v>
      </c>
      <c r="E105" s="144">
        <f t="shared" si="4"/>
        <v>22027.162079999998</v>
      </c>
      <c r="F105" s="145">
        <f t="shared" si="7"/>
        <v>1.4247250857346262E-3</v>
      </c>
      <c r="G105" s="146">
        <v>2.5779E-2</v>
      </c>
      <c r="H105" s="146">
        <v>5.5469999999999998E-2</v>
      </c>
      <c r="I105" s="147">
        <f t="shared" si="5"/>
        <v>3.6727987985152927E-5</v>
      </c>
      <c r="J105" s="147">
        <f t="shared" si="6"/>
        <v>7.9029500505699716E-5</v>
      </c>
    </row>
    <row r="106" spans="1:10" x14ac:dyDescent="0.25">
      <c r="A106" s="6" t="s">
        <v>308</v>
      </c>
      <c r="B106" s="7" t="s">
        <v>726</v>
      </c>
      <c r="C106" s="142">
        <v>974.94500000000005</v>
      </c>
      <c r="D106" s="143">
        <v>27.02</v>
      </c>
      <c r="E106" s="144">
        <f t="shared" si="4"/>
        <v>26343.013900000002</v>
      </c>
      <c r="F106" s="145">
        <f t="shared" si="7"/>
        <v>1.7038759964118789E-3</v>
      </c>
      <c r="G106" s="146">
        <v>2.6646999999999997E-2</v>
      </c>
      <c r="H106" s="146">
        <v>8.5870000000000002E-2</v>
      </c>
      <c r="I106" s="147">
        <f t="shared" si="5"/>
        <v>4.5403183676387331E-5</v>
      </c>
      <c r="J106" s="147">
        <f t="shared" si="6"/>
        <v>1.4631183181188805E-4</v>
      </c>
    </row>
    <row r="107" spans="1:10" x14ac:dyDescent="0.25">
      <c r="A107" s="6" t="s">
        <v>309</v>
      </c>
      <c r="B107" s="7" t="s">
        <v>727</v>
      </c>
      <c r="C107" s="142">
        <v>177.62100000000001</v>
      </c>
      <c r="D107" s="143">
        <v>103.59</v>
      </c>
      <c r="E107" s="144">
        <f t="shared" si="4"/>
        <v>18399.759390000003</v>
      </c>
      <c r="F107" s="145">
        <f t="shared" si="7"/>
        <v>1.1901033223983182E-3</v>
      </c>
      <c r="G107" s="146">
        <v>3.7648000000000001E-2</v>
      </c>
      <c r="H107" s="146">
        <v>7.3469999999999994E-2</v>
      </c>
      <c r="I107" s="147">
        <f t="shared" si="5"/>
        <v>4.4805009881651882E-5</v>
      </c>
      <c r="J107" s="147">
        <f t="shared" si="6"/>
        <v>8.7436891096604431E-5</v>
      </c>
    </row>
    <row r="108" spans="1:10" x14ac:dyDescent="0.25">
      <c r="A108" s="6" t="s">
        <v>310</v>
      </c>
      <c r="B108" s="7" t="s">
        <v>729</v>
      </c>
      <c r="C108" s="142">
        <v>685.28499999999997</v>
      </c>
      <c r="D108" s="143">
        <v>93.39</v>
      </c>
      <c r="E108" s="144">
        <f t="shared" si="4"/>
        <v>63998.766149999996</v>
      </c>
      <c r="F108" s="145">
        <f t="shared" si="7"/>
        <v>4.1394641424443105E-3</v>
      </c>
      <c r="G108" s="146">
        <v>5.7820000000000007E-3</v>
      </c>
      <c r="H108" s="146">
        <v>0.129</v>
      </c>
      <c r="I108" s="147">
        <f t="shared" si="5"/>
        <v>2.3934381671613007E-5</v>
      </c>
      <c r="J108" s="147">
        <f t="shared" si="6"/>
        <v>5.339908743753161E-4</v>
      </c>
    </row>
    <row r="109" spans="1:10" x14ac:dyDescent="0.25">
      <c r="A109" s="6" t="s">
        <v>577</v>
      </c>
      <c r="B109" s="7" t="s">
        <v>941</v>
      </c>
      <c r="C109" s="142">
        <v>628.42999999999995</v>
      </c>
      <c r="D109" s="143">
        <v>77.23</v>
      </c>
      <c r="E109" s="144">
        <f t="shared" si="4"/>
        <v>48533.6489</v>
      </c>
      <c r="F109" s="145">
        <f t="shared" si="7"/>
        <v>3.1391745717824558E-3</v>
      </c>
      <c r="G109" s="146">
        <v>2.9003999999999999E-2</v>
      </c>
      <c r="H109" s="146">
        <v>9.6460000000000004E-2</v>
      </c>
      <c r="I109" s="147">
        <f t="shared" si="5"/>
        <v>9.1048619279978345E-5</v>
      </c>
      <c r="J109" s="147">
        <f t="shared" si="6"/>
        <v>3.028047791941357E-4</v>
      </c>
    </row>
    <row r="110" spans="1:10" x14ac:dyDescent="0.25">
      <c r="A110" s="6" t="s">
        <v>313</v>
      </c>
      <c r="B110" s="7" t="s">
        <v>732</v>
      </c>
      <c r="C110" s="142">
        <v>328.166</v>
      </c>
      <c r="D110" s="143">
        <v>78.11</v>
      </c>
      <c r="E110" s="144">
        <f t="shared" si="4"/>
        <v>25633.046259999999</v>
      </c>
      <c r="F110" s="145">
        <f t="shared" si="7"/>
        <v>1.6579550237920682E-3</v>
      </c>
      <c r="G110" s="146">
        <v>3.073E-2</v>
      </c>
      <c r="H110" s="146">
        <v>4.9200000000000001E-2</v>
      </c>
      <c r="I110" s="147">
        <f t="shared" si="5"/>
        <v>5.0948957881130257E-5</v>
      </c>
      <c r="J110" s="147">
        <f t="shared" si="6"/>
        <v>8.1571387170569756E-5</v>
      </c>
    </row>
    <row r="111" spans="1:10" x14ac:dyDescent="0.25">
      <c r="A111" s="6" t="s">
        <v>323</v>
      </c>
      <c r="B111" s="7" t="s">
        <v>739</v>
      </c>
      <c r="C111" s="142">
        <v>594.322</v>
      </c>
      <c r="D111" s="143">
        <v>71.5</v>
      </c>
      <c r="E111" s="144">
        <f t="shared" si="4"/>
        <v>42494.023000000001</v>
      </c>
      <c r="F111" s="145">
        <f t="shared" si="7"/>
        <v>2.7485293085873631E-3</v>
      </c>
      <c r="G111" s="146">
        <v>3.6223999999999999E-2</v>
      </c>
      <c r="H111" s="146">
        <v>6.2329999999999997E-2</v>
      </c>
      <c r="I111" s="147">
        <f t="shared" si="5"/>
        <v>9.9562725674268634E-5</v>
      </c>
      <c r="J111" s="147">
        <f t="shared" si="6"/>
        <v>1.7131583180425032E-4</v>
      </c>
    </row>
    <row r="112" spans="1:10" x14ac:dyDescent="0.25">
      <c r="A112" s="6" t="s">
        <v>324</v>
      </c>
      <c r="B112" s="7" t="s">
        <v>740</v>
      </c>
      <c r="C112" s="142">
        <v>154.96600000000001</v>
      </c>
      <c r="D112" s="143">
        <v>64.47</v>
      </c>
      <c r="E112" s="144">
        <f t="shared" si="4"/>
        <v>9990.6580200000008</v>
      </c>
      <c r="F112" s="145">
        <f t="shared" si="7"/>
        <v>6.46199499163527E-4</v>
      </c>
      <c r="G112" s="146">
        <v>2.6059000000000002E-2</v>
      </c>
      <c r="H112" s="146">
        <v>0.12</v>
      </c>
      <c r="I112" s="147">
        <f t="shared" si="5"/>
        <v>1.6839312748702352E-5</v>
      </c>
      <c r="J112" s="147">
        <f t="shared" si="6"/>
        <v>7.7543939899623232E-5</v>
      </c>
    </row>
    <row r="113" spans="1:10" x14ac:dyDescent="0.25">
      <c r="A113" s="6" t="s">
        <v>325</v>
      </c>
      <c r="B113" s="7" t="s">
        <v>741</v>
      </c>
      <c r="C113" s="142">
        <v>1158.615</v>
      </c>
      <c r="D113" s="143">
        <v>51.72</v>
      </c>
      <c r="E113" s="144">
        <f t="shared" si="4"/>
        <v>59923.567799999997</v>
      </c>
      <c r="F113" s="145">
        <f t="shared" si="7"/>
        <v>3.875878788257397E-3</v>
      </c>
      <c r="G113" s="146">
        <v>3.5575999999999997E-2</v>
      </c>
      <c r="H113" s="146">
        <v>6.5250000000000002E-2</v>
      </c>
      <c r="I113" s="147">
        <f t="shared" si="5"/>
        <v>1.3788826377104515E-4</v>
      </c>
      <c r="J113" s="147">
        <f t="shared" si="6"/>
        <v>2.5290109093379514E-4</v>
      </c>
    </row>
    <row r="114" spans="1:10" x14ac:dyDescent="0.25">
      <c r="A114" s="6" t="s">
        <v>329</v>
      </c>
      <c r="B114" s="7" t="s">
        <v>744</v>
      </c>
      <c r="C114" s="142">
        <v>688.33</v>
      </c>
      <c r="D114" s="143">
        <v>71.55</v>
      </c>
      <c r="E114" s="144">
        <f t="shared" si="4"/>
        <v>49250.011500000001</v>
      </c>
      <c r="F114" s="145">
        <f t="shared" si="7"/>
        <v>3.1855091728080131E-3</v>
      </c>
      <c r="G114" s="146">
        <v>4.6121999999999996E-2</v>
      </c>
      <c r="H114" s="146">
        <v>4.5440000000000008E-2</v>
      </c>
      <c r="I114" s="147">
        <f t="shared" si="5"/>
        <v>1.4692205406825117E-4</v>
      </c>
      <c r="J114" s="147">
        <f t="shared" si="6"/>
        <v>1.4474953681239614E-4</v>
      </c>
    </row>
    <row r="115" spans="1:10" x14ac:dyDescent="0.25">
      <c r="A115" s="6" t="s">
        <v>333</v>
      </c>
      <c r="B115" s="7" t="s">
        <v>747</v>
      </c>
      <c r="C115" s="142">
        <v>462.8</v>
      </c>
      <c r="D115" s="143">
        <v>55.99</v>
      </c>
      <c r="E115" s="144">
        <f t="shared" si="4"/>
        <v>25912.172000000002</v>
      </c>
      <c r="F115" s="145">
        <f t="shared" si="7"/>
        <v>1.6760089811020443E-3</v>
      </c>
      <c r="G115" s="146">
        <v>3.9293000000000002E-2</v>
      </c>
      <c r="H115" s="146">
        <v>8.5139999999999993E-2</v>
      </c>
      <c r="I115" s="147">
        <f t="shared" si="5"/>
        <v>6.5855420894442629E-5</v>
      </c>
      <c r="J115" s="147">
        <f t="shared" si="6"/>
        <v>1.4269540465102805E-4</v>
      </c>
    </row>
    <row r="116" spans="1:10" x14ac:dyDescent="0.25">
      <c r="A116" s="6" t="s">
        <v>335</v>
      </c>
      <c r="B116" s="7" t="s">
        <v>748</v>
      </c>
      <c r="C116" s="142">
        <v>295.09199999999998</v>
      </c>
      <c r="D116" s="143">
        <v>120.35</v>
      </c>
      <c r="E116" s="144">
        <f t="shared" si="4"/>
        <v>35514.322199999995</v>
      </c>
      <c r="F116" s="145">
        <f t="shared" si="7"/>
        <v>2.2970796490912339E-3</v>
      </c>
      <c r="G116" s="146">
        <v>1.0968E-2</v>
      </c>
      <c r="H116" s="146">
        <v>0.13167000000000001</v>
      </c>
      <c r="I116" s="147">
        <f t="shared" si="5"/>
        <v>2.5194369591232655E-5</v>
      </c>
      <c r="J116" s="147">
        <f t="shared" si="6"/>
        <v>3.0245647739584279E-4</v>
      </c>
    </row>
    <row r="117" spans="1:10" x14ac:dyDescent="0.25">
      <c r="A117" s="6" t="s">
        <v>510</v>
      </c>
      <c r="B117" s="7" t="s">
        <v>883</v>
      </c>
      <c r="C117" s="142">
        <v>113.383</v>
      </c>
      <c r="D117" s="143">
        <v>51.67</v>
      </c>
      <c r="E117" s="144">
        <f t="shared" si="4"/>
        <v>5858.4996099999998</v>
      </c>
      <c r="F117" s="145">
        <f t="shared" si="7"/>
        <v>3.7892994698178223E-4</v>
      </c>
      <c r="G117" s="146">
        <v>5.4190000000000002E-3</v>
      </c>
      <c r="H117" s="146">
        <v>8.5429999999999992E-2</v>
      </c>
      <c r="I117" s="147">
        <f t="shared" si="5"/>
        <v>2.0534213826942781E-6</v>
      </c>
      <c r="J117" s="147">
        <f t="shared" si="6"/>
        <v>3.2371985370653656E-5</v>
      </c>
    </row>
    <row r="118" spans="1:10" x14ac:dyDescent="0.25">
      <c r="A118" s="6" t="s">
        <v>341</v>
      </c>
      <c r="B118" s="7" t="s">
        <v>753</v>
      </c>
      <c r="C118" s="142">
        <v>1939.73</v>
      </c>
      <c r="D118" s="143">
        <v>26.23</v>
      </c>
      <c r="E118" s="144">
        <f t="shared" si="4"/>
        <v>50879.117900000005</v>
      </c>
      <c r="F118" s="145">
        <f t="shared" si="7"/>
        <v>3.290880384359512E-3</v>
      </c>
      <c r="G118" s="146">
        <v>1.7537000000000001E-2</v>
      </c>
      <c r="H118" s="146">
        <v>8.5329999999999989E-2</v>
      </c>
      <c r="I118" s="147">
        <f t="shared" si="5"/>
        <v>5.7712169300512763E-5</v>
      </c>
      <c r="J118" s="147">
        <f t="shared" si="6"/>
        <v>2.8081082319739712E-4</v>
      </c>
    </row>
    <row r="119" spans="1:10" x14ac:dyDescent="0.25">
      <c r="A119" s="6" t="s">
        <v>342</v>
      </c>
      <c r="B119" s="7" t="s">
        <v>754</v>
      </c>
      <c r="C119" s="142">
        <v>657.14</v>
      </c>
      <c r="D119" s="143">
        <v>47.25</v>
      </c>
      <c r="E119" s="144">
        <f t="shared" si="4"/>
        <v>31049.864999999998</v>
      </c>
      <c r="F119" s="145">
        <f t="shared" si="7"/>
        <v>2.0083168868285537E-3</v>
      </c>
      <c r="G119" s="146">
        <v>3.9784E-2</v>
      </c>
      <c r="H119" s="146">
        <v>4.7080000000000004E-2</v>
      </c>
      <c r="I119" s="147">
        <f t="shared" si="5"/>
        <v>7.9898879025587182E-5</v>
      </c>
      <c r="J119" s="147">
        <f t="shared" si="6"/>
        <v>9.4551559031888323E-5</v>
      </c>
    </row>
    <row r="120" spans="1:10" x14ac:dyDescent="0.25">
      <c r="A120" s="6" t="s">
        <v>345</v>
      </c>
      <c r="B120" s="7" t="s">
        <v>757</v>
      </c>
      <c r="C120" s="142">
        <v>549.17100000000005</v>
      </c>
      <c r="D120" s="143">
        <v>85.93</v>
      </c>
      <c r="E120" s="144">
        <f t="shared" si="4"/>
        <v>47190.264030000006</v>
      </c>
      <c r="F120" s="145">
        <f t="shared" si="7"/>
        <v>0</v>
      </c>
      <c r="G120" s="146">
        <v>7.7969999999999992E-3</v>
      </c>
      <c r="H120" s="146">
        <v>-4.6769999999999999E-2</v>
      </c>
      <c r="I120" s="147">
        <f t="shared" si="5"/>
        <v>0</v>
      </c>
      <c r="J120" s="147">
        <f t="shared" si="6"/>
        <v>0</v>
      </c>
    </row>
    <row r="121" spans="1:10" x14ac:dyDescent="0.25">
      <c r="A121" s="6" t="s">
        <v>344</v>
      </c>
      <c r="B121" s="7" t="s">
        <v>756</v>
      </c>
      <c r="C121" s="142">
        <v>179.52799999999999</v>
      </c>
      <c r="D121" s="143">
        <v>68.209999999999994</v>
      </c>
      <c r="E121" s="144">
        <f t="shared" si="4"/>
        <v>12245.604879999999</v>
      </c>
      <c r="F121" s="145">
        <f t="shared" si="7"/>
        <v>7.9205030585267097E-4</v>
      </c>
      <c r="G121" s="146">
        <v>4.9846000000000001E-2</v>
      </c>
      <c r="H121" s="146">
        <v>3.3000000000000002E-2</v>
      </c>
      <c r="I121" s="147">
        <f t="shared" si="5"/>
        <v>3.9480539545532236E-5</v>
      </c>
      <c r="J121" s="147">
        <f t="shared" si="6"/>
        <v>2.6137660093138143E-5</v>
      </c>
    </row>
    <row r="122" spans="1:10" x14ac:dyDescent="0.25">
      <c r="A122" s="6" t="s">
        <v>347</v>
      </c>
      <c r="B122" s="7" t="s">
        <v>759</v>
      </c>
      <c r="C122" s="142">
        <v>118.476</v>
      </c>
      <c r="D122" s="143">
        <v>106.65</v>
      </c>
      <c r="E122" s="144">
        <f t="shared" si="4"/>
        <v>12635.465400000001</v>
      </c>
      <c r="F122" s="145">
        <f t="shared" si="7"/>
        <v>8.1726663016917821E-4</v>
      </c>
      <c r="G122" s="146">
        <v>1.0877E-2</v>
      </c>
      <c r="H122" s="146">
        <v>0.14000000000000001</v>
      </c>
      <c r="I122" s="147">
        <f t="shared" si="5"/>
        <v>8.8894091363501508E-6</v>
      </c>
      <c r="J122" s="147">
        <f t="shared" si="6"/>
        <v>1.1441732822368497E-4</v>
      </c>
    </row>
    <row r="123" spans="1:10" x14ac:dyDescent="0.25">
      <c r="A123" s="6" t="s">
        <v>346</v>
      </c>
      <c r="B123" s="7" t="s">
        <v>758</v>
      </c>
      <c r="C123" s="142">
        <v>152.54</v>
      </c>
      <c r="D123" s="143">
        <v>66.099999999999994</v>
      </c>
      <c r="E123" s="144">
        <f t="shared" si="4"/>
        <v>10082.893999999998</v>
      </c>
      <c r="F123" s="145">
        <f t="shared" si="7"/>
        <v>6.5216535686394455E-4</v>
      </c>
      <c r="G123" s="146">
        <v>1.815E-3</v>
      </c>
      <c r="H123" s="146">
        <v>0.25</v>
      </c>
      <c r="I123" s="147">
        <f t="shared" si="5"/>
        <v>1.1836801227080593E-6</v>
      </c>
      <c r="J123" s="147">
        <f t="shared" si="6"/>
        <v>1.6304133921598614E-4</v>
      </c>
    </row>
    <row r="124" spans="1:10" x14ac:dyDescent="0.25">
      <c r="A124" s="6" t="s">
        <v>633</v>
      </c>
      <c r="B124" s="7" t="s">
        <v>988</v>
      </c>
      <c r="C124" s="142">
        <v>302.31400000000002</v>
      </c>
      <c r="D124" s="143">
        <v>38.090000000000003</v>
      </c>
      <c r="E124" s="144">
        <f t="shared" si="4"/>
        <v>11515.140260000002</v>
      </c>
      <c r="F124" s="145">
        <f t="shared" si="7"/>
        <v>7.4480358089664312E-4</v>
      </c>
      <c r="G124" s="146">
        <v>2.1002999999999997E-2</v>
      </c>
      <c r="H124" s="146">
        <v>9.5000000000000001E-2</v>
      </c>
      <c r="I124" s="147">
        <f t="shared" si="5"/>
        <v>1.5643109609572194E-5</v>
      </c>
      <c r="J124" s="147">
        <f t="shared" si="6"/>
        <v>7.0756340185181102E-5</v>
      </c>
    </row>
    <row r="125" spans="1:10" x14ac:dyDescent="0.25">
      <c r="A125" s="6" t="s">
        <v>359</v>
      </c>
      <c r="B125" s="7" t="s">
        <v>765</v>
      </c>
      <c r="C125" s="142">
        <v>282.37900000000002</v>
      </c>
      <c r="D125" s="143">
        <v>155.74</v>
      </c>
      <c r="E125" s="144">
        <f t="shared" si="4"/>
        <v>43977.705460000005</v>
      </c>
      <c r="F125" s="145">
        <f t="shared" si="7"/>
        <v>2.844494445283105E-3</v>
      </c>
      <c r="G125" s="146">
        <v>6.4209999999999996E-3</v>
      </c>
      <c r="H125" s="146">
        <v>0.13900000000000001</v>
      </c>
      <c r="I125" s="147">
        <f t="shared" si="5"/>
        <v>1.8264498833162816E-5</v>
      </c>
      <c r="J125" s="147">
        <f t="shared" si="6"/>
        <v>3.9538472789435165E-4</v>
      </c>
    </row>
    <row r="126" spans="1:10" x14ac:dyDescent="0.25">
      <c r="A126" s="6" t="s">
        <v>450</v>
      </c>
      <c r="B126" s="7" t="s">
        <v>839</v>
      </c>
      <c r="C126" s="142">
        <v>330.983</v>
      </c>
      <c r="D126" s="143">
        <v>51.02</v>
      </c>
      <c r="E126" s="144">
        <f t="shared" si="4"/>
        <v>16886.752660000002</v>
      </c>
      <c r="F126" s="145">
        <f t="shared" si="7"/>
        <v>1.0922414809460526E-3</v>
      </c>
      <c r="G126" s="146">
        <v>2.8223999999999999E-2</v>
      </c>
      <c r="H126" s="146">
        <v>7.8799999999999995E-2</v>
      </c>
      <c r="I126" s="147">
        <f t="shared" si="5"/>
        <v>3.0827423558221389E-5</v>
      </c>
      <c r="J126" s="147">
        <f t="shared" si="6"/>
        <v>8.606862869854894E-5</v>
      </c>
    </row>
    <row r="127" spans="1:10" x14ac:dyDescent="0.25">
      <c r="A127" s="6" t="s">
        <v>368</v>
      </c>
      <c r="B127" s="7" t="s">
        <v>770</v>
      </c>
      <c r="C127" s="142">
        <v>133.61500000000001</v>
      </c>
      <c r="D127" s="143">
        <v>40.72</v>
      </c>
      <c r="E127" s="144">
        <f t="shared" si="4"/>
        <v>5440.8028000000004</v>
      </c>
      <c r="F127" s="145">
        <f t="shared" si="7"/>
        <v>3.5191316101194258E-4</v>
      </c>
      <c r="G127" s="146">
        <v>1.6208E-2</v>
      </c>
      <c r="H127" s="146">
        <v>0.09</v>
      </c>
      <c r="I127" s="147">
        <f t="shared" si="5"/>
        <v>5.7038085136815653E-6</v>
      </c>
      <c r="J127" s="147">
        <f t="shared" si="6"/>
        <v>3.1672184491074833E-5</v>
      </c>
    </row>
    <row r="128" spans="1:10" x14ac:dyDescent="0.25">
      <c r="A128" s="6" t="s">
        <v>370</v>
      </c>
      <c r="B128" s="7" t="s">
        <v>772</v>
      </c>
      <c r="C128" s="142">
        <v>3897.7779999999998</v>
      </c>
      <c r="D128" s="143">
        <v>14.824999999999999</v>
      </c>
      <c r="E128" s="144">
        <f t="shared" si="4"/>
        <v>57784.558849999994</v>
      </c>
      <c r="F128" s="145">
        <f t="shared" si="7"/>
        <v>3.7375268889701563E-3</v>
      </c>
      <c r="G128" s="146">
        <v>4.0486000000000001E-2</v>
      </c>
      <c r="H128" s="146">
        <v>0.13793</v>
      </c>
      <c r="I128" s="147">
        <f t="shared" si="5"/>
        <v>1.5131751362684574E-4</v>
      </c>
      <c r="J128" s="147">
        <f t="shared" si="6"/>
        <v>5.1551708379565363E-4</v>
      </c>
    </row>
    <row r="129" spans="1:10" x14ac:dyDescent="0.25">
      <c r="A129" s="6" t="s">
        <v>486</v>
      </c>
      <c r="B129" s="7" t="s">
        <v>864</v>
      </c>
      <c r="C129" s="142">
        <v>460.46100000000001</v>
      </c>
      <c r="D129" s="143">
        <v>102.73</v>
      </c>
      <c r="E129" s="144">
        <f t="shared" si="4"/>
        <v>47303.158530000001</v>
      </c>
      <c r="F129" s="145">
        <f t="shared" si="7"/>
        <v>3.0595859942105113E-3</v>
      </c>
      <c r="G129" s="146">
        <v>2.9981999999999998E-2</v>
      </c>
      <c r="H129" s="146">
        <v>7.0019999999999999E-2</v>
      </c>
      <c r="I129" s="147">
        <f t="shared" si="5"/>
        <v>9.1732507278419542E-5</v>
      </c>
      <c r="J129" s="147">
        <f t="shared" si="6"/>
        <v>2.1423221131462001E-4</v>
      </c>
    </row>
    <row r="130" spans="1:10" x14ac:dyDescent="0.25">
      <c r="A130" s="6" t="s">
        <v>372</v>
      </c>
      <c r="B130" s="7" t="s">
        <v>773</v>
      </c>
      <c r="C130" s="142">
        <v>613.81799999999998</v>
      </c>
      <c r="D130" s="143">
        <v>40.75</v>
      </c>
      <c r="E130" s="144">
        <f t="shared" si="4"/>
        <v>25013.083500000001</v>
      </c>
      <c r="F130" s="145">
        <f t="shared" si="7"/>
        <v>1.6178556004898144E-3</v>
      </c>
      <c r="G130" s="146">
        <v>1.4723999999999999E-2</v>
      </c>
      <c r="H130" s="146">
        <v>6.5670000000000006E-2</v>
      </c>
      <c r="I130" s="147">
        <f t="shared" si="5"/>
        <v>2.3821305861612026E-5</v>
      </c>
      <c r="J130" s="147">
        <f t="shared" si="6"/>
        <v>1.0624457728416612E-4</v>
      </c>
    </row>
    <row r="131" spans="1:10" x14ac:dyDescent="0.25">
      <c r="A131" s="6" t="s">
        <v>1103</v>
      </c>
      <c r="B131" s="7" t="s">
        <v>774</v>
      </c>
      <c r="C131" s="142">
        <v>1136.126</v>
      </c>
      <c r="D131" s="143">
        <v>11.77</v>
      </c>
      <c r="E131" s="144">
        <f t="shared" si="4"/>
        <v>13372.203019999999</v>
      </c>
      <c r="F131" s="145">
        <f t="shared" si="7"/>
        <v>0</v>
      </c>
      <c r="G131" s="146">
        <v>1.6978E-2</v>
      </c>
      <c r="H131" s="146">
        <v>-5.2499999999999998E-2</v>
      </c>
      <c r="I131" s="147">
        <f t="shared" si="5"/>
        <v>0</v>
      </c>
      <c r="J131" s="147">
        <f t="shared" si="6"/>
        <v>0</v>
      </c>
    </row>
    <row r="132" spans="1:10" x14ac:dyDescent="0.25">
      <c r="A132" s="6" t="s">
        <v>1210</v>
      </c>
      <c r="B132" s="7" t="s">
        <v>1211</v>
      </c>
      <c r="C132" s="142">
        <v>226.47200000000001</v>
      </c>
      <c r="D132" s="143">
        <v>27.06</v>
      </c>
      <c r="E132" s="144">
        <f t="shared" si="4"/>
        <v>6128.3323199999995</v>
      </c>
      <c r="F132" s="145">
        <f t="shared" si="7"/>
        <v>3.9638282763397549E-4</v>
      </c>
      <c r="G132" s="146">
        <v>2.0695000000000002E-2</v>
      </c>
      <c r="H132" s="146">
        <v>4.0750000000000001E-2</v>
      </c>
      <c r="I132" s="147">
        <f t="shared" si="5"/>
        <v>8.2031426178851234E-6</v>
      </c>
      <c r="J132" s="147">
        <f t="shared" si="6"/>
        <v>1.6152600226084503E-5</v>
      </c>
    </row>
    <row r="133" spans="1:10" x14ac:dyDescent="0.25">
      <c r="A133" s="6" t="s">
        <v>375</v>
      </c>
      <c r="B133" s="7" t="s">
        <v>776</v>
      </c>
      <c r="C133" s="142">
        <v>406.745</v>
      </c>
      <c r="D133" s="143">
        <v>27.23</v>
      </c>
      <c r="E133" s="144">
        <f t="shared" si="4"/>
        <v>11075.66635</v>
      </c>
      <c r="F133" s="145">
        <f t="shared" si="7"/>
        <v>7.1637824394997442E-4</v>
      </c>
      <c r="G133" s="146">
        <v>3.3786000000000004E-2</v>
      </c>
      <c r="H133" s="146">
        <v>9.0380000000000002E-2</v>
      </c>
      <c r="I133" s="147">
        <f t="shared" si="5"/>
        <v>2.4203555350093838E-5</v>
      </c>
      <c r="J133" s="147">
        <f t="shared" si="6"/>
        <v>6.4746265688198689E-5</v>
      </c>
    </row>
    <row r="134" spans="1:10" x14ac:dyDescent="0.25">
      <c r="A134" s="6" t="s">
        <v>377</v>
      </c>
      <c r="B134" s="7" t="s">
        <v>777</v>
      </c>
      <c r="C134" s="142">
        <v>316.12799999999999</v>
      </c>
      <c r="D134" s="143">
        <v>148.66</v>
      </c>
      <c r="E134" s="144">
        <f t="shared" si="4"/>
        <v>46995.588479999999</v>
      </c>
      <c r="F134" s="145">
        <f t="shared" si="7"/>
        <v>3.0396922482860858E-3</v>
      </c>
      <c r="G134" s="146">
        <v>1.8565999999999999E-2</v>
      </c>
      <c r="H134" s="146">
        <v>9.1199999999999989E-2</v>
      </c>
      <c r="I134" s="147">
        <f t="shared" si="5"/>
        <v>5.6434926281679467E-5</v>
      </c>
      <c r="J134" s="147">
        <f t="shared" si="6"/>
        <v>2.7721993304369102E-4</v>
      </c>
    </row>
    <row r="135" spans="1:10" x14ac:dyDescent="0.25">
      <c r="A135" s="6" t="s">
        <v>380</v>
      </c>
      <c r="B135" s="7" t="s">
        <v>780</v>
      </c>
      <c r="C135" s="142">
        <v>597.68799999999999</v>
      </c>
      <c r="D135" s="143">
        <v>58.16</v>
      </c>
      <c r="E135" s="144">
        <f t="shared" si="4"/>
        <v>34761.534079999998</v>
      </c>
      <c r="F135" s="145">
        <f t="shared" si="7"/>
        <v>2.2483890318019182E-3</v>
      </c>
      <c r="G135" s="146">
        <v>3.0261E-2</v>
      </c>
      <c r="H135" s="146">
        <v>7.1800000000000003E-2</v>
      </c>
      <c r="I135" s="147">
        <f t="shared" si="5"/>
        <v>6.8038500491357845E-5</v>
      </c>
      <c r="J135" s="147">
        <f t="shared" si="6"/>
        <v>1.6143433248337773E-4</v>
      </c>
    </row>
    <row r="136" spans="1:10" x14ac:dyDescent="0.25">
      <c r="A136" s="6" t="s">
        <v>382</v>
      </c>
      <c r="B136" s="7" t="s">
        <v>782</v>
      </c>
      <c r="C136" s="142">
        <v>151.59700000000001</v>
      </c>
      <c r="D136" s="143">
        <v>90.84</v>
      </c>
      <c r="E136" s="144">
        <f t="shared" si="4"/>
        <v>13771.071480000001</v>
      </c>
      <c r="F136" s="145">
        <f t="shared" si="7"/>
        <v>8.9071805635892738E-4</v>
      </c>
      <c r="G136" s="146">
        <v>2.7081000000000001E-2</v>
      </c>
      <c r="H136" s="146">
        <v>8.6220000000000005E-2</v>
      </c>
      <c r="I136" s="147">
        <f t="shared" si="5"/>
        <v>2.4121535684256114E-5</v>
      </c>
      <c r="J136" s="147">
        <f t="shared" si="6"/>
        <v>7.6797710819266718E-5</v>
      </c>
    </row>
    <row r="137" spans="1:10" x14ac:dyDescent="0.25">
      <c r="A137" s="6" t="s">
        <v>627</v>
      </c>
      <c r="B137" s="7" t="s">
        <v>984</v>
      </c>
      <c r="C137" s="142">
        <v>62.789000000000001</v>
      </c>
      <c r="D137" s="143">
        <v>210.03</v>
      </c>
      <c r="E137" s="144">
        <f t="shared" si="4"/>
        <v>13187.57367</v>
      </c>
      <c r="F137" s="145">
        <f t="shared" si="7"/>
        <v>8.5297719966758649E-4</v>
      </c>
      <c r="G137" s="146">
        <v>2.2283000000000001E-2</v>
      </c>
      <c r="H137" s="146">
        <v>0.1085</v>
      </c>
      <c r="I137" s="147">
        <f t="shared" si="5"/>
        <v>1.9006890940192831E-5</v>
      </c>
      <c r="J137" s="147">
        <f t="shared" si="6"/>
        <v>9.254802616393313E-5</v>
      </c>
    </row>
    <row r="138" spans="1:10" x14ac:dyDescent="0.25">
      <c r="A138" s="6" t="s">
        <v>388</v>
      </c>
      <c r="B138" s="7" t="s">
        <v>786</v>
      </c>
      <c r="C138" s="142">
        <v>855.81299999999999</v>
      </c>
      <c r="D138" s="143">
        <v>38.4</v>
      </c>
      <c r="E138" s="144">
        <f t="shared" si="4"/>
        <v>32863.2192</v>
      </c>
      <c r="F138" s="145">
        <f t="shared" si="7"/>
        <v>2.1256053150282088E-3</v>
      </c>
      <c r="G138" s="146">
        <v>1.8749999999999999E-2</v>
      </c>
      <c r="H138" s="146">
        <v>0.1012</v>
      </c>
      <c r="I138" s="147">
        <f t="shared" si="5"/>
        <v>3.9855099656778913E-5</v>
      </c>
      <c r="J138" s="147">
        <f t="shared" si="6"/>
        <v>2.1511125788085473E-4</v>
      </c>
    </row>
    <row r="139" spans="1:10" x14ac:dyDescent="0.25">
      <c r="A139" s="6" t="s">
        <v>389</v>
      </c>
      <c r="B139" s="7" t="s">
        <v>787</v>
      </c>
      <c r="C139" s="142">
        <v>205.96700000000001</v>
      </c>
      <c r="D139" s="143">
        <v>49.45</v>
      </c>
      <c r="E139" s="144">
        <f t="shared" si="4"/>
        <v>10185.068150000001</v>
      </c>
      <c r="F139" s="145">
        <f t="shared" si="7"/>
        <v>6.5877401911875171E-4</v>
      </c>
      <c r="G139" s="146">
        <v>2.5076000000000001E-2</v>
      </c>
      <c r="H139" s="146">
        <v>0.10125000000000001</v>
      </c>
      <c r="I139" s="147">
        <f t="shared" si="5"/>
        <v>1.6519417303421818E-5</v>
      </c>
      <c r="J139" s="147">
        <f t="shared" si="6"/>
        <v>6.6700869435773615E-5</v>
      </c>
    </row>
    <row r="140" spans="1:10" x14ac:dyDescent="0.25">
      <c r="A140" s="6" t="s">
        <v>390</v>
      </c>
      <c r="B140" s="7" t="s">
        <v>788</v>
      </c>
      <c r="C140" s="142">
        <v>71.171999999999997</v>
      </c>
      <c r="D140" s="143">
        <v>110.08</v>
      </c>
      <c r="E140" s="144">
        <f t="shared" si="4"/>
        <v>7834.6137599999993</v>
      </c>
      <c r="F140" s="145">
        <f t="shared" si="7"/>
        <v>5.0674574965100009E-4</v>
      </c>
      <c r="G140" s="146">
        <v>1.2718E-2</v>
      </c>
      <c r="H140" s="146">
        <v>0.17</v>
      </c>
      <c r="I140" s="147">
        <f t="shared" si="5"/>
        <v>6.444792444061419E-6</v>
      </c>
      <c r="J140" s="147">
        <f t="shared" si="6"/>
        <v>8.6146777440670026E-5</v>
      </c>
    </row>
    <row r="141" spans="1:10" x14ac:dyDescent="0.25">
      <c r="A141" s="6" t="s">
        <v>391</v>
      </c>
      <c r="B141" s="7" t="s">
        <v>789</v>
      </c>
      <c r="C141" s="142">
        <v>124.071</v>
      </c>
      <c r="D141" s="143">
        <v>79.13</v>
      </c>
      <c r="E141" s="144">
        <f t="shared" si="4"/>
        <v>9817.738229999999</v>
      </c>
      <c r="F141" s="145">
        <f t="shared" si="7"/>
        <v>0</v>
      </c>
      <c r="G141" s="146">
        <v>2.5274999999999999E-2</v>
      </c>
      <c r="H141" s="146" t="s">
        <v>1109</v>
      </c>
      <c r="I141" s="147">
        <f t="shared" si="5"/>
        <v>0</v>
      </c>
      <c r="J141" s="147" t="str">
        <f t="shared" si="6"/>
        <v>n/a</v>
      </c>
    </row>
    <row r="142" spans="1:10" x14ac:dyDescent="0.25">
      <c r="A142" s="6" t="s">
        <v>394</v>
      </c>
      <c r="B142" s="7" t="s">
        <v>791</v>
      </c>
      <c r="C142" s="142">
        <v>462.58699999999999</v>
      </c>
      <c r="D142" s="143">
        <v>37.200000000000003</v>
      </c>
      <c r="E142" s="144">
        <f t="shared" ref="E142:E205" si="8">C142*D142</f>
        <v>17208.236400000002</v>
      </c>
      <c r="F142" s="145">
        <f t="shared" si="7"/>
        <v>1.1130351695460771E-3</v>
      </c>
      <c r="G142" s="146">
        <v>6.0753000000000001E-2</v>
      </c>
      <c r="H142" s="148">
        <v>2.887E-2</v>
      </c>
      <c r="I142" s="147">
        <f t="shared" ref="I142:I205" si="9">IF(G142="n/a","n/a",$F142*G142)</f>
        <v>6.7620225655432823E-5</v>
      </c>
      <c r="J142" s="147">
        <f t="shared" ref="J142:J205" si="10">IF(H142="n/a","n/a",$F142*H142)</f>
        <v>3.2133325344795245E-5</v>
      </c>
    </row>
    <row r="143" spans="1:10" x14ac:dyDescent="0.25">
      <c r="A143" s="6" t="s">
        <v>395</v>
      </c>
      <c r="B143" s="7" t="s">
        <v>793</v>
      </c>
      <c r="C143" s="142">
        <v>107.751</v>
      </c>
      <c r="D143" s="143">
        <v>56.32</v>
      </c>
      <c r="E143" s="144">
        <f t="shared" si="8"/>
        <v>6068.5363200000002</v>
      </c>
      <c r="F143" s="145">
        <f t="shared" ref="F143:F206" si="11">IF(OR(G143="n/a",H143="n/a",H143&lt;0%),0%,E143/SUMIFS(E$14:E$518,G$14:G$518,"&lt;&gt;n/a",$H$14:$H$518,"&lt;&gt;n/a",$H$14:$H$518,"&gt;=0"))</f>
        <v>3.9251519997875704E-4</v>
      </c>
      <c r="G143" s="146">
        <v>4.8811E-2</v>
      </c>
      <c r="H143" s="146">
        <v>5.3499999999999999E-2</v>
      </c>
      <c r="I143" s="147">
        <f t="shared" si="9"/>
        <v>1.9159059426163112E-5</v>
      </c>
      <c r="J143" s="147">
        <f t="shared" si="10"/>
        <v>2.0999563198863502E-5</v>
      </c>
    </row>
    <row r="144" spans="1:10" x14ac:dyDescent="0.25">
      <c r="A144" s="6" t="s">
        <v>396</v>
      </c>
      <c r="B144" s="7" t="s">
        <v>794</v>
      </c>
      <c r="C144" s="142">
        <v>156.17400000000001</v>
      </c>
      <c r="D144" s="143">
        <v>88.75</v>
      </c>
      <c r="E144" s="144">
        <f t="shared" si="8"/>
        <v>13860.442500000001</v>
      </c>
      <c r="F144" s="145">
        <f t="shared" si="11"/>
        <v>8.9649860737449837E-4</v>
      </c>
      <c r="G144" s="146">
        <v>2.6273000000000001E-2</v>
      </c>
      <c r="H144" s="146">
        <v>8.539999999999999E-2</v>
      </c>
      <c r="I144" s="147">
        <f t="shared" si="9"/>
        <v>2.3553707911550197E-5</v>
      </c>
      <c r="J144" s="147">
        <f t="shared" si="10"/>
        <v>7.6560981069782148E-5</v>
      </c>
    </row>
    <row r="145" spans="1:10" x14ac:dyDescent="0.25">
      <c r="A145" s="6" t="s">
        <v>401</v>
      </c>
      <c r="B145" s="7" t="s">
        <v>799</v>
      </c>
      <c r="C145" s="142">
        <v>264.517</v>
      </c>
      <c r="D145" s="143">
        <v>67.58</v>
      </c>
      <c r="E145" s="144">
        <f t="shared" si="8"/>
        <v>17876.058860000001</v>
      </c>
      <c r="F145" s="145">
        <f t="shared" si="11"/>
        <v>1.1562301761530746E-3</v>
      </c>
      <c r="G145" s="146">
        <v>1.4796999999999999E-2</v>
      </c>
      <c r="H145" s="146">
        <v>0.08</v>
      </c>
      <c r="I145" s="147">
        <f t="shared" si="9"/>
        <v>1.7108737916537044E-5</v>
      </c>
      <c r="J145" s="147">
        <f t="shared" si="10"/>
        <v>9.2498414092245974E-5</v>
      </c>
    </row>
    <row r="146" spans="1:10" x14ac:dyDescent="0.25">
      <c r="A146" s="6" t="s">
        <v>569</v>
      </c>
      <c r="B146" s="7" t="s">
        <v>936</v>
      </c>
      <c r="C146" s="142">
        <v>168.995</v>
      </c>
      <c r="D146" s="143">
        <v>80.010000000000005</v>
      </c>
      <c r="E146" s="144">
        <f t="shared" si="8"/>
        <v>13521.289950000002</v>
      </c>
      <c r="F146" s="145">
        <f t="shared" si="11"/>
        <v>8.7456209353213663E-4</v>
      </c>
      <c r="G146" s="146">
        <v>1.8748000000000001E-2</v>
      </c>
      <c r="H146" s="146">
        <v>9.2630000000000004E-2</v>
      </c>
      <c r="I146" s="147">
        <f t="shared" si="9"/>
        <v>1.6396290129540499E-5</v>
      </c>
      <c r="J146" s="147">
        <f t="shared" si="10"/>
        <v>8.1010686723881819E-5</v>
      </c>
    </row>
    <row r="147" spans="1:10" x14ac:dyDescent="0.25">
      <c r="A147" s="6" t="s">
        <v>470</v>
      </c>
      <c r="B147" s="7" t="s">
        <v>1055</v>
      </c>
      <c r="C147" s="142">
        <v>1589.1669999999999</v>
      </c>
      <c r="D147" s="143">
        <v>46.17</v>
      </c>
      <c r="E147" s="144">
        <f t="shared" si="8"/>
        <v>73371.840389999998</v>
      </c>
      <c r="F147" s="145">
        <f t="shared" si="11"/>
        <v>4.7457180916221807E-3</v>
      </c>
      <c r="G147" s="146">
        <v>1.472E-2</v>
      </c>
      <c r="H147" s="146">
        <v>0.10763</v>
      </c>
      <c r="I147" s="147">
        <f t="shared" si="9"/>
        <v>6.9856970308678501E-5</v>
      </c>
      <c r="J147" s="147">
        <f t="shared" si="10"/>
        <v>5.1078163820129528E-4</v>
      </c>
    </row>
    <row r="148" spans="1:10" x14ac:dyDescent="0.25">
      <c r="A148" s="6" t="s">
        <v>272</v>
      </c>
      <c r="B148" s="7" t="s">
        <v>700</v>
      </c>
      <c r="C148" s="142">
        <v>430.262</v>
      </c>
      <c r="D148" s="143">
        <v>18.55</v>
      </c>
      <c r="E148" s="144">
        <f t="shared" si="8"/>
        <v>7981.3600999999999</v>
      </c>
      <c r="F148" s="145">
        <f t="shared" si="11"/>
        <v>5.1623735783358916E-4</v>
      </c>
      <c r="G148" s="146">
        <v>5.3369E-2</v>
      </c>
      <c r="H148" s="146">
        <v>0.05</v>
      </c>
      <c r="I148" s="147">
        <f t="shared" si="9"/>
        <v>2.7551071550220821E-5</v>
      </c>
      <c r="J148" s="147">
        <f t="shared" si="10"/>
        <v>2.581186789167946E-5</v>
      </c>
    </row>
    <row r="149" spans="1:10" x14ac:dyDescent="0.25">
      <c r="A149" s="6" t="s">
        <v>404</v>
      </c>
      <c r="B149" s="7" t="s">
        <v>801</v>
      </c>
      <c r="C149" s="142">
        <v>148.215</v>
      </c>
      <c r="D149" s="143">
        <v>178.87</v>
      </c>
      <c r="E149" s="144">
        <f t="shared" si="8"/>
        <v>26511.217050000003</v>
      </c>
      <c r="F149" s="145">
        <f t="shared" si="11"/>
        <v>1.7147554390942467E-3</v>
      </c>
      <c r="G149" s="146">
        <v>6.4849999999999994E-3</v>
      </c>
      <c r="H149" s="146">
        <v>0.10568</v>
      </c>
      <c r="I149" s="147">
        <f t="shared" si="9"/>
        <v>1.112018902252619E-5</v>
      </c>
      <c r="J149" s="147">
        <f t="shared" si="10"/>
        <v>1.8121535480347998E-4</v>
      </c>
    </row>
    <row r="150" spans="1:10" x14ac:dyDescent="0.25">
      <c r="A150" s="6" t="s">
        <v>406</v>
      </c>
      <c r="B150" s="7" t="s">
        <v>802</v>
      </c>
      <c r="C150" s="142">
        <v>363.49200000000002</v>
      </c>
      <c r="D150" s="143">
        <v>92.02</v>
      </c>
      <c r="E150" s="144">
        <f t="shared" si="8"/>
        <v>33448.533840000004</v>
      </c>
      <c r="F150" s="145">
        <f t="shared" si="11"/>
        <v>2.163463684963794E-3</v>
      </c>
      <c r="G150" s="146">
        <v>2.3907999999999999E-2</v>
      </c>
      <c r="H150" s="146">
        <v>9.2249999999999999E-2</v>
      </c>
      <c r="I150" s="147">
        <f t="shared" si="9"/>
        <v>5.1724089780114388E-5</v>
      </c>
      <c r="J150" s="147">
        <f t="shared" si="10"/>
        <v>1.9957952493791E-4</v>
      </c>
    </row>
    <row r="151" spans="1:10" x14ac:dyDescent="0.25">
      <c r="A151" s="6" t="s">
        <v>407</v>
      </c>
      <c r="B151" s="7" t="s">
        <v>803</v>
      </c>
      <c r="C151" s="142">
        <v>261.04899999999998</v>
      </c>
      <c r="D151" s="143">
        <v>59.3</v>
      </c>
      <c r="E151" s="144">
        <f t="shared" si="8"/>
        <v>15480.205699999999</v>
      </c>
      <c r="F151" s="145">
        <f t="shared" si="11"/>
        <v>1.0012654972538408E-3</v>
      </c>
      <c r="G151" s="146">
        <v>1.9562E-2</v>
      </c>
      <c r="H151" s="146">
        <v>0.10109</v>
      </c>
      <c r="I151" s="147">
        <f t="shared" si="9"/>
        <v>1.9586755657279634E-5</v>
      </c>
      <c r="J151" s="147">
        <f t="shared" si="10"/>
        <v>1.0121792911739078E-4</v>
      </c>
    </row>
    <row r="152" spans="1:10" x14ac:dyDescent="0.25">
      <c r="A152" s="6" t="s">
        <v>413</v>
      </c>
      <c r="B152" s="7" t="s">
        <v>808</v>
      </c>
      <c r="C152" s="142">
        <v>406.34800000000001</v>
      </c>
      <c r="D152" s="143">
        <v>22.94</v>
      </c>
      <c r="E152" s="144">
        <f t="shared" si="8"/>
        <v>9321.6231200000002</v>
      </c>
      <c r="F152" s="145">
        <f t="shared" si="11"/>
        <v>6.0292607148364316E-4</v>
      </c>
      <c r="G152" s="146">
        <v>2.0924000000000002E-2</v>
      </c>
      <c r="H152" s="146">
        <v>6.5000000000000002E-2</v>
      </c>
      <c r="I152" s="147">
        <f t="shared" si="9"/>
        <v>1.261562511972375E-5</v>
      </c>
      <c r="J152" s="147">
        <f t="shared" si="10"/>
        <v>3.9190194646436809E-5</v>
      </c>
    </row>
    <row r="153" spans="1:10" x14ac:dyDescent="0.25">
      <c r="A153" s="6" t="s">
        <v>411</v>
      </c>
      <c r="B153" s="7" t="s">
        <v>806</v>
      </c>
      <c r="C153" s="142">
        <v>80.585999999999999</v>
      </c>
      <c r="D153" s="143">
        <v>116.19</v>
      </c>
      <c r="E153" s="144">
        <f t="shared" si="8"/>
        <v>9363.2873399999989</v>
      </c>
      <c r="F153" s="145">
        <f t="shared" si="11"/>
        <v>6.0562092882368438E-4</v>
      </c>
      <c r="G153" s="146">
        <v>1.9279000000000001E-2</v>
      </c>
      <c r="H153" s="146">
        <v>9.1999999999999998E-2</v>
      </c>
      <c r="I153" s="147">
        <f t="shared" si="9"/>
        <v>1.1675765886791812E-5</v>
      </c>
      <c r="J153" s="147">
        <f t="shared" si="10"/>
        <v>5.5717125451778965E-5</v>
      </c>
    </row>
    <row r="154" spans="1:10" x14ac:dyDescent="0.25">
      <c r="A154" s="6" t="s">
        <v>418</v>
      </c>
      <c r="B154" s="7" t="s">
        <v>811</v>
      </c>
      <c r="C154" s="142">
        <v>123.79900000000001</v>
      </c>
      <c r="D154" s="143">
        <v>40.159999999999997</v>
      </c>
      <c r="E154" s="144">
        <f t="shared" si="8"/>
        <v>4971.7678399999995</v>
      </c>
      <c r="F154" s="145">
        <f t="shared" si="11"/>
        <v>0</v>
      </c>
      <c r="G154" s="146" t="s">
        <v>1109</v>
      </c>
      <c r="H154" s="146">
        <v>8.3680000000000004E-2</v>
      </c>
      <c r="I154" s="147" t="str">
        <f t="shared" si="9"/>
        <v>n/a</v>
      </c>
      <c r="J154" s="147">
        <f t="shared" si="10"/>
        <v>0</v>
      </c>
    </row>
    <row r="155" spans="1:10" x14ac:dyDescent="0.25">
      <c r="A155" s="6" t="s">
        <v>421</v>
      </c>
      <c r="B155" s="7" t="s">
        <v>814</v>
      </c>
      <c r="C155" s="142">
        <v>654.06899999999996</v>
      </c>
      <c r="D155" s="143">
        <v>45.21</v>
      </c>
      <c r="E155" s="144">
        <f t="shared" si="8"/>
        <v>29570.459489999997</v>
      </c>
      <c r="F155" s="145">
        <f t="shared" si="11"/>
        <v>1.9126283848592148E-3</v>
      </c>
      <c r="G155" s="146">
        <v>2.3003999999999997E-2</v>
      </c>
      <c r="H155" s="146">
        <v>0.1018</v>
      </c>
      <c r="I155" s="147">
        <f t="shared" si="9"/>
        <v>4.3998103365301373E-5</v>
      </c>
      <c r="J155" s="147">
        <f t="shared" si="10"/>
        <v>1.9470556957866807E-4</v>
      </c>
    </row>
    <row r="156" spans="1:10" x14ac:dyDescent="0.25">
      <c r="A156" s="6" t="s">
        <v>1127</v>
      </c>
      <c r="B156" s="7" t="s">
        <v>1128</v>
      </c>
      <c r="C156" s="142">
        <v>391.822</v>
      </c>
      <c r="D156" s="143">
        <v>31.95</v>
      </c>
      <c r="E156" s="144">
        <f t="shared" si="8"/>
        <v>12518.7129</v>
      </c>
      <c r="F156" s="145">
        <f t="shared" si="11"/>
        <v>8.0971503478126101E-4</v>
      </c>
      <c r="G156" s="146">
        <v>1.2516000000000001E-2</v>
      </c>
      <c r="H156" s="146">
        <v>0.15625</v>
      </c>
      <c r="I156" s="147">
        <f t="shared" si="9"/>
        <v>1.0134393375322264E-5</v>
      </c>
      <c r="J156" s="147">
        <f t="shared" si="10"/>
        <v>1.2651797418457202E-4</v>
      </c>
    </row>
    <row r="157" spans="1:10" x14ac:dyDescent="0.25">
      <c r="A157" s="6" t="s">
        <v>425</v>
      </c>
      <c r="B157" s="7" t="s">
        <v>818</v>
      </c>
      <c r="C157" s="142">
        <v>353.58100000000002</v>
      </c>
      <c r="D157" s="143">
        <v>70.53</v>
      </c>
      <c r="E157" s="144">
        <f t="shared" si="8"/>
        <v>24938.067930000001</v>
      </c>
      <c r="F157" s="145">
        <f t="shared" si="11"/>
        <v>1.613003565351946E-3</v>
      </c>
      <c r="G157" s="146">
        <v>2.8357E-2</v>
      </c>
      <c r="H157" s="146">
        <v>6.3E-2</v>
      </c>
      <c r="I157" s="147">
        <f t="shared" si="9"/>
        <v>4.5739942102685134E-5</v>
      </c>
      <c r="J157" s="147">
        <f t="shared" si="10"/>
        <v>1.016192246171726E-4</v>
      </c>
    </row>
    <row r="158" spans="1:10" x14ac:dyDescent="0.25">
      <c r="A158" s="6" t="s">
        <v>511</v>
      </c>
      <c r="B158" s="7" t="s">
        <v>884</v>
      </c>
      <c r="C158" s="142">
        <v>146.376</v>
      </c>
      <c r="D158" s="143">
        <v>157.91</v>
      </c>
      <c r="E158" s="144">
        <f t="shared" si="8"/>
        <v>23114.23416</v>
      </c>
      <c r="F158" s="145">
        <f t="shared" si="11"/>
        <v>1.4950373146433136E-3</v>
      </c>
      <c r="G158" s="146">
        <v>3.166E-3</v>
      </c>
      <c r="H158" s="146">
        <v>0.1273</v>
      </c>
      <c r="I158" s="147">
        <f t="shared" si="9"/>
        <v>4.7332881381607313E-6</v>
      </c>
      <c r="J158" s="147">
        <f t="shared" si="10"/>
        <v>1.9031825015409381E-4</v>
      </c>
    </row>
    <row r="159" spans="1:10" x14ac:dyDescent="0.25">
      <c r="A159" s="6" t="s">
        <v>428</v>
      </c>
      <c r="B159" s="7" t="s">
        <v>820</v>
      </c>
      <c r="C159" s="142">
        <v>362.99400000000003</v>
      </c>
      <c r="D159" s="143">
        <v>119.79</v>
      </c>
      <c r="E159" s="144">
        <f t="shared" si="8"/>
        <v>43483.051260000007</v>
      </c>
      <c r="F159" s="145">
        <f t="shared" si="11"/>
        <v>2.8125000265311825E-3</v>
      </c>
      <c r="G159" s="146">
        <v>2.9377E-2</v>
      </c>
      <c r="H159" s="146">
        <v>8.1500000000000003E-2</v>
      </c>
      <c r="I159" s="147">
        <f t="shared" si="9"/>
        <v>8.2622813279406544E-5</v>
      </c>
      <c r="J159" s="147">
        <f t="shared" si="10"/>
        <v>2.2921875216229138E-4</v>
      </c>
    </row>
    <row r="160" spans="1:10" x14ac:dyDescent="0.25">
      <c r="A160" s="6" t="s">
        <v>429</v>
      </c>
      <c r="B160" s="7" t="s">
        <v>821</v>
      </c>
      <c r="C160" s="142">
        <v>413.13499999999999</v>
      </c>
      <c r="D160" s="143">
        <v>26.77</v>
      </c>
      <c r="E160" s="144">
        <f t="shared" si="8"/>
        <v>11059.623949999999</v>
      </c>
      <c r="F160" s="145">
        <f t="shared" si="11"/>
        <v>7.1534061551502758E-4</v>
      </c>
      <c r="G160" s="146">
        <v>3.5861000000000004E-2</v>
      </c>
      <c r="H160" s="146">
        <v>5.1269999999999996E-2</v>
      </c>
      <c r="I160" s="147">
        <f t="shared" si="9"/>
        <v>2.5652829812984407E-5</v>
      </c>
      <c r="J160" s="147">
        <f t="shared" si="10"/>
        <v>3.667551335745546E-5</v>
      </c>
    </row>
    <row r="161" spans="1:10" x14ac:dyDescent="0.25">
      <c r="A161" s="6" t="s">
        <v>432</v>
      </c>
      <c r="B161" s="7" t="s">
        <v>823</v>
      </c>
      <c r="C161" s="142">
        <v>194.49799999999999</v>
      </c>
      <c r="D161" s="143">
        <v>46.16</v>
      </c>
      <c r="E161" s="144">
        <f t="shared" si="8"/>
        <v>8978.0276799999992</v>
      </c>
      <c r="F161" s="145">
        <f t="shared" si="11"/>
        <v>5.8070218985358489E-4</v>
      </c>
      <c r="G161" s="146">
        <v>3.8994999999999995E-2</v>
      </c>
      <c r="H161" s="146">
        <v>7.9000000000000001E-2</v>
      </c>
      <c r="I161" s="147">
        <f t="shared" si="9"/>
        <v>2.2644481893340541E-5</v>
      </c>
      <c r="J161" s="147">
        <f t="shared" si="10"/>
        <v>4.5875472998433203E-5</v>
      </c>
    </row>
    <row r="162" spans="1:10" x14ac:dyDescent="0.25">
      <c r="A162" s="6" t="s">
        <v>501</v>
      </c>
      <c r="B162" s="7" t="s">
        <v>877</v>
      </c>
      <c r="C162" s="142">
        <v>4264.6279999999997</v>
      </c>
      <c r="D162" s="143">
        <v>38.880000000000003</v>
      </c>
      <c r="E162" s="144">
        <f t="shared" si="8"/>
        <v>165808.73663999999</v>
      </c>
      <c r="F162" s="145">
        <f t="shared" si="11"/>
        <v>1.072457113027127E-2</v>
      </c>
      <c r="G162" s="146">
        <v>1.5432000000000001E-2</v>
      </c>
      <c r="H162" s="146">
        <v>7.7199999999999991E-2</v>
      </c>
      <c r="I162" s="147">
        <f t="shared" si="9"/>
        <v>1.6550158168234625E-4</v>
      </c>
      <c r="J162" s="147">
        <f t="shared" si="10"/>
        <v>8.2793689125694198E-4</v>
      </c>
    </row>
    <row r="163" spans="1:10" x14ac:dyDescent="0.25">
      <c r="A163" s="6" t="s">
        <v>433</v>
      </c>
      <c r="B163" s="7" t="s">
        <v>824</v>
      </c>
      <c r="C163" s="142">
        <v>973.43399999999997</v>
      </c>
      <c r="D163" s="143">
        <v>37.840000000000003</v>
      </c>
      <c r="E163" s="144">
        <f t="shared" si="8"/>
        <v>36834.742559999999</v>
      </c>
      <c r="F163" s="145">
        <f t="shared" si="11"/>
        <v>2.3824849320675124E-3</v>
      </c>
      <c r="G163" s="146">
        <v>1.1099000000000001E-2</v>
      </c>
      <c r="H163" s="146">
        <v>0.1018</v>
      </c>
      <c r="I163" s="147">
        <f t="shared" si="9"/>
        <v>2.6443200261017324E-5</v>
      </c>
      <c r="J163" s="147">
        <f t="shared" si="10"/>
        <v>2.4253696608447277E-4</v>
      </c>
    </row>
    <row r="164" spans="1:10" x14ac:dyDescent="0.25">
      <c r="A164" s="6" t="s">
        <v>438</v>
      </c>
      <c r="B164" s="7" t="s">
        <v>828</v>
      </c>
      <c r="C164" s="142">
        <v>109.708</v>
      </c>
      <c r="D164" s="143">
        <v>44.8</v>
      </c>
      <c r="E164" s="144">
        <f t="shared" si="8"/>
        <v>4914.9183999999996</v>
      </c>
      <c r="F164" s="145">
        <f t="shared" si="11"/>
        <v>3.1789876123791119E-4</v>
      </c>
      <c r="G164" s="146">
        <v>1.7856999999999998E-2</v>
      </c>
      <c r="H164" s="146">
        <v>0.16649999999999998</v>
      </c>
      <c r="I164" s="147">
        <f t="shared" si="9"/>
        <v>5.6767181794253793E-6</v>
      </c>
      <c r="J164" s="147">
        <f t="shared" si="10"/>
        <v>5.2930143746112205E-5</v>
      </c>
    </row>
    <row r="165" spans="1:10" x14ac:dyDescent="0.25">
      <c r="A165" s="6" t="s">
        <v>439</v>
      </c>
      <c r="B165" s="7" t="s">
        <v>829</v>
      </c>
      <c r="C165" s="142">
        <v>136.82900000000001</v>
      </c>
      <c r="D165" s="143">
        <v>45.08</v>
      </c>
      <c r="E165" s="144">
        <f t="shared" si="8"/>
        <v>6168.2513200000003</v>
      </c>
      <c r="F165" s="145">
        <f t="shared" si="11"/>
        <v>0</v>
      </c>
      <c r="G165" s="146">
        <v>2.8393999999999999E-2</v>
      </c>
      <c r="H165" s="146" t="s">
        <v>1109</v>
      </c>
      <c r="I165" s="147">
        <f t="shared" si="9"/>
        <v>0</v>
      </c>
      <c r="J165" s="147" t="str">
        <f t="shared" si="10"/>
        <v>n/a</v>
      </c>
    </row>
    <row r="166" spans="1:10" x14ac:dyDescent="0.25">
      <c r="A166" s="6" t="s">
        <v>440</v>
      </c>
      <c r="B166" s="7" t="s">
        <v>830</v>
      </c>
      <c r="C166" s="142">
        <v>179.042</v>
      </c>
      <c r="D166" s="143">
        <v>50.08</v>
      </c>
      <c r="E166" s="144">
        <f t="shared" si="8"/>
        <v>8966.4233599999989</v>
      </c>
      <c r="F166" s="145">
        <f t="shared" si="11"/>
        <v>0</v>
      </c>
      <c r="G166" s="146">
        <v>3.1949999999999999E-3</v>
      </c>
      <c r="H166" s="148" t="s">
        <v>1109</v>
      </c>
      <c r="I166" s="147">
        <f t="shared" si="9"/>
        <v>0</v>
      </c>
      <c r="J166" s="147" t="str">
        <f t="shared" si="10"/>
        <v>n/a</v>
      </c>
    </row>
    <row r="167" spans="1:10" x14ac:dyDescent="0.25">
      <c r="A167" s="6" t="s">
        <v>441</v>
      </c>
      <c r="B167" s="7" t="s">
        <v>831</v>
      </c>
      <c r="C167" s="142">
        <v>366.60300000000001</v>
      </c>
      <c r="D167" s="143">
        <v>20.02</v>
      </c>
      <c r="E167" s="144">
        <f t="shared" si="8"/>
        <v>7339.3920600000001</v>
      </c>
      <c r="F167" s="145">
        <f t="shared" si="11"/>
        <v>0</v>
      </c>
      <c r="G167" s="146">
        <v>1.2487999999999999E-2</v>
      </c>
      <c r="H167" s="146" t="s">
        <v>1109</v>
      </c>
      <c r="I167" s="147">
        <f t="shared" si="9"/>
        <v>0</v>
      </c>
      <c r="J167" s="147" t="str">
        <f t="shared" si="10"/>
        <v>n/a</v>
      </c>
    </row>
    <row r="168" spans="1:10" x14ac:dyDescent="0.25">
      <c r="A168" s="6" t="s">
        <v>340</v>
      </c>
      <c r="B168" s="7" t="s">
        <v>752</v>
      </c>
      <c r="C168" s="142">
        <v>1108.077</v>
      </c>
      <c r="D168" s="143">
        <v>81.61</v>
      </c>
      <c r="E168" s="144">
        <f t="shared" si="8"/>
        <v>90430.163969999994</v>
      </c>
      <c r="F168" s="145">
        <f t="shared" si="11"/>
        <v>5.8490568438743949E-3</v>
      </c>
      <c r="G168" s="146">
        <v>2.4500999999999998E-2</v>
      </c>
      <c r="H168" s="148">
        <v>0.11967</v>
      </c>
      <c r="I168" s="147">
        <f t="shared" si="9"/>
        <v>1.4330774173176654E-4</v>
      </c>
      <c r="J168" s="147">
        <f t="shared" si="10"/>
        <v>6.9995663250644886E-4</v>
      </c>
    </row>
    <row r="169" spans="1:10" x14ac:dyDescent="0.25">
      <c r="A169" s="6" t="s">
        <v>434</v>
      </c>
      <c r="B169" s="7" t="s">
        <v>825</v>
      </c>
      <c r="C169" s="142">
        <v>290.37900000000002</v>
      </c>
      <c r="D169" s="143">
        <v>96.03</v>
      </c>
      <c r="E169" s="144">
        <f t="shared" si="8"/>
        <v>27885.095370000003</v>
      </c>
      <c r="F169" s="145">
        <f t="shared" si="11"/>
        <v>1.8036184029268959E-3</v>
      </c>
      <c r="G169" s="146">
        <v>2.0826999999999998E-2</v>
      </c>
      <c r="H169" s="146">
        <v>0.1183</v>
      </c>
      <c r="I169" s="147">
        <f t="shared" si="9"/>
        <v>3.7563960477758457E-5</v>
      </c>
      <c r="J169" s="147">
        <f t="shared" si="10"/>
        <v>2.1336805706625178E-4</v>
      </c>
    </row>
    <row r="170" spans="1:10" x14ac:dyDescent="0.25">
      <c r="A170" s="6" t="s">
        <v>442</v>
      </c>
      <c r="B170" s="7" t="s">
        <v>832</v>
      </c>
      <c r="C170" s="142">
        <v>247.471</v>
      </c>
      <c r="D170" s="143">
        <v>53.54</v>
      </c>
      <c r="E170" s="144">
        <f t="shared" si="8"/>
        <v>13249.59734</v>
      </c>
      <c r="F170" s="145">
        <f t="shared" si="11"/>
        <v>8.5698891385198252E-4</v>
      </c>
      <c r="G170" s="146">
        <v>1.8678E-2</v>
      </c>
      <c r="H170" s="146">
        <v>0.1018</v>
      </c>
      <c r="I170" s="147">
        <f t="shared" si="9"/>
        <v>1.6006838932927331E-5</v>
      </c>
      <c r="J170" s="147">
        <f t="shared" si="10"/>
        <v>8.7241471430131817E-5</v>
      </c>
    </row>
    <row r="171" spans="1:10" x14ac:dyDescent="0.25">
      <c r="A171" s="6" t="s">
        <v>445</v>
      </c>
      <c r="B171" s="7" t="s">
        <v>834</v>
      </c>
      <c r="C171" s="142">
        <v>363.08199999999999</v>
      </c>
      <c r="D171" s="143">
        <v>36.5</v>
      </c>
      <c r="E171" s="144">
        <f t="shared" si="8"/>
        <v>13252.493</v>
      </c>
      <c r="F171" s="145">
        <f t="shared" si="11"/>
        <v>0</v>
      </c>
      <c r="G171" s="146">
        <v>6.8489999999999992E-3</v>
      </c>
      <c r="H171" s="146" t="s">
        <v>1109</v>
      </c>
      <c r="I171" s="147">
        <f t="shared" si="9"/>
        <v>0</v>
      </c>
      <c r="J171" s="147" t="str">
        <f t="shared" si="10"/>
        <v>n/a</v>
      </c>
    </row>
    <row r="172" spans="1:10" x14ac:dyDescent="0.25">
      <c r="A172" s="6" t="s">
        <v>446</v>
      </c>
      <c r="B172" s="7" t="s">
        <v>835</v>
      </c>
      <c r="C172" s="142">
        <v>925.23299999999995</v>
      </c>
      <c r="D172" s="143">
        <v>73.849999999999994</v>
      </c>
      <c r="E172" s="144">
        <f t="shared" si="8"/>
        <v>68328.457049999997</v>
      </c>
      <c r="F172" s="145">
        <f t="shared" si="11"/>
        <v>4.4195101699944445E-3</v>
      </c>
      <c r="G172" s="146">
        <v>1.5165999999999999E-2</v>
      </c>
      <c r="H172" s="148">
        <v>0.16670000000000001</v>
      </c>
      <c r="I172" s="147">
        <f t="shared" si="9"/>
        <v>6.7026291238135745E-5</v>
      </c>
      <c r="J172" s="147">
        <f t="shared" si="10"/>
        <v>7.3673234533807393E-4</v>
      </c>
    </row>
    <row r="173" spans="1:10" x14ac:dyDescent="0.25">
      <c r="A173" s="6" t="s">
        <v>402</v>
      </c>
      <c r="B173" s="7" t="s">
        <v>800</v>
      </c>
      <c r="C173" s="142">
        <v>751.61099999999999</v>
      </c>
      <c r="D173" s="143">
        <v>17.329999999999998</v>
      </c>
      <c r="E173" s="144">
        <f t="shared" si="8"/>
        <v>13025.418629999998</v>
      </c>
      <c r="F173" s="145">
        <f t="shared" si="11"/>
        <v>8.4248895100317645E-4</v>
      </c>
      <c r="G173" s="146">
        <v>4.6162999999999996E-2</v>
      </c>
      <c r="H173" s="146">
        <v>0.05</v>
      </c>
      <c r="I173" s="147">
        <f t="shared" si="9"/>
        <v>3.8891817445159628E-5</v>
      </c>
      <c r="J173" s="147">
        <f t="shared" si="10"/>
        <v>4.2124447550158824E-5</v>
      </c>
    </row>
    <row r="174" spans="1:10" x14ac:dyDescent="0.25">
      <c r="A174" s="6" t="s">
        <v>453</v>
      </c>
      <c r="B174" s="7" t="s">
        <v>842</v>
      </c>
      <c r="C174" s="142">
        <v>521.64800000000002</v>
      </c>
      <c r="D174" s="143">
        <v>55.77</v>
      </c>
      <c r="E174" s="144">
        <f t="shared" si="8"/>
        <v>29092.308960000002</v>
      </c>
      <c r="F174" s="145">
        <f t="shared" si="11"/>
        <v>1.8817014296584429E-3</v>
      </c>
      <c r="G174" s="146">
        <v>2.2233999999999997E-2</v>
      </c>
      <c r="H174" s="146">
        <v>0.11993999999999999</v>
      </c>
      <c r="I174" s="147">
        <f t="shared" si="9"/>
        <v>4.1837749587025811E-5</v>
      </c>
      <c r="J174" s="147">
        <f t="shared" si="10"/>
        <v>2.2569126947323364E-4</v>
      </c>
    </row>
    <row r="175" spans="1:10" x14ac:dyDescent="0.25">
      <c r="A175" s="6" t="s">
        <v>454</v>
      </c>
      <c r="B175" s="7" t="s">
        <v>843</v>
      </c>
      <c r="C175" s="142">
        <v>336.47199999999998</v>
      </c>
      <c r="D175" s="143">
        <v>29.015000000000001</v>
      </c>
      <c r="E175" s="144">
        <f t="shared" si="8"/>
        <v>9762.7350800000004</v>
      </c>
      <c r="F175" s="145">
        <f t="shared" si="11"/>
        <v>6.3145735811725794E-4</v>
      </c>
      <c r="G175" s="146">
        <v>1.3096999999999999E-2</v>
      </c>
      <c r="H175" s="146">
        <v>0.14792</v>
      </c>
      <c r="I175" s="147">
        <f t="shared" si="9"/>
        <v>8.2701970192617267E-6</v>
      </c>
      <c r="J175" s="147">
        <f t="shared" si="10"/>
        <v>9.3405172412704791E-5</v>
      </c>
    </row>
    <row r="176" spans="1:10" x14ac:dyDescent="0.25">
      <c r="A176" s="6" t="s">
        <v>456</v>
      </c>
      <c r="B176" s="7" t="s">
        <v>1051</v>
      </c>
      <c r="C176" s="142">
        <v>339.35399999999998</v>
      </c>
      <c r="D176" s="143">
        <v>24.614999999999998</v>
      </c>
      <c r="E176" s="144">
        <f t="shared" si="8"/>
        <v>8353.1987099999988</v>
      </c>
      <c r="F176" s="145">
        <f t="shared" si="11"/>
        <v>5.4028801826763143E-4</v>
      </c>
      <c r="G176" s="146">
        <v>6.1738000000000001E-2</v>
      </c>
      <c r="H176" s="146">
        <v>9.4329999999999997E-2</v>
      </c>
      <c r="I176" s="147">
        <f t="shared" si="9"/>
        <v>3.3356301671807032E-5</v>
      </c>
      <c r="J176" s="147">
        <f t="shared" si="10"/>
        <v>5.0965368763185668E-5</v>
      </c>
    </row>
    <row r="177" spans="1:10" x14ac:dyDescent="0.25">
      <c r="A177" s="23" t="s">
        <v>459</v>
      </c>
      <c r="B177" s="7" t="s">
        <v>847</v>
      </c>
      <c r="C177" s="142">
        <v>272.5</v>
      </c>
      <c r="D177" s="143">
        <v>92.73</v>
      </c>
      <c r="E177" s="144">
        <f t="shared" si="8"/>
        <v>25268.924999999999</v>
      </c>
      <c r="F177" s="145">
        <f t="shared" si="11"/>
        <v>1.6344035244438007E-3</v>
      </c>
      <c r="G177" s="146">
        <v>1.4234999999999999E-2</v>
      </c>
      <c r="H177" s="146">
        <v>0.11833</v>
      </c>
      <c r="I177" s="147">
        <f t="shared" si="9"/>
        <v>2.3265734170457503E-5</v>
      </c>
      <c r="J177" s="147">
        <f t="shared" si="10"/>
        <v>1.9339896904743494E-4</v>
      </c>
    </row>
    <row r="178" spans="1:10" x14ac:dyDescent="0.25">
      <c r="A178" s="6" t="s">
        <v>1129</v>
      </c>
      <c r="B178" s="7" t="s">
        <v>850</v>
      </c>
      <c r="C178" s="142">
        <v>1413.615</v>
      </c>
      <c r="D178" s="143">
        <v>73.989999999999995</v>
      </c>
      <c r="E178" s="144">
        <f t="shared" si="8"/>
        <v>104593.37384999999</v>
      </c>
      <c r="F178" s="145">
        <f t="shared" si="11"/>
        <v>6.7651385586805952E-3</v>
      </c>
      <c r="G178" s="146">
        <v>2.0542999999999999E-2</v>
      </c>
      <c r="H178" s="146">
        <v>7.0379999999999998E-2</v>
      </c>
      <c r="I178" s="147">
        <f t="shared" si="9"/>
        <v>1.3897624141097546E-4</v>
      </c>
      <c r="J178" s="147">
        <f t="shared" si="10"/>
        <v>4.7613045175994028E-4</v>
      </c>
    </row>
    <row r="179" spans="1:10" x14ac:dyDescent="0.25">
      <c r="A179" s="6" t="s">
        <v>1111</v>
      </c>
      <c r="B179" s="7" t="s">
        <v>728</v>
      </c>
      <c r="C179" s="142">
        <v>1114.4860000000001</v>
      </c>
      <c r="D179" s="143">
        <v>98.8</v>
      </c>
      <c r="E179" s="144">
        <f t="shared" si="8"/>
        <v>110111.21680000001</v>
      </c>
      <c r="F179" s="145">
        <f t="shared" si="11"/>
        <v>7.1220347054223899E-3</v>
      </c>
      <c r="G179" s="146">
        <v>1.4173E-2</v>
      </c>
      <c r="H179" s="146">
        <v>0.15</v>
      </c>
      <c r="I179" s="147">
        <f t="shared" si="9"/>
        <v>1.0094059787995153E-4</v>
      </c>
      <c r="J179" s="147">
        <f t="shared" si="10"/>
        <v>1.0683052058133584E-3</v>
      </c>
    </row>
    <row r="180" spans="1:10" x14ac:dyDescent="0.25">
      <c r="A180" s="6" t="s">
        <v>466</v>
      </c>
      <c r="B180" s="7" t="s">
        <v>1053</v>
      </c>
      <c r="C180" s="142">
        <v>1085.7539999999999</v>
      </c>
      <c r="D180" s="143">
        <v>16.579999999999998</v>
      </c>
      <c r="E180" s="144">
        <f t="shared" si="8"/>
        <v>18001.801319999995</v>
      </c>
      <c r="F180" s="145">
        <f t="shared" si="11"/>
        <v>0</v>
      </c>
      <c r="G180" s="146" t="s">
        <v>1109</v>
      </c>
      <c r="H180" s="146">
        <v>2.2200000000000001E-2</v>
      </c>
      <c r="I180" s="147" t="str">
        <f t="shared" si="9"/>
        <v>n/a</v>
      </c>
      <c r="J180" s="147">
        <f t="shared" si="10"/>
        <v>0</v>
      </c>
    </row>
    <row r="181" spans="1:10" x14ac:dyDescent="0.25">
      <c r="A181" s="6" t="s">
        <v>476</v>
      </c>
      <c r="B181" s="7" t="s">
        <v>859</v>
      </c>
      <c r="C181" s="142">
        <v>176.702</v>
      </c>
      <c r="D181" s="143">
        <v>70.010000000000005</v>
      </c>
      <c r="E181" s="144">
        <f t="shared" si="8"/>
        <v>12370.907020000001</v>
      </c>
      <c r="F181" s="145">
        <f t="shared" si="11"/>
        <v>8.0015489515500001E-4</v>
      </c>
      <c r="G181" s="146">
        <v>1.9426000000000002E-2</v>
      </c>
      <c r="H181" s="146">
        <v>9.0500000000000011E-2</v>
      </c>
      <c r="I181" s="147">
        <f t="shared" si="9"/>
        <v>1.5543808993281033E-5</v>
      </c>
      <c r="J181" s="147">
        <f t="shared" si="10"/>
        <v>7.2414018011527506E-5</v>
      </c>
    </row>
    <row r="182" spans="1:10" x14ac:dyDescent="0.25">
      <c r="A182" s="6" t="s">
        <v>477</v>
      </c>
      <c r="B182" s="7" t="s">
        <v>860</v>
      </c>
      <c r="C182" s="142">
        <v>172.75200000000001</v>
      </c>
      <c r="D182" s="143">
        <v>28.46</v>
      </c>
      <c r="E182" s="144">
        <f t="shared" si="8"/>
        <v>4916.5219200000001</v>
      </c>
      <c r="F182" s="145">
        <f t="shared" si="11"/>
        <v>3.1800247751153651E-4</v>
      </c>
      <c r="G182" s="146">
        <v>4.9192E-2</v>
      </c>
      <c r="H182" s="146">
        <v>0.13</v>
      </c>
      <c r="I182" s="147">
        <f t="shared" si="9"/>
        <v>1.5643177873747502E-5</v>
      </c>
      <c r="J182" s="147">
        <f t="shared" si="10"/>
        <v>4.1340322076499748E-5</v>
      </c>
    </row>
    <row r="183" spans="1:10" x14ac:dyDescent="0.25">
      <c r="A183" s="6" t="s">
        <v>1130</v>
      </c>
      <c r="B183" s="7" t="s">
        <v>1057</v>
      </c>
      <c r="C183" s="142">
        <v>491.70100000000002</v>
      </c>
      <c r="D183" s="143">
        <v>44.16</v>
      </c>
      <c r="E183" s="144">
        <f t="shared" si="8"/>
        <v>21713.516159999999</v>
      </c>
      <c r="F183" s="145">
        <f t="shared" si="11"/>
        <v>0</v>
      </c>
      <c r="G183" s="146" t="s">
        <v>1109</v>
      </c>
      <c r="H183" s="146">
        <v>0.11156000000000001</v>
      </c>
      <c r="I183" s="147" t="str">
        <f t="shared" si="9"/>
        <v>n/a</v>
      </c>
      <c r="J183" s="147">
        <f t="shared" si="10"/>
        <v>0</v>
      </c>
    </row>
    <row r="184" spans="1:10" x14ac:dyDescent="0.25">
      <c r="A184" s="6" t="s">
        <v>436</v>
      </c>
      <c r="B184" s="7" t="s">
        <v>827</v>
      </c>
      <c r="C184" s="142">
        <v>101.1</v>
      </c>
      <c r="D184" s="143">
        <v>122.81</v>
      </c>
      <c r="E184" s="144">
        <f t="shared" si="8"/>
        <v>12416.091</v>
      </c>
      <c r="F184" s="145">
        <f t="shared" si="11"/>
        <v>0</v>
      </c>
      <c r="G184" s="146" t="s">
        <v>1109</v>
      </c>
      <c r="H184" s="146">
        <v>0.10255</v>
      </c>
      <c r="I184" s="147" t="str">
        <f t="shared" si="9"/>
        <v>n/a</v>
      </c>
      <c r="J184" s="147">
        <f t="shared" si="10"/>
        <v>0</v>
      </c>
    </row>
    <row r="185" spans="1:10" x14ac:dyDescent="0.25">
      <c r="A185" s="6" t="s">
        <v>580</v>
      </c>
      <c r="B185" s="7" t="s">
        <v>944</v>
      </c>
      <c r="C185" s="142">
        <v>99.563999999999993</v>
      </c>
      <c r="D185" s="143">
        <v>31.36</v>
      </c>
      <c r="E185" s="144">
        <f t="shared" si="8"/>
        <v>3122.3270399999997</v>
      </c>
      <c r="F185" s="145">
        <f t="shared" si="11"/>
        <v>0</v>
      </c>
      <c r="G185" s="146" t="s">
        <v>1109</v>
      </c>
      <c r="H185" s="146">
        <v>0.16550000000000001</v>
      </c>
      <c r="I185" s="147" t="str">
        <f t="shared" si="9"/>
        <v>n/a</v>
      </c>
      <c r="J185" s="147">
        <f t="shared" si="10"/>
        <v>0</v>
      </c>
    </row>
    <row r="186" spans="1:10" x14ac:dyDescent="0.25">
      <c r="A186" s="6" t="s">
        <v>482</v>
      </c>
      <c r="B186" s="7" t="s">
        <v>861</v>
      </c>
      <c r="C186" s="142">
        <v>267.8</v>
      </c>
      <c r="D186" s="143">
        <v>42.49</v>
      </c>
      <c r="E186" s="144">
        <f t="shared" si="8"/>
        <v>11378.822</v>
      </c>
      <c r="F186" s="145">
        <f t="shared" si="11"/>
        <v>7.3598646483056401E-4</v>
      </c>
      <c r="G186" s="146">
        <v>1.7887E-2</v>
      </c>
      <c r="H186" s="146">
        <v>9.3329999999999996E-2</v>
      </c>
      <c r="I186" s="147">
        <f t="shared" si="9"/>
        <v>1.3164589896424298E-5</v>
      </c>
      <c r="J186" s="147">
        <f t="shared" si="10"/>
        <v>6.8689616762636533E-5</v>
      </c>
    </row>
    <row r="187" spans="1:10" x14ac:dyDescent="0.25">
      <c r="A187" s="6" t="s">
        <v>484</v>
      </c>
      <c r="B187" s="7" t="s">
        <v>863</v>
      </c>
      <c r="C187" s="142">
        <v>529.11800000000005</v>
      </c>
      <c r="D187" s="143">
        <v>19.46</v>
      </c>
      <c r="E187" s="144">
        <f t="shared" si="8"/>
        <v>10296.636280000001</v>
      </c>
      <c r="F187" s="145">
        <f t="shared" si="11"/>
        <v>6.6599028751511619E-4</v>
      </c>
      <c r="G187" s="146">
        <v>5.1390000000000003E-3</v>
      </c>
      <c r="H187" s="146">
        <v>2.3250000000000003E-2</v>
      </c>
      <c r="I187" s="147">
        <f t="shared" si="9"/>
        <v>3.4225240875401822E-6</v>
      </c>
      <c r="J187" s="147">
        <f t="shared" si="10"/>
        <v>1.5484274184726453E-5</v>
      </c>
    </row>
    <row r="188" spans="1:10" x14ac:dyDescent="0.25">
      <c r="A188" s="6" t="s">
        <v>596</v>
      </c>
      <c r="B188" s="7" t="s">
        <v>1085</v>
      </c>
      <c r="C188" s="142">
        <v>1184.105</v>
      </c>
      <c r="D188" s="143">
        <v>30.7</v>
      </c>
      <c r="E188" s="144">
        <f t="shared" si="8"/>
        <v>36352.023500000003</v>
      </c>
      <c r="F188" s="145">
        <f t="shared" si="11"/>
        <v>2.3512624826368305E-3</v>
      </c>
      <c r="G188" s="146">
        <v>9.7719999999999994E-3</v>
      </c>
      <c r="H188" s="146">
        <v>0.16219999999999998</v>
      </c>
      <c r="I188" s="147">
        <f t="shared" si="9"/>
        <v>2.2976536980327105E-5</v>
      </c>
      <c r="J188" s="147">
        <f t="shared" si="10"/>
        <v>3.8137477468369385E-4</v>
      </c>
    </row>
    <row r="189" spans="1:10" x14ac:dyDescent="0.25">
      <c r="A189" s="6" t="s">
        <v>487</v>
      </c>
      <c r="B189" s="7" t="s">
        <v>866</v>
      </c>
      <c r="C189" s="142">
        <v>674.73599999999999</v>
      </c>
      <c r="D189" s="143">
        <v>131.09</v>
      </c>
      <c r="E189" s="144">
        <f t="shared" si="8"/>
        <v>88451.142240000001</v>
      </c>
      <c r="F189" s="145">
        <f t="shared" si="11"/>
        <v>5.7210529778427832E-3</v>
      </c>
      <c r="G189" s="146">
        <v>8.5440000000000012E-3</v>
      </c>
      <c r="H189" s="146">
        <v>0.12710000000000002</v>
      </c>
      <c r="I189" s="147">
        <f t="shared" si="9"/>
        <v>4.8880676642688745E-5</v>
      </c>
      <c r="J189" s="147">
        <f t="shared" si="10"/>
        <v>7.2714583348381788E-4</v>
      </c>
    </row>
    <row r="190" spans="1:10" x14ac:dyDescent="0.25">
      <c r="A190" s="6" t="s">
        <v>488</v>
      </c>
      <c r="B190" s="7" t="s">
        <v>867</v>
      </c>
      <c r="C190" s="142">
        <v>317.85899999999998</v>
      </c>
      <c r="D190" s="143">
        <v>19.18</v>
      </c>
      <c r="E190" s="144">
        <f t="shared" si="8"/>
        <v>6096.5356199999997</v>
      </c>
      <c r="F190" s="145">
        <f t="shared" si="11"/>
        <v>0</v>
      </c>
      <c r="G190" s="146">
        <v>3.2325E-2</v>
      </c>
      <c r="H190" s="146">
        <v>-3.0000000000000001E-3</v>
      </c>
      <c r="I190" s="147">
        <f t="shared" si="9"/>
        <v>0</v>
      </c>
      <c r="J190" s="147">
        <f t="shared" si="10"/>
        <v>0</v>
      </c>
    </row>
    <row r="191" spans="1:10" x14ac:dyDescent="0.25">
      <c r="A191" s="6" t="s">
        <v>489</v>
      </c>
      <c r="B191" s="7" t="s">
        <v>868</v>
      </c>
      <c r="C191" s="142">
        <v>428.03399999999999</v>
      </c>
      <c r="D191" s="143">
        <v>35.840000000000003</v>
      </c>
      <c r="E191" s="144">
        <f t="shared" si="8"/>
        <v>15340.738560000002</v>
      </c>
      <c r="F191" s="145">
        <f t="shared" si="11"/>
        <v>9.9224471045107469E-4</v>
      </c>
      <c r="G191" s="146">
        <v>2.0084000000000001E-2</v>
      </c>
      <c r="H191" s="146">
        <v>4.8300000000000003E-2</v>
      </c>
      <c r="I191" s="147">
        <f t="shared" si="9"/>
        <v>1.9928242764699385E-5</v>
      </c>
      <c r="J191" s="147">
        <f t="shared" si="10"/>
        <v>4.7925419514786909E-5</v>
      </c>
    </row>
    <row r="192" spans="1:10" x14ac:dyDescent="0.25">
      <c r="A192" s="6" t="s">
        <v>491</v>
      </c>
      <c r="B192" s="7" t="s">
        <v>870</v>
      </c>
      <c r="C192" s="142">
        <v>298.57</v>
      </c>
      <c r="D192" s="143">
        <v>80.11</v>
      </c>
      <c r="E192" s="144">
        <f t="shared" si="8"/>
        <v>23918.4427</v>
      </c>
      <c r="F192" s="145">
        <f t="shared" si="11"/>
        <v>1.5470538239393682E-3</v>
      </c>
      <c r="G192" s="146">
        <v>2.9467E-2</v>
      </c>
      <c r="H192" s="146">
        <v>9.3000000000000013E-2</v>
      </c>
      <c r="I192" s="147">
        <f t="shared" si="9"/>
        <v>4.558703503002136E-5</v>
      </c>
      <c r="J192" s="147">
        <f t="shared" si="10"/>
        <v>1.4387600562636125E-4</v>
      </c>
    </row>
    <row r="193" spans="1:10" x14ac:dyDescent="0.25">
      <c r="A193" s="6" t="s">
        <v>1131</v>
      </c>
      <c r="B193" s="7" t="s">
        <v>1132</v>
      </c>
      <c r="C193" s="142">
        <v>317.173</v>
      </c>
      <c r="D193" s="143">
        <v>50.97</v>
      </c>
      <c r="E193" s="144">
        <f t="shared" si="8"/>
        <v>16166.30781</v>
      </c>
      <c r="F193" s="145">
        <f t="shared" si="11"/>
        <v>1.0456428384629478E-3</v>
      </c>
      <c r="G193" s="146">
        <v>3.2760999999999998E-2</v>
      </c>
      <c r="H193" s="146">
        <v>6.6669999999999993E-2</v>
      </c>
      <c r="I193" s="147">
        <f t="shared" si="9"/>
        <v>3.425630503088463E-5</v>
      </c>
      <c r="J193" s="147">
        <f t="shared" si="10"/>
        <v>6.9713008040324728E-5</v>
      </c>
    </row>
    <row r="194" spans="1:10" x14ac:dyDescent="0.25">
      <c r="A194" s="6" t="s">
        <v>493</v>
      </c>
      <c r="B194" s="7" t="s">
        <v>871</v>
      </c>
      <c r="C194" s="142">
        <v>182.38300000000001</v>
      </c>
      <c r="D194" s="143">
        <v>187.85</v>
      </c>
      <c r="E194" s="144">
        <f t="shared" si="8"/>
        <v>34260.646549999998</v>
      </c>
      <c r="F194" s="145">
        <f t="shared" si="11"/>
        <v>2.2159914389331299E-3</v>
      </c>
      <c r="G194" s="146">
        <v>1.7035000000000002E-2</v>
      </c>
      <c r="H194" s="146">
        <v>6.5680000000000002E-2</v>
      </c>
      <c r="I194" s="147">
        <f t="shared" si="9"/>
        <v>3.7749414162225871E-5</v>
      </c>
      <c r="J194" s="147">
        <f t="shared" si="10"/>
        <v>1.4554631770912797E-4</v>
      </c>
    </row>
    <row r="195" spans="1:10" x14ac:dyDescent="0.25">
      <c r="A195" s="6" t="s">
        <v>620</v>
      </c>
      <c r="B195" s="7" t="s">
        <v>978</v>
      </c>
      <c r="C195" s="142">
        <v>5133.3590000000004</v>
      </c>
      <c r="D195" s="143">
        <v>54.22</v>
      </c>
      <c r="E195" s="144">
        <f t="shared" si="8"/>
        <v>278330.72498</v>
      </c>
      <c r="F195" s="145">
        <f t="shared" si="11"/>
        <v>1.8002535440993641E-2</v>
      </c>
      <c r="G195" s="146">
        <v>2.7664999999999999E-2</v>
      </c>
      <c r="H195" s="146">
        <v>0.1128</v>
      </c>
      <c r="I195" s="147">
        <f t="shared" si="9"/>
        <v>4.9804014297508907E-4</v>
      </c>
      <c r="J195" s="147">
        <f t="shared" si="10"/>
        <v>2.0306859977440826E-3</v>
      </c>
    </row>
    <row r="196" spans="1:10" x14ac:dyDescent="0.25">
      <c r="A196" s="6" t="s">
        <v>495</v>
      </c>
      <c r="B196" s="7" t="s">
        <v>873</v>
      </c>
      <c r="C196" s="142">
        <v>319.60000000000002</v>
      </c>
      <c r="D196" s="143">
        <v>42.35</v>
      </c>
      <c r="E196" s="144">
        <f t="shared" si="8"/>
        <v>13535.060000000001</v>
      </c>
      <c r="F196" s="145">
        <f t="shared" si="11"/>
        <v>8.7545274551878687E-4</v>
      </c>
      <c r="G196" s="146">
        <v>3.5182999999999999E-2</v>
      </c>
      <c r="H196" s="146">
        <v>0.10099999999999999</v>
      </c>
      <c r="I196" s="147">
        <f t="shared" si="9"/>
        <v>3.0801053945587477E-5</v>
      </c>
      <c r="J196" s="147">
        <f t="shared" si="10"/>
        <v>8.8420727297397461E-5</v>
      </c>
    </row>
    <row r="197" spans="1:10" x14ac:dyDescent="0.25">
      <c r="A197" s="6" t="s">
        <v>534</v>
      </c>
      <c r="B197" s="7" t="s">
        <v>906</v>
      </c>
      <c r="C197" s="142">
        <v>82.543000000000006</v>
      </c>
      <c r="D197" s="143">
        <v>90.97</v>
      </c>
      <c r="E197" s="144">
        <f t="shared" si="8"/>
        <v>7508.9367100000009</v>
      </c>
      <c r="F197" s="145">
        <f t="shared" si="11"/>
        <v>4.8568083619107021E-4</v>
      </c>
      <c r="G197" s="146">
        <v>1.6489999999999999E-3</v>
      </c>
      <c r="H197" s="146">
        <v>9.7599999999999992E-2</v>
      </c>
      <c r="I197" s="147">
        <f t="shared" si="9"/>
        <v>8.008876988790747E-7</v>
      </c>
      <c r="J197" s="147">
        <f t="shared" si="10"/>
        <v>4.7402449612248451E-5</v>
      </c>
    </row>
    <row r="198" spans="1:10" x14ac:dyDescent="0.25">
      <c r="A198" s="6" t="s">
        <v>498</v>
      </c>
      <c r="B198" s="7" t="s">
        <v>874</v>
      </c>
      <c r="C198" s="142">
        <v>763.73599999999999</v>
      </c>
      <c r="D198" s="143">
        <v>74.58</v>
      </c>
      <c r="E198" s="144">
        <f t="shared" si="8"/>
        <v>56959.43088</v>
      </c>
      <c r="F198" s="145">
        <f t="shared" si="11"/>
        <v>3.684157303113807E-3</v>
      </c>
      <c r="G198" s="146">
        <v>4.0220000000000006E-2</v>
      </c>
      <c r="H198" s="146">
        <v>0.08</v>
      </c>
      <c r="I198" s="147">
        <f t="shared" si="9"/>
        <v>1.4817680673123734E-4</v>
      </c>
      <c r="J198" s="147">
        <f t="shared" si="10"/>
        <v>2.9473258424910458E-4</v>
      </c>
    </row>
    <row r="199" spans="1:10" x14ac:dyDescent="0.25">
      <c r="A199" s="23" t="s">
        <v>499</v>
      </c>
      <c r="B199" s="7" t="s">
        <v>875</v>
      </c>
      <c r="C199" s="142">
        <v>242.255</v>
      </c>
      <c r="D199" s="143">
        <v>74.989999999999995</v>
      </c>
      <c r="E199" s="144">
        <f t="shared" si="8"/>
        <v>18166.702449999997</v>
      </c>
      <c r="F199" s="145">
        <f t="shared" si="11"/>
        <v>1.1750291123109441E-3</v>
      </c>
      <c r="G199" s="146">
        <v>2.6669999999999999E-2</v>
      </c>
      <c r="H199" s="146">
        <v>5.3330000000000002E-2</v>
      </c>
      <c r="I199" s="147">
        <f t="shared" si="9"/>
        <v>3.133802642533288E-5</v>
      </c>
      <c r="J199" s="147">
        <f t="shared" si="10"/>
        <v>6.2664302559542655E-5</v>
      </c>
    </row>
    <row r="200" spans="1:10" x14ac:dyDescent="0.25">
      <c r="A200" s="6" t="s">
        <v>500</v>
      </c>
      <c r="B200" s="7" t="s">
        <v>876</v>
      </c>
      <c r="C200" s="142">
        <v>209.167</v>
      </c>
      <c r="D200" s="143">
        <v>33.96</v>
      </c>
      <c r="E200" s="144">
        <f t="shared" si="8"/>
        <v>7103.3113199999998</v>
      </c>
      <c r="F200" s="145">
        <f t="shared" si="11"/>
        <v>4.5944483418386601E-4</v>
      </c>
      <c r="G200" s="146">
        <v>7.2438000000000002E-2</v>
      </c>
      <c r="H200" s="146">
        <v>8.5999999999999993E-2</v>
      </c>
      <c r="I200" s="147">
        <f t="shared" si="9"/>
        <v>3.3281264898610888E-5</v>
      </c>
      <c r="J200" s="147">
        <f t="shared" si="10"/>
        <v>3.9512255739812476E-5</v>
      </c>
    </row>
    <row r="201" spans="1:10" x14ac:dyDescent="0.25">
      <c r="A201" s="6" t="s">
        <v>502</v>
      </c>
      <c r="B201" s="7" t="s">
        <v>878</v>
      </c>
      <c r="C201" s="142">
        <v>160.83799999999999</v>
      </c>
      <c r="D201" s="143">
        <v>21.565000000000001</v>
      </c>
      <c r="E201" s="144">
        <f t="shared" si="8"/>
        <v>3468.47147</v>
      </c>
      <c r="F201" s="145">
        <f t="shared" si="11"/>
        <v>0</v>
      </c>
      <c r="G201" s="146" t="s">
        <v>1109</v>
      </c>
      <c r="H201" s="146">
        <v>2.903E-2</v>
      </c>
      <c r="I201" s="147" t="str">
        <f t="shared" si="9"/>
        <v>n/a</v>
      </c>
      <c r="J201" s="147">
        <f t="shared" si="10"/>
        <v>0</v>
      </c>
    </row>
    <row r="202" spans="1:10" x14ac:dyDescent="0.25">
      <c r="A202" s="6" t="s">
        <v>513</v>
      </c>
      <c r="B202" s="7" t="s">
        <v>886</v>
      </c>
      <c r="C202" s="142">
        <v>490.45400000000001</v>
      </c>
      <c r="D202" s="143">
        <v>53.39</v>
      </c>
      <c r="E202" s="144">
        <f t="shared" si="8"/>
        <v>26185.339060000002</v>
      </c>
      <c r="F202" s="145">
        <f t="shared" si="11"/>
        <v>1.6936775287599265E-3</v>
      </c>
      <c r="G202" s="146">
        <v>3.4089000000000001E-2</v>
      </c>
      <c r="H202" s="146">
        <v>4.2599999999999999E-2</v>
      </c>
      <c r="I202" s="147">
        <f t="shared" si="9"/>
        <v>5.7735773277897134E-5</v>
      </c>
      <c r="J202" s="147">
        <f t="shared" si="10"/>
        <v>7.2150662725172868E-5</v>
      </c>
    </row>
    <row r="203" spans="1:10" x14ac:dyDescent="0.25">
      <c r="A203" s="6" t="s">
        <v>1108</v>
      </c>
      <c r="B203" s="7" t="s">
        <v>879</v>
      </c>
      <c r="C203" s="142">
        <v>136.172</v>
      </c>
      <c r="D203" s="143">
        <v>104.75</v>
      </c>
      <c r="E203" s="144">
        <f t="shared" si="8"/>
        <v>14264.017</v>
      </c>
      <c r="F203" s="145">
        <f t="shared" si="11"/>
        <v>9.2260195704907465E-4</v>
      </c>
      <c r="G203" s="146">
        <v>2.4056999999999999E-2</v>
      </c>
      <c r="H203" s="146">
        <v>8.6919999999999997E-2</v>
      </c>
      <c r="I203" s="147">
        <f t="shared" si="9"/>
        <v>2.2195035280729588E-5</v>
      </c>
      <c r="J203" s="147">
        <f t="shared" si="10"/>
        <v>8.0192562106705563E-5</v>
      </c>
    </row>
    <row r="204" spans="1:10" x14ac:dyDescent="0.25">
      <c r="A204" s="6" t="s">
        <v>522</v>
      </c>
      <c r="B204" s="7" t="s">
        <v>895</v>
      </c>
      <c r="C204" s="142">
        <v>669.97</v>
      </c>
      <c r="D204" s="143">
        <v>34.424999999999997</v>
      </c>
      <c r="E204" s="144">
        <f t="shared" si="8"/>
        <v>23063.717249999998</v>
      </c>
      <c r="F204" s="145">
        <f t="shared" si="11"/>
        <v>1.4917698620014615E-3</v>
      </c>
      <c r="G204" s="146">
        <v>4.3857E-2</v>
      </c>
      <c r="H204" s="146">
        <v>1.418E-2</v>
      </c>
      <c r="I204" s="147">
        <f t="shared" si="9"/>
        <v>6.5424550837798093E-5</v>
      </c>
      <c r="J204" s="147">
        <f t="shared" si="10"/>
        <v>2.1153296643180725E-5</v>
      </c>
    </row>
    <row r="205" spans="1:10" x14ac:dyDescent="0.25">
      <c r="A205" s="6" t="s">
        <v>509</v>
      </c>
      <c r="B205" s="7" t="s">
        <v>882</v>
      </c>
      <c r="C205" s="142">
        <v>1456.8510000000001</v>
      </c>
      <c r="D205" s="143">
        <v>102.27</v>
      </c>
      <c r="E205" s="144">
        <f t="shared" si="8"/>
        <v>148992.15177</v>
      </c>
      <c r="F205" s="145">
        <f t="shared" si="11"/>
        <v>9.6368681282386834E-3</v>
      </c>
      <c r="G205" s="146">
        <v>2.7476000000000004E-2</v>
      </c>
      <c r="H205" s="146">
        <v>6.0420000000000001E-2</v>
      </c>
      <c r="I205" s="147">
        <f t="shared" si="9"/>
        <v>2.647825886914861E-4</v>
      </c>
      <c r="J205" s="147">
        <f t="shared" si="10"/>
        <v>5.8225957230818122E-4</v>
      </c>
    </row>
    <row r="206" spans="1:10" x14ac:dyDescent="0.25">
      <c r="A206" s="6" t="s">
        <v>351</v>
      </c>
      <c r="B206" s="7" t="s">
        <v>763</v>
      </c>
      <c r="C206" s="142">
        <v>919.56399999999996</v>
      </c>
      <c r="D206" s="143">
        <v>27.94</v>
      </c>
      <c r="E206" s="144">
        <f t="shared" ref="E206:E269" si="12">C206*D206</f>
        <v>25692.618160000002</v>
      </c>
      <c r="F206" s="145">
        <f t="shared" si="11"/>
        <v>1.6618081565754302E-3</v>
      </c>
      <c r="G206" s="146">
        <v>4.4364999999999995E-2</v>
      </c>
      <c r="H206" s="146">
        <v>5.8689999999999999E-2</v>
      </c>
      <c r="I206" s="147">
        <f t="shared" ref="I206:I269" si="13">IF(G206="n/a","n/a",$F206*G206)</f>
        <v>7.3726118866468946E-5</v>
      </c>
      <c r="J206" s="147">
        <f t="shared" ref="J206:J269" si="14">IF(H206="n/a","n/a",$F206*H206)</f>
        <v>9.7531520709412002E-5</v>
      </c>
    </row>
    <row r="207" spans="1:10" x14ac:dyDescent="0.25">
      <c r="A207" s="6" t="s">
        <v>300</v>
      </c>
      <c r="B207" s="7" t="s">
        <v>719</v>
      </c>
      <c r="C207" s="142">
        <v>1233.4590000000001</v>
      </c>
      <c r="D207" s="143">
        <v>53.44</v>
      </c>
      <c r="E207" s="144">
        <f t="shared" si="12"/>
        <v>65916.04896</v>
      </c>
      <c r="F207" s="145">
        <f t="shared" ref="F207:F270" si="15">IF(OR(G207="n/a",H207="n/a",H207&lt;0%),0%,E207/SUMIFS(E$14:E$518,G$14:G$518,"&lt;&gt;n/a",$H$14:$H$518,"&lt;&gt;n/a",$H$14:$H$518,"&gt;=0"))</f>
        <v>4.2634747120280795E-3</v>
      </c>
      <c r="G207" s="146">
        <v>5.5389000000000001E-2</v>
      </c>
      <c r="H207" s="146">
        <v>1.8500000000000003E-2</v>
      </c>
      <c r="I207" s="147">
        <f t="shared" si="13"/>
        <v>2.361496008245233E-4</v>
      </c>
      <c r="J207" s="147">
        <f t="shared" si="14"/>
        <v>7.8874282172519485E-5</v>
      </c>
    </row>
    <row r="208" spans="1:10" x14ac:dyDescent="0.25">
      <c r="A208" s="6" t="s">
        <v>533</v>
      </c>
      <c r="B208" s="7" t="s">
        <v>905</v>
      </c>
      <c r="C208" s="142">
        <v>349.137</v>
      </c>
      <c r="D208" s="143">
        <v>18.329999999999998</v>
      </c>
      <c r="E208" s="144">
        <f t="shared" si="12"/>
        <v>6399.6812099999997</v>
      </c>
      <c r="F208" s="145">
        <f t="shared" si="15"/>
        <v>4.1393377537591198E-4</v>
      </c>
      <c r="G208" s="146">
        <v>1.7458000000000001E-2</v>
      </c>
      <c r="H208" s="146">
        <v>0.14169999999999999</v>
      </c>
      <c r="I208" s="147">
        <f t="shared" si="13"/>
        <v>7.2264558505126717E-6</v>
      </c>
      <c r="J208" s="147">
        <f t="shared" si="14"/>
        <v>5.8654415970766727E-5</v>
      </c>
    </row>
    <row r="209" spans="1:10" x14ac:dyDescent="0.25">
      <c r="A209" s="6" t="s">
        <v>516</v>
      </c>
      <c r="B209" s="7" t="s">
        <v>889</v>
      </c>
      <c r="C209" s="142">
        <v>110.85</v>
      </c>
      <c r="D209" s="143">
        <v>63.54</v>
      </c>
      <c r="E209" s="144">
        <f t="shared" si="12"/>
        <v>7043.4089999999997</v>
      </c>
      <c r="F209" s="145">
        <f t="shared" si="15"/>
        <v>4.5557032971126337E-4</v>
      </c>
      <c r="G209" s="146">
        <v>3.9344999999999998E-2</v>
      </c>
      <c r="H209" s="146">
        <v>5.45E-2</v>
      </c>
      <c r="I209" s="147">
        <f t="shared" si="13"/>
        <v>1.7924414622489655E-5</v>
      </c>
      <c r="J209" s="147">
        <f t="shared" si="14"/>
        <v>2.4828582969263853E-5</v>
      </c>
    </row>
    <row r="210" spans="1:10" x14ac:dyDescent="0.25">
      <c r="A210" s="6" t="s">
        <v>518</v>
      </c>
      <c r="B210" s="7" t="s">
        <v>891</v>
      </c>
      <c r="C210" s="142">
        <v>201.91900000000001</v>
      </c>
      <c r="D210" s="143">
        <v>20.66</v>
      </c>
      <c r="E210" s="144">
        <f t="shared" si="12"/>
        <v>4171.6465400000006</v>
      </c>
      <c r="F210" s="145">
        <f t="shared" si="15"/>
        <v>2.6982365920630926E-4</v>
      </c>
      <c r="G210" s="146">
        <v>3.6302000000000001E-2</v>
      </c>
      <c r="H210" s="146">
        <v>0.14000000000000001</v>
      </c>
      <c r="I210" s="147">
        <f t="shared" si="13"/>
        <v>9.7951384765074387E-6</v>
      </c>
      <c r="J210" s="147">
        <f t="shared" si="14"/>
        <v>3.7775312288883301E-5</v>
      </c>
    </row>
    <row r="211" spans="1:10" x14ac:dyDescent="0.25">
      <c r="A211" s="6" t="s">
        <v>519</v>
      </c>
      <c r="B211" s="7" t="s">
        <v>892</v>
      </c>
      <c r="C211" s="142">
        <v>174.72900000000001</v>
      </c>
      <c r="D211" s="143">
        <v>40.774999999999999</v>
      </c>
      <c r="E211" s="144">
        <f t="shared" si="12"/>
        <v>7124.5749750000004</v>
      </c>
      <c r="F211" s="145">
        <f t="shared" si="15"/>
        <v>4.6082017534596759E-4</v>
      </c>
      <c r="G211" s="146">
        <v>4.3164000000000001E-2</v>
      </c>
      <c r="H211" s="146">
        <v>0.22817000000000001</v>
      </c>
      <c r="I211" s="147">
        <f t="shared" si="13"/>
        <v>1.9890842048633346E-5</v>
      </c>
      <c r="J211" s="147">
        <f t="shared" si="14"/>
        <v>1.0514533940868942E-4</v>
      </c>
    </row>
    <row r="212" spans="1:10" x14ac:dyDescent="0.25">
      <c r="A212" s="6" t="s">
        <v>520</v>
      </c>
      <c r="B212" s="7" t="s">
        <v>893</v>
      </c>
      <c r="C212" s="142">
        <v>513.6</v>
      </c>
      <c r="D212" s="143">
        <v>90.35</v>
      </c>
      <c r="E212" s="144">
        <f t="shared" si="12"/>
        <v>46403.76</v>
      </c>
      <c r="F212" s="145">
        <f t="shared" si="15"/>
        <v>3.0014125607418706E-3</v>
      </c>
      <c r="G212" s="146">
        <v>2.2579000000000002E-2</v>
      </c>
      <c r="H212" s="146">
        <v>7.0019999999999999E-2</v>
      </c>
      <c r="I212" s="147">
        <f t="shared" si="13"/>
        <v>6.77688942089907E-5</v>
      </c>
      <c r="J212" s="147">
        <f t="shared" si="14"/>
        <v>2.1015890750314577E-4</v>
      </c>
    </row>
    <row r="213" spans="1:10" x14ac:dyDescent="0.25">
      <c r="A213" s="6" t="s">
        <v>521</v>
      </c>
      <c r="B213" s="7" t="s">
        <v>894</v>
      </c>
      <c r="C213" s="142">
        <v>269.26900000000001</v>
      </c>
      <c r="D213" s="143">
        <v>104.37</v>
      </c>
      <c r="E213" s="144">
        <f t="shared" si="12"/>
        <v>28103.605530000001</v>
      </c>
      <c r="F213" s="145">
        <f t="shared" si="15"/>
        <v>1.8177517218405726E-3</v>
      </c>
      <c r="G213" s="146">
        <v>1.3796999999999999E-2</v>
      </c>
      <c r="H213" s="146">
        <v>7.0250000000000007E-2</v>
      </c>
      <c r="I213" s="147">
        <f t="shared" si="13"/>
        <v>2.5079520506234378E-5</v>
      </c>
      <c r="J213" s="147">
        <f t="shared" si="14"/>
        <v>1.2769705845930025E-4</v>
      </c>
    </row>
    <row r="214" spans="1:10" x14ac:dyDescent="0.25">
      <c r="A214" s="6" t="s">
        <v>523</v>
      </c>
      <c r="B214" s="7" t="s">
        <v>896</v>
      </c>
      <c r="C214" s="142">
        <v>286.47199999999998</v>
      </c>
      <c r="D214" s="143">
        <v>111.15</v>
      </c>
      <c r="E214" s="144">
        <f t="shared" si="12"/>
        <v>31841.362799999999</v>
      </c>
      <c r="F214" s="145">
        <f t="shared" si="15"/>
        <v>2.0595112607051441E-3</v>
      </c>
      <c r="G214" s="146">
        <v>2.5735999999999998E-2</v>
      </c>
      <c r="H214" s="146">
        <v>0.09</v>
      </c>
      <c r="I214" s="147">
        <f t="shared" si="13"/>
        <v>5.3003581805507587E-5</v>
      </c>
      <c r="J214" s="147">
        <f t="shared" si="14"/>
        <v>1.8535601346346295E-4</v>
      </c>
    </row>
    <row r="215" spans="1:10" x14ac:dyDescent="0.25">
      <c r="A215" s="6" t="s">
        <v>524</v>
      </c>
      <c r="B215" s="7" t="s">
        <v>897</v>
      </c>
      <c r="C215" s="142">
        <v>137.58099999999999</v>
      </c>
      <c r="D215" s="143">
        <v>230.81</v>
      </c>
      <c r="E215" s="144">
        <f t="shared" si="12"/>
        <v>31755.070609999999</v>
      </c>
      <c r="F215" s="145">
        <f t="shared" si="15"/>
        <v>2.0539298495660481E-3</v>
      </c>
      <c r="G215" s="146">
        <v>5.1999999999999995E-4</v>
      </c>
      <c r="H215" s="146">
        <v>0.10550000000000001</v>
      </c>
      <c r="I215" s="147">
        <f t="shared" si="13"/>
        <v>1.0680435217743448E-6</v>
      </c>
      <c r="J215" s="147">
        <f t="shared" si="14"/>
        <v>2.1668959912921811E-4</v>
      </c>
    </row>
    <row r="216" spans="1:10" x14ac:dyDescent="0.25">
      <c r="A216" s="6" t="s">
        <v>528</v>
      </c>
      <c r="B216" s="7" t="s">
        <v>900</v>
      </c>
      <c r="C216" s="142">
        <v>585.93200000000002</v>
      </c>
      <c r="D216" s="143">
        <v>33.14</v>
      </c>
      <c r="E216" s="144">
        <f t="shared" si="12"/>
        <v>19417.786480000002</v>
      </c>
      <c r="F216" s="145">
        <f t="shared" si="15"/>
        <v>1.2559496955176837E-3</v>
      </c>
      <c r="G216" s="146">
        <v>2.0705999999999999E-2</v>
      </c>
      <c r="H216" s="146">
        <v>8.5749999999999993E-2</v>
      </c>
      <c r="I216" s="147">
        <f t="shared" si="13"/>
        <v>2.6005694395389157E-5</v>
      </c>
      <c r="J216" s="147">
        <f t="shared" si="14"/>
        <v>1.0769768639064137E-4</v>
      </c>
    </row>
    <row r="217" spans="1:10" x14ac:dyDescent="0.25">
      <c r="A217" s="6" t="s">
        <v>531</v>
      </c>
      <c r="B217" s="7" t="s">
        <v>903</v>
      </c>
      <c r="C217" s="142">
        <v>505.875</v>
      </c>
      <c r="D217" s="143">
        <v>41.33</v>
      </c>
      <c r="E217" s="144">
        <f t="shared" si="12"/>
        <v>20907.813749999998</v>
      </c>
      <c r="F217" s="145">
        <f t="shared" si="15"/>
        <v>1.3523252168984061E-3</v>
      </c>
      <c r="G217" s="146">
        <v>3.7745000000000001E-2</v>
      </c>
      <c r="H217" s="146">
        <v>4.752E-2</v>
      </c>
      <c r="I217" s="147">
        <f t="shared" si="13"/>
        <v>5.1043515311830336E-5</v>
      </c>
      <c r="J217" s="147">
        <f t="shared" si="14"/>
        <v>6.4262494307012262E-5</v>
      </c>
    </row>
    <row r="218" spans="1:10" x14ac:dyDescent="0.25">
      <c r="A218" s="6" t="s">
        <v>540</v>
      </c>
      <c r="B218" s="7" t="s">
        <v>911</v>
      </c>
      <c r="C218" s="142">
        <v>301.09800000000001</v>
      </c>
      <c r="D218" s="143">
        <v>117.5</v>
      </c>
      <c r="E218" s="144">
        <f t="shared" si="12"/>
        <v>35379.014999999999</v>
      </c>
      <c r="F218" s="145">
        <f t="shared" si="15"/>
        <v>2.2883279287642861E-3</v>
      </c>
      <c r="G218" s="146">
        <v>2.2808999999999999E-2</v>
      </c>
      <c r="H218" s="146">
        <v>7.4050000000000005E-2</v>
      </c>
      <c r="I218" s="147">
        <f t="shared" si="13"/>
        <v>5.2194471727184599E-5</v>
      </c>
      <c r="J218" s="147">
        <f t="shared" si="14"/>
        <v>1.694506831249954E-4</v>
      </c>
    </row>
    <row r="219" spans="1:10" x14ac:dyDescent="0.25">
      <c r="A219" s="6" t="s">
        <v>546</v>
      </c>
      <c r="B219" s="7" t="s">
        <v>916</v>
      </c>
      <c r="C219" s="142">
        <v>134.5</v>
      </c>
      <c r="D219" s="143">
        <v>52.72</v>
      </c>
      <c r="E219" s="144">
        <f t="shared" si="12"/>
        <v>7090.84</v>
      </c>
      <c r="F219" s="145">
        <f t="shared" si="15"/>
        <v>4.5863818453959084E-4</v>
      </c>
      <c r="G219" s="146">
        <v>1.5175000000000001E-2</v>
      </c>
      <c r="H219" s="146">
        <v>0.13064999999999999</v>
      </c>
      <c r="I219" s="147">
        <f t="shared" si="13"/>
        <v>6.9598344503882918E-6</v>
      </c>
      <c r="J219" s="147">
        <f t="shared" si="14"/>
        <v>5.9921078810097538E-5</v>
      </c>
    </row>
    <row r="220" spans="1:10" x14ac:dyDescent="0.25">
      <c r="A220" s="6" t="s">
        <v>550</v>
      </c>
      <c r="B220" s="7" t="s">
        <v>920</v>
      </c>
      <c r="C220" s="142">
        <v>53.424999999999997</v>
      </c>
      <c r="D220" s="143">
        <v>71.849999999999994</v>
      </c>
      <c r="E220" s="144">
        <f t="shared" si="12"/>
        <v>3838.5862499999994</v>
      </c>
      <c r="F220" s="145">
        <f t="shared" si="15"/>
        <v>2.4828119502042574E-4</v>
      </c>
      <c r="G220" s="146">
        <v>2.2824999999999998E-2</v>
      </c>
      <c r="H220" s="146">
        <v>0.10925000000000001</v>
      </c>
      <c r="I220" s="147">
        <f t="shared" si="13"/>
        <v>5.667018276341217E-6</v>
      </c>
      <c r="J220" s="147">
        <f t="shared" si="14"/>
        <v>2.7124720555981516E-5</v>
      </c>
    </row>
    <row r="221" spans="1:10" x14ac:dyDescent="0.25">
      <c r="A221" s="6" t="s">
        <v>552</v>
      </c>
      <c r="B221" s="7" t="s">
        <v>922</v>
      </c>
      <c r="C221" s="142">
        <v>142.917</v>
      </c>
      <c r="D221" s="143">
        <v>59.24</v>
      </c>
      <c r="E221" s="144">
        <f t="shared" si="12"/>
        <v>8466.40308</v>
      </c>
      <c r="F221" s="145">
        <f t="shared" si="15"/>
        <v>5.476101192794648E-4</v>
      </c>
      <c r="G221" s="146">
        <v>3.6798999999999998E-2</v>
      </c>
      <c r="H221" s="146">
        <v>0.06</v>
      </c>
      <c r="I221" s="147">
        <f t="shared" si="13"/>
        <v>2.0151504779365023E-5</v>
      </c>
      <c r="J221" s="147">
        <f t="shared" si="14"/>
        <v>3.2856607156767888E-5</v>
      </c>
    </row>
    <row r="222" spans="1:10" x14ac:dyDescent="0.25">
      <c r="A222" s="6" t="s">
        <v>336</v>
      </c>
      <c r="B222" s="7" t="s">
        <v>749</v>
      </c>
      <c r="C222" s="142">
        <v>325.81099999999998</v>
      </c>
      <c r="D222" s="143">
        <v>60.55</v>
      </c>
      <c r="E222" s="144">
        <f t="shared" si="12"/>
        <v>19727.856049999999</v>
      </c>
      <c r="F222" s="145">
        <f t="shared" si="15"/>
        <v>1.2760051113310106E-3</v>
      </c>
      <c r="G222" s="146">
        <v>2.7580999999999998E-2</v>
      </c>
      <c r="H222" s="146">
        <v>3.4169999999999999E-2</v>
      </c>
      <c r="I222" s="147">
        <f t="shared" si="13"/>
        <v>3.5193496975620602E-5</v>
      </c>
      <c r="J222" s="147">
        <f t="shared" si="14"/>
        <v>4.360109465418063E-5</v>
      </c>
    </row>
    <row r="223" spans="1:10" x14ac:dyDescent="0.25">
      <c r="A223" s="6" t="s">
        <v>553</v>
      </c>
      <c r="B223" s="7" t="s">
        <v>923</v>
      </c>
      <c r="C223" s="142">
        <v>1261.104</v>
      </c>
      <c r="D223" s="143">
        <v>78.19</v>
      </c>
      <c r="E223" s="144">
        <f t="shared" si="12"/>
        <v>98605.72176</v>
      </c>
      <c r="F223" s="145">
        <f t="shared" si="15"/>
        <v>6.3778549809645159E-3</v>
      </c>
      <c r="G223" s="146">
        <v>2.5571999999999998E-2</v>
      </c>
      <c r="H223" s="146">
        <v>0.126</v>
      </c>
      <c r="I223" s="147">
        <f t="shared" si="13"/>
        <v>1.6309450757322457E-4</v>
      </c>
      <c r="J223" s="147">
        <f t="shared" si="14"/>
        <v>8.0360972760152899E-4</v>
      </c>
    </row>
    <row r="224" spans="1:10" x14ac:dyDescent="0.25">
      <c r="A224" s="6" t="s">
        <v>277</v>
      </c>
      <c r="B224" s="7" t="s">
        <v>703</v>
      </c>
      <c r="C224" s="142">
        <v>1315.624</v>
      </c>
      <c r="D224" s="143">
        <v>30.555</v>
      </c>
      <c r="E224" s="144">
        <f t="shared" si="12"/>
        <v>40198.891320000002</v>
      </c>
      <c r="F224" s="145">
        <f t="shared" si="15"/>
        <v>2.6000793327037581E-3</v>
      </c>
      <c r="G224" s="146">
        <v>7.8549999999999991E-3</v>
      </c>
      <c r="H224" s="146">
        <v>0.20347000000000001</v>
      </c>
      <c r="I224" s="147">
        <f t="shared" si="13"/>
        <v>2.0423623158388017E-5</v>
      </c>
      <c r="J224" s="147">
        <f t="shared" si="14"/>
        <v>5.2903814182523375E-4</v>
      </c>
    </row>
    <row r="225" spans="1:10" x14ac:dyDescent="0.25">
      <c r="A225" s="6" t="s">
        <v>557</v>
      </c>
      <c r="B225" s="7" t="s">
        <v>927</v>
      </c>
      <c r="C225" s="142">
        <v>93.100999999999999</v>
      </c>
      <c r="D225" s="143">
        <v>266.82</v>
      </c>
      <c r="E225" s="144">
        <f t="shared" si="12"/>
        <v>24841.20882</v>
      </c>
      <c r="F225" s="145">
        <f t="shared" si="15"/>
        <v>1.6067386818731874E-3</v>
      </c>
      <c r="G225" s="146">
        <v>1.0043999999999999E-2</v>
      </c>
      <c r="H225" s="146">
        <v>0.18049999999999999</v>
      </c>
      <c r="I225" s="147">
        <f t="shared" si="13"/>
        <v>1.6138083320734291E-5</v>
      </c>
      <c r="J225" s="147">
        <f t="shared" si="14"/>
        <v>2.9001633207811033E-4</v>
      </c>
    </row>
    <row r="226" spans="1:10" x14ac:dyDescent="0.25">
      <c r="A226" s="6" t="s">
        <v>419</v>
      </c>
      <c r="B226" s="7" t="s">
        <v>812</v>
      </c>
      <c r="C226" s="142">
        <v>119.66500000000001</v>
      </c>
      <c r="D226" s="143">
        <v>117.44</v>
      </c>
      <c r="E226" s="144">
        <f t="shared" si="12"/>
        <v>14053.4576</v>
      </c>
      <c r="F226" s="145">
        <f t="shared" si="15"/>
        <v>9.0898289626731321E-4</v>
      </c>
      <c r="G226" s="146">
        <v>2.282E-2</v>
      </c>
      <c r="H226" s="146">
        <v>9.375E-2</v>
      </c>
      <c r="I226" s="147">
        <f t="shared" si="13"/>
        <v>2.0742989692820087E-5</v>
      </c>
      <c r="J226" s="147">
        <f t="shared" si="14"/>
        <v>8.521714652506062E-5</v>
      </c>
    </row>
    <row r="227" spans="1:10" x14ac:dyDescent="0.25">
      <c r="A227" s="23" t="s">
        <v>560</v>
      </c>
      <c r="B227" s="66" t="s">
        <v>929</v>
      </c>
      <c r="C227" s="142">
        <v>58.073999999999998</v>
      </c>
      <c r="D227" s="143">
        <v>165.87</v>
      </c>
      <c r="E227" s="144">
        <f t="shared" si="12"/>
        <v>9632.7343799999999</v>
      </c>
      <c r="F227" s="145">
        <f t="shared" si="15"/>
        <v>6.230488641959628E-4</v>
      </c>
      <c r="G227" s="146">
        <v>1.2781000000000001E-2</v>
      </c>
      <c r="H227" s="146">
        <v>3.3000000000000002E-2</v>
      </c>
      <c r="I227" s="147">
        <f t="shared" si="13"/>
        <v>7.9631875332886009E-6</v>
      </c>
      <c r="J227" s="147">
        <f t="shared" si="14"/>
        <v>2.0560612518466774E-5</v>
      </c>
    </row>
    <row r="228" spans="1:10" x14ac:dyDescent="0.25">
      <c r="A228" s="6" t="s">
        <v>221</v>
      </c>
      <c r="B228" s="7" t="s">
        <v>660</v>
      </c>
      <c r="C228" s="142">
        <v>242.16399999999999</v>
      </c>
      <c r="D228" s="143">
        <v>54.81</v>
      </c>
      <c r="E228" s="144">
        <f t="shared" si="12"/>
        <v>13273.00884</v>
      </c>
      <c r="F228" s="145">
        <f t="shared" si="15"/>
        <v>8.5850317843239174E-4</v>
      </c>
      <c r="G228" s="146">
        <v>6.5680000000000009E-3</v>
      </c>
      <c r="H228" s="146">
        <v>9.4049999999999995E-2</v>
      </c>
      <c r="I228" s="147">
        <f t="shared" si="13"/>
        <v>5.6386488759439497E-6</v>
      </c>
      <c r="J228" s="147">
        <f t="shared" si="14"/>
        <v>8.0742223931566439E-5</v>
      </c>
    </row>
    <row r="229" spans="1:10" x14ac:dyDescent="0.25">
      <c r="A229" s="6" t="s">
        <v>561</v>
      </c>
      <c r="B229" s="7" t="s">
        <v>930</v>
      </c>
      <c r="C229" s="142">
        <v>908.42499999999995</v>
      </c>
      <c r="D229" s="143">
        <v>45.11</v>
      </c>
      <c r="E229" s="144">
        <f t="shared" si="12"/>
        <v>40979.051749999999</v>
      </c>
      <c r="F229" s="145">
        <f t="shared" si="15"/>
        <v>2.6505404012463888E-3</v>
      </c>
      <c r="G229" s="146">
        <v>4.8093999999999998E-2</v>
      </c>
      <c r="H229" s="146">
        <v>4.1139999999999996E-2</v>
      </c>
      <c r="I229" s="147">
        <f t="shared" si="13"/>
        <v>1.2747509005754383E-4</v>
      </c>
      <c r="J229" s="147">
        <f t="shared" si="14"/>
        <v>1.0904323210727643E-4</v>
      </c>
    </row>
    <row r="230" spans="1:10" x14ac:dyDescent="0.25">
      <c r="A230" s="6" t="s">
        <v>246</v>
      </c>
      <c r="B230" s="7" t="s">
        <v>678</v>
      </c>
      <c r="C230" s="142">
        <v>780.15</v>
      </c>
      <c r="D230" s="143">
        <v>37.18</v>
      </c>
      <c r="E230" s="144">
        <f t="shared" si="12"/>
        <v>29005.976999999999</v>
      </c>
      <c r="F230" s="145">
        <f t="shared" si="15"/>
        <v>1.8761174461808653E-3</v>
      </c>
      <c r="G230" s="146">
        <v>2.9047999999999997E-2</v>
      </c>
      <c r="H230" s="146">
        <v>0.11298</v>
      </c>
      <c r="I230" s="147">
        <f t="shared" si="13"/>
        <v>5.4497459576661771E-5</v>
      </c>
      <c r="J230" s="147">
        <f t="shared" si="14"/>
        <v>2.1196374906951417E-4</v>
      </c>
    </row>
    <row r="231" spans="1:10" x14ac:dyDescent="0.25">
      <c r="A231" s="6" t="s">
        <v>562</v>
      </c>
      <c r="B231" s="7" t="s">
        <v>931</v>
      </c>
      <c r="C231" s="142">
        <v>650.35500000000002</v>
      </c>
      <c r="D231" s="143">
        <v>46.31</v>
      </c>
      <c r="E231" s="144">
        <f t="shared" si="12"/>
        <v>30117.940050000001</v>
      </c>
      <c r="F231" s="145">
        <f t="shared" si="15"/>
        <v>1.9480396323431686E-3</v>
      </c>
      <c r="G231" s="146">
        <v>6.4790000000000004E-3</v>
      </c>
      <c r="H231" s="146">
        <v>0.17254999999999998</v>
      </c>
      <c r="I231" s="147">
        <f t="shared" si="13"/>
        <v>1.262134877795139E-5</v>
      </c>
      <c r="J231" s="147">
        <f t="shared" si="14"/>
        <v>3.3613423856081371E-4</v>
      </c>
    </row>
    <row r="232" spans="1:10" x14ac:dyDescent="0.25">
      <c r="A232" s="6" t="s">
        <v>563</v>
      </c>
      <c r="B232" s="7" t="s">
        <v>932</v>
      </c>
      <c r="C232" s="142">
        <v>384.47899999999998</v>
      </c>
      <c r="D232" s="143">
        <v>11.03</v>
      </c>
      <c r="E232" s="144">
        <f t="shared" si="12"/>
        <v>4240.8033699999996</v>
      </c>
      <c r="F232" s="145">
        <f t="shared" si="15"/>
        <v>0</v>
      </c>
      <c r="G232" s="146" t="s">
        <v>1109</v>
      </c>
      <c r="H232" s="146">
        <v>9.5500000000000002E-2</v>
      </c>
      <c r="I232" s="147" t="str">
        <f t="shared" si="13"/>
        <v>n/a</v>
      </c>
      <c r="J232" s="147">
        <f t="shared" si="14"/>
        <v>0</v>
      </c>
    </row>
    <row r="233" spans="1:10" x14ac:dyDescent="0.25">
      <c r="A233" s="6" t="s">
        <v>566</v>
      </c>
      <c r="B233" s="7" t="s">
        <v>935</v>
      </c>
      <c r="C233" s="142">
        <v>149.726</v>
      </c>
      <c r="D233" s="143">
        <v>106.07</v>
      </c>
      <c r="E233" s="144">
        <f t="shared" si="12"/>
        <v>15881.436819999999</v>
      </c>
      <c r="F233" s="145">
        <f t="shared" si="15"/>
        <v>1.027217276233142E-3</v>
      </c>
      <c r="G233" s="146">
        <v>2.0740999999999999E-2</v>
      </c>
      <c r="H233" s="146">
        <v>0.10667</v>
      </c>
      <c r="I233" s="147">
        <f t="shared" si="13"/>
        <v>2.1305513526351596E-5</v>
      </c>
      <c r="J233" s="147">
        <f t="shared" si="14"/>
        <v>1.0957326685578926E-4</v>
      </c>
    </row>
    <row r="234" spans="1:10" x14ac:dyDescent="0.25">
      <c r="A234" s="6" t="s">
        <v>532</v>
      </c>
      <c r="B234" s="7" t="s">
        <v>904</v>
      </c>
      <c r="C234" s="142">
        <v>172.96700000000001</v>
      </c>
      <c r="D234" s="143">
        <v>229.53</v>
      </c>
      <c r="E234" s="144">
        <f t="shared" si="12"/>
        <v>39701.115510000003</v>
      </c>
      <c r="F234" s="145">
        <f t="shared" si="15"/>
        <v>2.5678830070489525E-3</v>
      </c>
      <c r="G234" s="146">
        <v>2.9626E-2</v>
      </c>
      <c r="H234" s="146">
        <v>4.845E-2</v>
      </c>
      <c r="I234" s="147">
        <f t="shared" si="13"/>
        <v>7.6076101966832271E-5</v>
      </c>
      <c r="J234" s="147">
        <f t="shared" si="14"/>
        <v>1.2441393169152176E-4</v>
      </c>
    </row>
    <row r="235" spans="1:10" x14ac:dyDescent="0.25">
      <c r="A235" s="6" t="s">
        <v>573</v>
      </c>
      <c r="B235" s="7" t="s">
        <v>939</v>
      </c>
      <c r="C235" s="142">
        <v>514.04700000000003</v>
      </c>
      <c r="D235" s="143">
        <v>41.57</v>
      </c>
      <c r="E235" s="144">
        <f t="shared" si="12"/>
        <v>21368.933790000003</v>
      </c>
      <c r="F235" s="145">
        <f t="shared" si="15"/>
        <v>1.3821506336332957E-3</v>
      </c>
      <c r="G235" s="146">
        <v>2.3094E-2</v>
      </c>
      <c r="H235" s="146">
        <v>5.8600000000000006E-2</v>
      </c>
      <c r="I235" s="147">
        <f t="shared" si="13"/>
        <v>3.1919386733127331E-5</v>
      </c>
      <c r="J235" s="147">
        <f t="shared" si="14"/>
        <v>8.0994027130911142E-5</v>
      </c>
    </row>
    <row r="236" spans="1:10" x14ac:dyDescent="0.25">
      <c r="A236" s="6" t="s">
        <v>575</v>
      </c>
      <c r="B236" s="7" t="s">
        <v>940</v>
      </c>
      <c r="C236" s="142">
        <v>596.10599999999999</v>
      </c>
      <c r="D236" s="143">
        <v>41.26</v>
      </c>
      <c r="E236" s="144">
        <f t="shared" si="12"/>
        <v>24595.333559999999</v>
      </c>
      <c r="F236" s="145">
        <f t="shared" si="15"/>
        <v>1.5908353780516935E-3</v>
      </c>
      <c r="G236" s="146">
        <v>2.9083999999999999E-2</v>
      </c>
      <c r="H236" s="146">
        <v>9.3329999999999996E-2</v>
      </c>
      <c r="I236" s="147">
        <f t="shared" si="13"/>
        <v>4.6267856135255452E-5</v>
      </c>
      <c r="J236" s="147">
        <f t="shared" si="14"/>
        <v>1.4847266583356455E-4</v>
      </c>
    </row>
    <row r="237" spans="1:10" x14ac:dyDescent="0.25">
      <c r="A237" s="6" t="s">
        <v>579</v>
      </c>
      <c r="B237" s="7" t="s">
        <v>943</v>
      </c>
      <c r="C237" s="142">
        <v>235.22900000000001</v>
      </c>
      <c r="D237" s="143">
        <v>27</v>
      </c>
      <c r="E237" s="144">
        <f t="shared" si="12"/>
        <v>6351.183</v>
      </c>
      <c r="F237" s="145">
        <f t="shared" si="15"/>
        <v>4.1079689300544254E-4</v>
      </c>
      <c r="G237" s="146">
        <v>3.3333000000000002E-2</v>
      </c>
      <c r="H237" s="146">
        <v>5.3330000000000002E-2</v>
      </c>
      <c r="I237" s="147">
        <f t="shared" si="13"/>
        <v>1.3693092834550417E-5</v>
      </c>
      <c r="J237" s="147">
        <f t="shared" si="14"/>
        <v>2.1907798303980252E-5</v>
      </c>
    </row>
    <row r="238" spans="1:10" x14ac:dyDescent="0.25">
      <c r="A238" s="6" t="s">
        <v>582</v>
      </c>
      <c r="B238" s="7" t="s">
        <v>946</v>
      </c>
      <c r="C238" s="142">
        <v>120.39</v>
      </c>
      <c r="D238" s="143">
        <v>106.99</v>
      </c>
      <c r="E238" s="144">
        <f t="shared" si="12"/>
        <v>12880.526099999999</v>
      </c>
      <c r="F238" s="145">
        <f t="shared" si="15"/>
        <v>8.331172479450694E-4</v>
      </c>
      <c r="G238" s="146">
        <v>1.8693000000000001E-2</v>
      </c>
      <c r="H238" s="146">
        <v>0.16140000000000002</v>
      </c>
      <c r="I238" s="147">
        <f t="shared" si="13"/>
        <v>1.5573460715837183E-5</v>
      </c>
      <c r="J238" s="147">
        <f t="shared" si="14"/>
        <v>1.344651238183342E-4</v>
      </c>
    </row>
    <row r="239" spans="1:10" x14ac:dyDescent="0.25">
      <c r="A239" s="6" t="s">
        <v>583</v>
      </c>
      <c r="B239" s="7" t="s">
        <v>1082</v>
      </c>
      <c r="C239" s="142">
        <v>1026.386</v>
      </c>
      <c r="D239" s="143">
        <v>56.77</v>
      </c>
      <c r="E239" s="144">
        <f t="shared" si="12"/>
        <v>58267.933219999999</v>
      </c>
      <c r="F239" s="145">
        <f t="shared" si="15"/>
        <v>3.7687917240968511E-3</v>
      </c>
      <c r="G239" s="146">
        <v>2.6770000000000002E-2</v>
      </c>
      <c r="H239" s="146">
        <v>9.4750000000000001E-2</v>
      </c>
      <c r="I239" s="147">
        <f t="shared" si="13"/>
        <v>1.0089055445407271E-4</v>
      </c>
      <c r="J239" s="147">
        <f t="shared" si="14"/>
        <v>3.5709301585817665E-4</v>
      </c>
    </row>
    <row r="240" spans="1:10" x14ac:dyDescent="0.25">
      <c r="A240" s="6" t="s">
        <v>584</v>
      </c>
      <c r="B240" s="7" t="s">
        <v>947</v>
      </c>
      <c r="C240" s="142">
        <v>273.67</v>
      </c>
      <c r="D240" s="143">
        <v>42.2</v>
      </c>
      <c r="E240" s="144">
        <f t="shared" si="12"/>
        <v>11548.874000000002</v>
      </c>
      <c r="F240" s="145">
        <f t="shared" si="15"/>
        <v>7.4698549182275768E-4</v>
      </c>
      <c r="G240" s="146">
        <v>1.8959999999999999E-3</v>
      </c>
      <c r="H240" s="146">
        <v>9.2600000000000002E-2</v>
      </c>
      <c r="I240" s="147">
        <f t="shared" si="13"/>
        <v>1.4162844924959486E-6</v>
      </c>
      <c r="J240" s="147">
        <f t="shared" si="14"/>
        <v>6.9170856542787357E-5</v>
      </c>
    </row>
    <row r="241" spans="1:10" x14ac:dyDescent="0.25">
      <c r="A241" s="6" t="s">
        <v>585</v>
      </c>
      <c r="B241" s="7" t="s">
        <v>948</v>
      </c>
      <c r="C241" s="142">
        <v>399.09800000000001</v>
      </c>
      <c r="D241" s="143">
        <v>130.85</v>
      </c>
      <c r="E241" s="144">
        <f t="shared" si="12"/>
        <v>52221.973299999998</v>
      </c>
      <c r="F241" s="145">
        <f t="shared" si="15"/>
        <v>3.377736774118015E-3</v>
      </c>
      <c r="G241" s="146">
        <v>4.5850000000000005E-3</v>
      </c>
      <c r="H241" s="146">
        <v>0.11599999999999999</v>
      </c>
      <c r="I241" s="147">
        <f t="shared" si="13"/>
        <v>1.5486923109331102E-5</v>
      </c>
      <c r="J241" s="147">
        <f t="shared" si="14"/>
        <v>3.9181746579768973E-4</v>
      </c>
    </row>
    <row r="242" spans="1:10" x14ac:dyDescent="0.25">
      <c r="A242" s="6" t="s">
        <v>586</v>
      </c>
      <c r="B242" s="7" t="s">
        <v>949</v>
      </c>
      <c r="C242" s="142">
        <v>128.947</v>
      </c>
      <c r="D242" s="143">
        <v>82.48</v>
      </c>
      <c r="E242" s="144">
        <f t="shared" si="12"/>
        <v>10635.548560000001</v>
      </c>
      <c r="F242" s="145">
        <f t="shared" si="15"/>
        <v>6.8791126060397073E-4</v>
      </c>
      <c r="G242" s="146">
        <v>1.9399E-2</v>
      </c>
      <c r="H242" s="146">
        <v>0.10070999999999999</v>
      </c>
      <c r="I242" s="147">
        <f t="shared" si="13"/>
        <v>1.3344790544456428E-5</v>
      </c>
      <c r="J242" s="147">
        <f t="shared" si="14"/>
        <v>6.927954305542589E-5</v>
      </c>
    </row>
    <row r="243" spans="1:10" x14ac:dyDescent="0.25">
      <c r="A243" s="6" t="s">
        <v>589</v>
      </c>
      <c r="B243" s="7" t="s">
        <v>952</v>
      </c>
      <c r="C243" s="142">
        <v>674.37099999999998</v>
      </c>
      <c r="D243" s="143">
        <v>73.239999999999995</v>
      </c>
      <c r="E243" s="144">
        <f t="shared" si="12"/>
        <v>49390.932039999992</v>
      </c>
      <c r="F243" s="145">
        <f t="shared" si="15"/>
        <v>3.1946239660666305E-3</v>
      </c>
      <c r="G243" s="146">
        <v>1.1469E-2</v>
      </c>
      <c r="H243" s="146">
        <v>0.11283</v>
      </c>
      <c r="I243" s="147">
        <f t="shared" si="13"/>
        <v>3.6639142266818185E-5</v>
      </c>
      <c r="J243" s="147">
        <f t="shared" si="14"/>
        <v>3.6044942209129794E-4</v>
      </c>
    </row>
    <row r="244" spans="1:10" x14ac:dyDescent="0.25">
      <c r="A244" s="6" t="s">
        <v>590</v>
      </c>
      <c r="B244" s="7" t="s">
        <v>953</v>
      </c>
      <c r="C244" s="142">
        <v>125.11499999999999</v>
      </c>
      <c r="D244" s="143">
        <v>58.055</v>
      </c>
      <c r="E244" s="144">
        <f t="shared" si="12"/>
        <v>7263.5513249999995</v>
      </c>
      <c r="F244" s="145">
        <f t="shared" si="15"/>
        <v>4.6980921766788411E-4</v>
      </c>
      <c r="G244" s="146">
        <v>9.3019999999999995E-3</v>
      </c>
      <c r="H244" s="146">
        <v>7.1849999999999997E-2</v>
      </c>
      <c r="I244" s="147">
        <f t="shared" si="13"/>
        <v>4.3701653427466578E-6</v>
      </c>
      <c r="J244" s="147">
        <f t="shared" si="14"/>
        <v>3.3755792289437471E-5</v>
      </c>
    </row>
    <row r="245" spans="1:10" x14ac:dyDescent="0.25">
      <c r="A245" s="6" t="s">
        <v>591</v>
      </c>
      <c r="B245" s="7" t="s">
        <v>954</v>
      </c>
      <c r="C245" s="142">
        <v>183.95</v>
      </c>
      <c r="D245" s="143">
        <v>52.49</v>
      </c>
      <c r="E245" s="144">
        <f t="shared" si="12"/>
        <v>9655.5355</v>
      </c>
      <c r="F245" s="145">
        <f t="shared" si="15"/>
        <v>6.2452364916957236E-4</v>
      </c>
      <c r="G245" s="146">
        <v>7.62E-3</v>
      </c>
      <c r="H245" s="146">
        <v>0.11</v>
      </c>
      <c r="I245" s="147">
        <f t="shared" si="13"/>
        <v>4.758870206672141E-6</v>
      </c>
      <c r="J245" s="147">
        <f t="shared" si="14"/>
        <v>6.8697601408652964E-5</v>
      </c>
    </row>
    <row r="246" spans="1:10" x14ac:dyDescent="0.25">
      <c r="A246" s="6" t="s">
        <v>1113</v>
      </c>
      <c r="B246" s="7" t="s">
        <v>957</v>
      </c>
      <c r="C246" s="142">
        <v>421.51600000000002</v>
      </c>
      <c r="D246" s="143">
        <v>36.454999999999998</v>
      </c>
      <c r="E246" s="144">
        <f t="shared" si="12"/>
        <v>15366.36578</v>
      </c>
      <c r="F246" s="145">
        <f t="shared" si="15"/>
        <v>9.9390228863018969E-4</v>
      </c>
      <c r="G246" s="146">
        <v>2.2492999999999999E-2</v>
      </c>
      <c r="H246" s="146">
        <v>0.107</v>
      </c>
      <c r="I246" s="147">
        <f t="shared" si="13"/>
        <v>2.2355844178158856E-5</v>
      </c>
      <c r="J246" s="147">
        <f t="shared" si="14"/>
        <v>1.0634754488343029E-4</v>
      </c>
    </row>
    <row r="247" spans="1:10" x14ac:dyDescent="0.25">
      <c r="A247" s="6" t="s">
        <v>599</v>
      </c>
      <c r="B247" s="7" t="s">
        <v>960</v>
      </c>
      <c r="C247" s="142">
        <v>854.12099999999998</v>
      </c>
      <c r="D247" s="143">
        <v>89.45</v>
      </c>
      <c r="E247" s="144">
        <f t="shared" si="12"/>
        <v>76401.123449999999</v>
      </c>
      <c r="F247" s="145">
        <f t="shared" si="15"/>
        <v>4.9416532534781723E-3</v>
      </c>
      <c r="G247" s="146">
        <v>2.4595000000000002E-2</v>
      </c>
      <c r="H247" s="146">
        <v>8.6800000000000002E-2</v>
      </c>
      <c r="I247" s="147">
        <f t="shared" si="13"/>
        <v>1.2153996176929566E-4</v>
      </c>
      <c r="J247" s="147">
        <f t="shared" si="14"/>
        <v>4.2893550240190537E-4</v>
      </c>
    </row>
    <row r="248" spans="1:10" x14ac:dyDescent="0.25">
      <c r="A248" s="6" t="s">
        <v>602</v>
      </c>
      <c r="B248" s="7" t="s">
        <v>963</v>
      </c>
      <c r="C248" s="142">
        <v>953.56299999999999</v>
      </c>
      <c r="D248" s="143">
        <v>117.83</v>
      </c>
      <c r="E248" s="144">
        <f t="shared" si="12"/>
        <v>112358.32828999999</v>
      </c>
      <c r="F248" s="145">
        <f t="shared" si="15"/>
        <v>7.2673787174479957E-3</v>
      </c>
      <c r="G248" s="146">
        <v>1.6972000000000001E-2</v>
      </c>
      <c r="H248" s="146">
        <v>0.12034</v>
      </c>
      <c r="I248" s="147">
        <f t="shared" si="13"/>
        <v>1.2334195159252739E-4</v>
      </c>
      <c r="J248" s="147">
        <f t="shared" si="14"/>
        <v>8.7455635485769181E-4</v>
      </c>
    </row>
    <row r="249" spans="1:10" x14ac:dyDescent="0.25">
      <c r="A249" s="6" t="s">
        <v>603</v>
      </c>
      <c r="B249" s="7" t="s">
        <v>964</v>
      </c>
      <c r="C249" s="142">
        <v>243.447</v>
      </c>
      <c r="D249" s="143">
        <v>34.68</v>
      </c>
      <c r="E249" s="144">
        <f t="shared" si="12"/>
        <v>8442.7419599999994</v>
      </c>
      <c r="F249" s="145">
        <f t="shared" si="15"/>
        <v>5.4607970918404969E-4</v>
      </c>
      <c r="G249" s="146">
        <v>2.1337999999999999E-2</v>
      </c>
      <c r="H249" s="146">
        <v>0.09</v>
      </c>
      <c r="I249" s="147">
        <f t="shared" si="13"/>
        <v>1.1652248834569252E-5</v>
      </c>
      <c r="J249" s="147">
        <f t="shared" si="14"/>
        <v>4.9147173826564473E-5</v>
      </c>
    </row>
    <row r="250" spans="1:10" x14ac:dyDescent="0.25">
      <c r="A250" s="6" t="s">
        <v>451</v>
      </c>
      <c r="B250" s="7" t="s">
        <v>840</v>
      </c>
      <c r="C250" s="142">
        <v>677.18499999999995</v>
      </c>
      <c r="D250" s="143">
        <v>18.37</v>
      </c>
      <c r="E250" s="144">
        <f t="shared" si="12"/>
        <v>12439.88845</v>
      </c>
      <c r="F250" s="145">
        <f t="shared" si="15"/>
        <v>0</v>
      </c>
      <c r="G250" s="146">
        <v>1.0887000000000001E-2</v>
      </c>
      <c r="H250" s="146">
        <v>-3.1669999999999997E-2</v>
      </c>
      <c r="I250" s="147">
        <f t="shared" si="13"/>
        <v>0</v>
      </c>
      <c r="J250" s="147">
        <f t="shared" si="14"/>
        <v>0</v>
      </c>
    </row>
    <row r="251" spans="1:10" x14ac:dyDescent="0.25">
      <c r="A251" s="6" t="s">
        <v>606</v>
      </c>
      <c r="B251" s="7" t="s">
        <v>967</v>
      </c>
      <c r="C251" s="142">
        <v>98.716999999999999</v>
      </c>
      <c r="D251" s="143">
        <v>78.56</v>
      </c>
      <c r="E251" s="144">
        <f t="shared" si="12"/>
        <v>7755.2075199999999</v>
      </c>
      <c r="F251" s="145">
        <f t="shared" si="15"/>
        <v>0</v>
      </c>
      <c r="G251" s="146" t="s">
        <v>1109</v>
      </c>
      <c r="H251" s="146">
        <v>0.125</v>
      </c>
      <c r="I251" s="147" t="str">
        <f t="shared" si="13"/>
        <v>n/a</v>
      </c>
      <c r="J251" s="147">
        <f t="shared" si="14"/>
        <v>0</v>
      </c>
    </row>
    <row r="252" spans="1:10" x14ac:dyDescent="0.25">
      <c r="A252" s="6" t="s">
        <v>607</v>
      </c>
      <c r="B252" s="7" t="s">
        <v>968</v>
      </c>
      <c r="C252" s="142">
        <v>332.983</v>
      </c>
      <c r="D252" s="143">
        <v>53.73</v>
      </c>
      <c r="E252" s="144">
        <f t="shared" si="12"/>
        <v>17891.176589999999</v>
      </c>
      <c r="F252" s="145">
        <f t="shared" si="15"/>
        <v>1.1572079965864166E-3</v>
      </c>
      <c r="G252" s="146">
        <v>5.4336000000000002E-2</v>
      </c>
      <c r="H252" s="146">
        <v>2.793E-2</v>
      </c>
      <c r="I252" s="147">
        <f t="shared" si="13"/>
        <v>6.287805370251954E-5</v>
      </c>
      <c r="J252" s="147">
        <f t="shared" si="14"/>
        <v>3.2320819344658617E-5</v>
      </c>
    </row>
    <row r="253" spans="1:10" x14ac:dyDescent="0.25">
      <c r="A253" s="6" t="s">
        <v>611</v>
      </c>
      <c r="B253" s="7" t="s">
        <v>970</v>
      </c>
      <c r="C253" s="142">
        <v>425.642</v>
      </c>
      <c r="D253" s="143">
        <v>67.540000000000006</v>
      </c>
      <c r="E253" s="144">
        <f t="shared" si="12"/>
        <v>28747.860680000002</v>
      </c>
      <c r="F253" s="145">
        <f t="shared" si="15"/>
        <v>1.8594223860180583E-3</v>
      </c>
      <c r="G253" s="146">
        <v>2.1913000000000002E-2</v>
      </c>
      <c r="H253" s="146">
        <v>0.11705</v>
      </c>
      <c r="I253" s="147">
        <f t="shared" si="13"/>
        <v>4.0745522744813714E-5</v>
      </c>
      <c r="J253" s="147">
        <f t="shared" si="14"/>
        <v>2.1764539028341372E-4</v>
      </c>
    </row>
    <row r="254" spans="1:10" x14ac:dyDescent="0.25">
      <c r="A254" s="6" t="s">
        <v>614</v>
      </c>
      <c r="B254" s="7" t="s">
        <v>972</v>
      </c>
      <c r="C254" s="142">
        <v>188.49700000000001</v>
      </c>
      <c r="D254" s="143">
        <v>100.61</v>
      </c>
      <c r="E254" s="144">
        <f t="shared" si="12"/>
        <v>18964.68317</v>
      </c>
      <c r="F254" s="145">
        <f t="shared" si="15"/>
        <v>1.2266428038789951E-3</v>
      </c>
      <c r="G254" s="146">
        <v>2.5047E-2</v>
      </c>
      <c r="H254" s="146">
        <v>3.6200000000000003E-2</v>
      </c>
      <c r="I254" s="147">
        <f t="shared" si="13"/>
        <v>3.0723722308757189E-5</v>
      </c>
      <c r="J254" s="147">
        <f t="shared" si="14"/>
        <v>4.4404469500419625E-5</v>
      </c>
    </row>
    <row r="255" spans="1:10" x14ac:dyDescent="0.25">
      <c r="A255" s="6" t="s">
        <v>197</v>
      </c>
      <c r="B255" s="7" t="s">
        <v>644</v>
      </c>
      <c r="C255" s="142">
        <v>169.93299999999999</v>
      </c>
      <c r="D255" s="143">
        <v>33.055</v>
      </c>
      <c r="E255" s="144">
        <f t="shared" si="12"/>
        <v>5617.1353149999995</v>
      </c>
      <c r="F255" s="145">
        <f t="shared" si="15"/>
        <v>3.6331841406445818E-4</v>
      </c>
      <c r="G255" s="146">
        <v>2.5412000000000001E-2</v>
      </c>
      <c r="H255" s="146">
        <v>6.3329999999999997E-2</v>
      </c>
      <c r="I255" s="147">
        <f t="shared" si="13"/>
        <v>9.2326475382060109E-6</v>
      </c>
      <c r="J255" s="147">
        <f t="shared" si="14"/>
        <v>2.3008955162702137E-5</v>
      </c>
    </row>
    <row r="256" spans="1:10" x14ac:dyDescent="0.25">
      <c r="A256" s="6" t="s">
        <v>615</v>
      </c>
      <c r="B256" s="7" t="s">
        <v>973</v>
      </c>
      <c r="C256" s="142">
        <v>133.18600000000001</v>
      </c>
      <c r="D256" s="143">
        <v>96.63</v>
      </c>
      <c r="E256" s="144">
        <f t="shared" si="12"/>
        <v>12869.76318</v>
      </c>
      <c r="F256" s="145">
        <f t="shared" si="15"/>
        <v>8.3242109825206487E-4</v>
      </c>
      <c r="G256" s="146">
        <v>4.1399999999999996E-3</v>
      </c>
      <c r="H256" s="146">
        <v>0.43585999999999997</v>
      </c>
      <c r="I256" s="147">
        <f t="shared" si="13"/>
        <v>3.446223346763548E-6</v>
      </c>
      <c r="J256" s="147">
        <f t="shared" si="14"/>
        <v>3.6281905988414496E-4</v>
      </c>
    </row>
    <row r="257" spans="1:10" x14ac:dyDescent="0.25">
      <c r="A257" s="6" t="s">
        <v>623</v>
      </c>
      <c r="B257" s="7" t="s">
        <v>980</v>
      </c>
      <c r="C257" s="142">
        <v>514.19399999999996</v>
      </c>
      <c r="D257" s="143">
        <v>29.36</v>
      </c>
      <c r="E257" s="144">
        <f t="shared" si="12"/>
        <v>15096.735839999999</v>
      </c>
      <c r="F257" s="145">
        <f t="shared" si="15"/>
        <v>9.764625232174714E-4</v>
      </c>
      <c r="G257" s="146">
        <v>4.2234000000000001E-2</v>
      </c>
      <c r="H257" s="146">
        <v>5.5E-2</v>
      </c>
      <c r="I257" s="147">
        <f t="shared" si="13"/>
        <v>4.1239918205566691E-5</v>
      </c>
      <c r="J257" s="147">
        <f t="shared" si="14"/>
        <v>5.3705438776960927E-5</v>
      </c>
    </row>
    <row r="258" spans="1:10" x14ac:dyDescent="0.25">
      <c r="A258" s="6" t="s">
        <v>624</v>
      </c>
      <c r="B258" s="7" t="s">
        <v>981</v>
      </c>
      <c r="C258" s="142">
        <v>78.194000000000003</v>
      </c>
      <c r="D258" s="143">
        <v>160.15</v>
      </c>
      <c r="E258" s="144">
        <f t="shared" si="12"/>
        <v>12522.769100000001</v>
      </c>
      <c r="F258" s="145">
        <f t="shared" si="15"/>
        <v>8.0997739131506089E-4</v>
      </c>
      <c r="G258" s="146">
        <v>2.2478999999999999E-2</v>
      </c>
      <c r="H258" s="146">
        <v>0.16649999999999998</v>
      </c>
      <c r="I258" s="147">
        <f t="shared" si="13"/>
        <v>1.8207481779371254E-5</v>
      </c>
      <c r="J258" s="147">
        <f t="shared" si="14"/>
        <v>1.3486123565395762E-4</v>
      </c>
    </row>
    <row r="259" spans="1:10" x14ac:dyDescent="0.25">
      <c r="A259" s="6" t="s">
        <v>626</v>
      </c>
      <c r="B259" s="7" t="s">
        <v>982</v>
      </c>
      <c r="C259" s="142">
        <v>749.76499999999999</v>
      </c>
      <c r="D259" s="143">
        <v>39.51</v>
      </c>
      <c r="E259" s="144">
        <f t="shared" si="12"/>
        <v>29623.215149999996</v>
      </c>
      <c r="F259" s="145">
        <f t="shared" si="15"/>
        <v>1.9160406406887901E-3</v>
      </c>
      <c r="G259" s="146">
        <v>6.4794000000000004E-2</v>
      </c>
      <c r="H259" s="146">
        <v>3.7499999999999999E-2</v>
      </c>
      <c r="I259" s="147">
        <f t="shared" si="13"/>
        <v>1.2414793727278948E-4</v>
      </c>
      <c r="J259" s="147">
        <f t="shared" si="14"/>
        <v>7.1851524025829633E-5</v>
      </c>
    </row>
    <row r="260" spans="1:10" x14ac:dyDescent="0.25">
      <c r="A260" s="6" t="s">
        <v>1212</v>
      </c>
      <c r="B260" s="7" t="s">
        <v>983</v>
      </c>
      <c r="C260" s="142">
        <v>315.68400000000003</v>
      </c>
      <c r="D260" s="143">
        <v>51.55</v>
      </c>
      <c r="E260" s="144">
        <f t="shared" si="12"/>
        <v>16273.510200000001</v>
      </c>
      <c r="F260" s="145">
        <f t="shared" si="15"/>
        <v>1.0525767291624849E-3</v>
      </c>
      <c r="G260" s="146">
        <v>3.5499999999999997E-2</v>
      </c>
      <c r="H260" s="146">
        <v>4.5670000000000002E-2</v>
      </c>
      <c r="I260" s="147">
        <f t="shared" si="13"/>
        <v>3.7366473885268213E-5</v>
      </c>
      <c r="J260" s="147">
        <f t="shared" si="14"/>
        <v>4.8071179220850686E-5</v>
      </c>
    </row>
    <row r="261" spans="1:10" x14ac:dyDescent="0.25">
      <c r="A261" s="6" t="s">
        <v>631</v>
      </c>
      <c r="B261" s="7" t="s">
        <v>987</v>
      </c>
      <c r="C261" s="142">
        <v>1012.403</v>
      </c>
      <c r="D261" s="143">
        <v>9.3800000000000008</v>
      </c>
      <c r="E261" s="144">
        <f t="shared" si="12"/>
        <v>9496.3401400000002</v>
      </c>
      <c r="F261" s="145">
        <f t="shared" si="15"/>
        <v>6.1422683371505267E-4</v>
      </c>
      <c r="G261" s="146">
        <v>2.9851000000000003E-2</v>
      </c>
      <c r="H261" s="146">
        <v>8.5500000000000007E-2</v>
      </c>
      <c r="I261" s="147">
        <f t="shared" si="13"/>
        <v>1.8335285213228038E-5</v>
      </c>
      <c r="J261" s="147">
        <f t="shared" si="14"/>
        <v>5.2516394282637006E-5</v>
      </c>
    </row>
    <row r="262" spans="1:10" x14ac:dyDescent="0.25">
      <c r="A262" s="6" t="s">
        <v>196</v>
      </c>
      <c r="B262" s="7" t="s">
        <v>992</v>
      </c>
      <c r="C262" s="142">
        <v>498.79899999999998</v>
      </c>
      <c r="D262" s="143">
        <v>88.67</v>
      </c>
      <c r="E262" s="144">
        <f t="shared" si="12"/>
        <v>44228.50733</v>
      </c>
      <c r="F262" s="145">
        <f t="shared" si="15"/>
        <v>0</v>
      </c>
      <c r="G262" s="146" t="s">
        <v>1109</v>
      </c>
      <c r="H262" s="146">
        <v>0.18870999999999999</v>
      </c>
      <c r="I262" s="147" t="str">
        <f t="shared" si="13"/>
        <v>n/a</v>
      </c>
      <c r="J262" s="147">
        <f t="shared" si="14"/>
        <v>0</v>
      </c>
    </row>
    <row r="263" spans="1:10" x14ac:dyDescent="0.25">
      <c r="A263" s="6" t="s">
        <v>198</v>
      </c>
      <c r="B263" s="7" t="s">
        <v>645</v>
      </c>
      <c r="C263" s="142">
        <v>682.827</v>
      </c>
      <c r="D263" s="143">
        <v>10.96</v>
      </c>
      <c r="E263" s="144">
        <f t="shared" si="12"/>
        <v>7483.7839200000008</v>
      </c>
      <c r="F263" s="145">
        <f t="shared" si="15"/>
        <v>4.840539443218833E-4</v>
      </c>
      <c r="G263" s="146">
        <v>3.6496000000000001E-2</v>
      </c>
      <c r="H263" s="146">
        <v>4.394E-2</v>
      </c>
      <c r="I263" s="147">
        <f t="shared" si="13"/>
        <v>1.7666032751971453E-5</v>
      </c>
      <c r="J263" s="147">
        <f t="shared" si="14"/>
        <v>2.1269330313503552E-5</v>
      </c>
    </row>
    <row r="264" spans="1:10" x14ac:dyDescent="0.25">
      <c r="A264" s="6" t="s">
        <v>222</v>
      </c>
      <c r="B264" s="7" t="s">
        <v>997</v>
      </c>
      <c r="C264" s="142">
        <v>758.25</v>
      </c>
      <c r="D264" s="143">
        <v>158.27000000000001</v>
      </c>
      <c r="E264" s="144">
        <f t="shared" si="12"/>
        <v>120008.22750000001</v>
      </c>
      <c r="F264" s="145">
        <f t="shared" si="15"/>
        <v>7.7621770608861862E-3</v>
      </c>
      <c r="G264" s="146">
        <v>1.9977000000000002E-2</v>
      </c>
      <c r="H264" s="146">
        <v>9.6759999999999999E-2</v>
      </c>
      <c r="I264" s="147">
        <f t="shared" si="13"/>
        <v>1.5506501114532335E-4</v>
      </c>
      <c r="J264" s="147">
        <f t="shared" si="14"/>
        <v>7.5106825241134738E-4</v>
      </c>
    </row>
    <row r="265" spans="1:10" x14ac:dyDescent="0.25">
      <c r="A265" s="6" t="s">
        <v>229</v>
      </c>
      <c r="B265" s="7" t="s">
        <v>999</v>
      </c>
      <c r="C265" s="142">
        <v>5575.3310000000001</v>
      </c>
      <c r="D265" s="143">
        <v>119.55</v>
      </c>
      <c r="E265" s="144">
        <f t="shared" si="12"/>
        <v>666530.82105000003</v>
      </c>
      <c r="F265" s="145">
        <f t="shared" si="15"/>
        <v>4.3111462916390009E-2</v>
      </c>
      <c r="G265" s="146">
        <v>1.7399000000000001E-2</v>
      </c>
      <c r="H265" s="146">
        <v>0.15143999999999999</v>
      </c>
      <c r="I265" s="147">
        <f t="shared" si="13"/>
        <v>7.5009634328226981E-4</v>
      </c>
      <c r="J265" s="147">
        <f t="shared" si="14"/>
        <v>6.5287999440581026E-3</v>
      </c>
    </row>
    <row r="266" spans="1:10" x14ac:dyDescent="0.25">
      <c r="A266" s="6" t="s">
        <v>234</v>
      </c>
      <c r="B266" s="7" t="s">
        <v>1001</v>
      </c>
      <c r="C266" s="142">
        <v>226.19900000000001</v>
      </c>
      <c r="D266" s="143">
        <v>55.21</v>
      </c>
      <c r="E266" s="144">
        <f t="shared" si="12"/>
        <v>12488.44679</v>
      </c>
      <c r="F266" s="145">
        <f t="shared" si="15"/>
        <v>0</v>
      </c>
      <c r="G266" s="146" t="s">
        <v>1109</v>
      </c>
      <c r="H266" s="146">
        <v>0.11986000000000001</v>
      </c>
      <c r="I266" s="147" t="str">
        <f t="shared" si="13"/>
        <v>n/a</v>
      </c>
      <c r="J266" s="147">
        <f t="shared" si="14"/>
        <v>0</v>
      </c>
    </row>
    <row r="267" spans="1:10" x14ac:dyDescent="0.25">
      <c r="A267" s="6" t="s">
        <v>284</v>
      </c>
      <c r="B267" s="7" t="s">
        <v>1011</v>
      </c>
      <c r="C267" s="142">
        <v>107.96</v>
      </c>
      <c r="D267" s="143">
        <v>93.13</v>
      </c>
      <c r="E267" s="144">
        <f t="shared" si="12"/>
        <v>10054.314799999998</v>
      </c>
      <c r="F267" s="145">
        <f t="shared" si="15"/>
        <v>6.5031684351382049E-4</v>
      </c>
      <c r="G267" s="146">
        <v>1.1275E-2</v>
      </c>
      <c r="H267" s="146">
        <v>0.12</v>
      </c>
      <c r="I267" s="147">
        <f t="shared" si="13"/>
        <v>7.3323224106183263E-6</v>
      </c>
      <c r="J267" s="147">
        <f t="shared" si="14"/>
        <v>7.8038021221658451E-5</v>
      </c>
    </row>
    <row r="268" spans="1:10" x14ac:dyDescent="0.25">
      <c r="A268" s="6" t="s">
        <v>296</v>
      </c>
      <c r="B268" s="7" t="s">
        <v>1016</v>
      </c>
      <c r="C268" s="142">
        <v>2100.4580000000001</v>
      </c>
      <c r="D268" s="143">
        <v>62.67</v>
      </c>
      <c r="E268" s="144">
        <f t="shared" si="12"/>
        <v>131635.70286000002</v>
      </c>
      <c r="F268" s="145">
        <f t="shared" si="15"/>
        <v>8.5142465180857892E-3</v>
      </c>
      <c r="G268" s="146">
        <v>1.5958999999999997E-2</v>
      </c>
      <c r="H268" s="146">
        <v>0.12676999999999999</v>
      </c>
      <c r="I268" s="147">
        <f t="shared" si="13"/>
        <v>1.3587886018213109E-4</v>
      </c>
      <c r="J268" s="147">
        <f t="shared" si="14"/>
        <v>1.0793510310977354E-3</v>
      </c>
    </row>
    <row r="269" spans="1:10" x14ac:dyDescent="0.25">
      <c r="A269" s="6" t="s">
        <v>469</v>
      </c>
      <c r="B269" s="7" t="s">
        <v>855</v>
      </c>
      <c r="C269" s="142">
        <v>162.774</v>
      </c>
      <c r="D269" s="143">
        <v>88.17</v>
      </c>
      <c r="E269" s="144">
        <f t="shared" si="12"/>
        <v>14351.783580000001</v>
      </c>
      <c r="F269" s="145">
        <f t="shared" si="15"/>
        <v>9.2827873228507626E-4</v>
      </c>
      <c r="G269" s="146">
        <v>1.8599999999999998E-2</v>
      </c>
      <c r="H269" s="146">
        <v>8.199999999999999E-2</v>
      </c>
      <c r="I269" s="147">
        <f t="shared" si="13"/>
        <v>1.7265984420502419E-5</v>
      </c>
      <c r="J269" s="147">
        <f t="shared" si="14"/>
        <v>7.6118856047376247E-5</v>
      </c>
    </row>
    <row r="270" spans="1:10" x14ac:dyDescent="0.25">
      <c r="A270" s="6" t="s">
        <v>431</v>
      </c>
      <c r="B270" s="7" t="s">
        <v>1048</v>
      </c>
      <c r="C270" s="142">
        <v>155.946</v>
      </c>
      <c r="D270" s="143">
        <v>67.180000000000007</v>
      </c>
      <c r="E270" s="144">
        <f t="shared" ref="E270:E333" si="16">C270*D270</f>
        <v>10476.452280000001</v>
      </c>
      <c r="F270" s="145">
        <f t="shared" si="15"/>
        <v>6.7762085368092606E-4</v>
      </c>
      <c r="G270" s="146">
        <v>3.0962E-2</v>
      </c>
      <c r="H270" s="146">
        <v>0.13470000000000001</v>
      </c>
      <c r="I270" s="147">
        <f t="shared" ref="I270:I333" si="17">IF(G270="n/a","n/a",$F270*G270)</f>
        <v>2.0980496871668832E-5</v>
      </c>
      <c r="J270" s="147">
        <f t="shared" ref="J270:J333" si="18">IF(H270="n/a","n/a",$F270*H270)</f>
        <v>9.1275528990820748E-5</v>
      </c>
    </row>
    <row r="271" spans="1:10" x14ac:dyDescent="0.25">
      <c r="A271" s="6" t="s">
        <v>1133</v>
      </c>
      <c r="B271" s="7" t="s">
        <v>93</v>
      </c>
      <c r="C271" s="142">
        <v>257.12900000000002</v>
      </c>
      <c r="D271" s="143">
        <v>76.81</v>
      </c>
      <c r="E271" s="144">
        <f t="shared" si="16"/>
        <v>19750.078490000004</v>
      </c>
      <c r="F271" s="145">
        <f t="shared" ref="F271:F334" si="19">IF(OR(G271="n/a",H271="n/a",H271&lt;0%),0%,E271/SUMIFS(E$14:E$518,G$14:G$518,"&lt;&gt;n/a",$H$14:$H$518,"&lt;&gt;n/a",$H$14:$H$518,"&gt;=0"))</f>
        <v>1.2774424670656827E-3</v>
      </c>
      <c r="G271" s="146">
        <v>1.3019000000000001E-2</v>
      </c>
      <c r="H271" s="146">
        <v>0.14737999999999998</v>
      </c>
      <c r="I271" s="147">
        <f t="shared" si="17"/>
        <v>1.6631023478728124E-5</v>
      </c>
      <c r="J271" s="147">
        <f t="shared" si="18"/>
        <v>1.882694707961403E-4</v>
      </c>
    </row>
    <row r="272" spans="1:10" x14ac:dyDescent="0.25">
      <c r="A272" s="6" t="s">
        <v>457</v>
      </c>
      <c r="B272" s="7" t="s">
        <v>845</v>
      </c>
      <c r="C272" s="142">
        <v>116.289</v>
      </c>
      <c r="D272" s="143">
        <v>83.99</v>
      </c>
      <c r="E272" s="144">
        <f t="shared" si="16"/>
        <v>9767.1131100000002</v>
      </c>
      <c r="F272" s="145">
        <f t="shared" si="19"/>
        <v>6.3174053073588416E-4</v>
      </c>
      <c r="G272" s="146">
        <v>1.9050000000000001E-2</v>
      </c>
      <c r="H272" s="146">
        <v>6.5000000000000002E-2</v>
      </c>
      <c r="I272" s="147">
        <f t="shared" si="17"/>
        <v>1.2034657110518593E-5</v>
      </c>
      <c r="J272" s="147">
        <f t="shared" si="18"/>
        <v>4.1063134497832471E-5</v>
      </c>
    </row>
    <row r="273" spans="1:10" x14ac:dyDescent="0.25">
      <c r="A273" s="6" t="s">
        <v>490</v>
      </c>
      <c r="B273" s="7" t="s">
        <v>869</v>
      </c>
      <c r="C273" s="142">
        <v>188.23400000000001</v>
      </c>
      <c r="D273" s="143">
        <v>65.23</v>
      </c>
      <c r="E273" s="144">
        <f t="shared" si="16"/>
        <v>12278.503820000002</v>
      </c>
      <c r="F273" s="145">
        <f t="shared" si="19"/>
        <v>7.941782216024098E-4</v>
      </c>
      <c r="G273" s="146">
        <v>2.2689000000000001E-2</v>
      </c>
      <c r="H273" s="146">
        <v>9.2669999999999988E-2</v>
      </c>
      <c r="I273" s="147">
        <f t="shared" si="17"/>
        <v>1.8019109669937077E-5</v>
      </c>
      <c r="J273" s="147">
        <f t="shared" si="18"/>
        <v>7.3596495795895311E-5</v>
      </c>
    </row>
    <row r="274" spans="1:10" x14ac:dyDescent="0.25">
      <c r="A274" s="6" t="s">
        <v>503</v>
      </c>
      <c r="B274" s="7" t="s">
        <v>1066</v>
      </c>
      <c r="C274" s="142">
        <v>354.96800000000002</v>
      </c>
      <c r="D274" s="143">
        <v>52.7</v>
      </c>
      <c r="E274" s="144">
        <f t="shared" si="16"/>
        <v>18706.813600000001</v>
      </c>
      <c r="F274" s="145">
        <f t="shared" si="19"/>
        <v>1.2099637035985198E-3</v>
      </c>
      <c r="G274" s="146">
        <v>1.8216E-2</v>
      </c>
      <c r="H274" s="146">
        <v>9.1600000000000001E-2</v>
      </c>
      <c r="I274" s="147">
        <f t="shared" si="17"/>
        <v>2.2040698824750636E-5</v>
      </c>
      <c r="J274" s="147">
        <f t="shared" si="18"/>
        <v>1.1083267524962442E-4</v>
      </c>
    </row>
    <row r="275" spans="1:10" x14ac:dyDescent="0.25">
      <c r="A275" s="6" t="s">
        <v>305</v>
      </c>
      <c r="B275" s="7" t="s">
        <v>1017</v>
      </c>
      <c r="C275" s="142">
        <v>437.40699999999998</v>
      </c>
      <c r="D275" s="143">
        <v>158.16</v>
      </c>
      <c r="E275" s="144">
        <f t="shared" si="16"/>
        <v>69180.291119999994</v>
      </c>
      <c r="F275" s="145">
        <f t="shared" si="19"/>
        <v>4.4746071163920178E-3</v>
      </c>
      <c r="G275" s="146">
        <v>1.0116E-2</v>
      </c>
      <c r="H275" s="146">
        <v>9.8740000000000008E-2</v>
      </c>
      <c r="I275" s="147">
        <f t="shared" si="17"/>
        <v>4.5265125589421649E-5</v>
      </c>
      <c r="J275" s="147">
        <f t="shared" si="18"/>
        <v>4.4182270667254787E-4</v>
      </c>
    </row>
    <row r="276" spans="1:10" x14ac:dyDescent="0.25">
      <c r="A276" s="6" t="s">
        <v>558</v>
      </c>
      <c r="B276" s="7" t="s">
        <v>1076</v>
      </c>
      <c r="C276" s="142">
        <v>119.804</v>
      </c>
      <c r="D276" s="143">
        <v>139.72999999999999</v>
      </c>
      <c r="E276" s="144">
        <f t="shared" si="16"/>
        <v>16740.212919999998</v>
      </c>
      <c r="F276" s="145">
        <f t="shared" si="19"/>
        <v>1.0827632357287714E-3</v>
      </c>
      <c r="G276" s="146">
        <v>6.5830000000000003E-3</v>
      </c>
      <c r="H276" s="146">
        <v>8.6150000000000004E-2</v>
      </c>
      <c r="I276" s="147">
        <f t="shared" si="17"/>
        <v>7.1278303808025022E-6</v>
      </c>
      <c r="J276" s="147">
        <f t="shared" si="18"/>
        <v>9.3280052758033661E-5</v>
      </c>
    </row>
    <row r="277" spans="1:10" x14ac:dyDescent="0.25">
      <c r="A277" s="6" t="s">
        <v>565</v>
      </c>
      <c r="B277" s="7" t="s">
        <v>934</v>
      </c>
      <c r="C277" s="142">
        <v>281.745</v>
      </c>
      <c r="D277" s="143">
        <v>63.86</v>
      </c>
      <c r="E277" s="144">
        <f t="shared" si="16"/>
        <v>17992.235700000001</v>
      </c>
      <c r="F277" s="145">
        <f t="shared" si="19"/>
        <v>1.1637445376367842E-3</v>
      </c>
      <c r="G277" s="146">
        <v>1.8165000000000001E-2</v>
      </c>
      <c r="H277" s="146">
        <v>0.114</v>
      </c>
      <c r="I277" s="147">
        <f t="shared" si="17"/>
        <v>2.1139419526172186E-5</v>
      </c>
      <c r="J277" s="147">
        <f t="shared" si="18"/>
        <v>1.3266687729059342E-4</v>
      </c>
    </row>
    <row r="278" spans="1:10" x14ac:dyDescent="0.25">
      <c r="A278" s="6" t="s">
        <v>572</v>
      </c>
      <c r="B278" s="7" t="s">
        <v>938</v>
      </c>
      <c r="C278" s="142">
        <v>375.52199999999999</v>
      </c>
      <c r="D278" s="143">
        <v>95.66</v>
      </c>
      <c r="E278" s="144">
        <f t="shared" si="16"/>
        <v>35922.434519999995</v>
      </c>
      <c r="F278" s="145">
        <f t="shared" si="19"/>
        <v>2.3234765066614286E-3</v>
      </c>
      <c r="G278" s="146">
        <v>1.4426000000000001E-2</v>
      </c>
      <c r="H278" s="146">
        <v>0.12</v>
      </c>
      <c r="I278" s="147">
        <f t="shared" si="17"/>
        <v>3.3518472085097773E-5</v>
      </c>
      <c r="J278" s="147">
        <f t="shared" si="18"/>
        <v>2.788171807993714E-4</v>
      </c>
    </row>
    <row r="279" spans="1:10" x14ac:dyDescent="0.25">
      <c r="A279" s="6" t="s">
        <v>597</v>
      </c>
      <c r="B279" s="7" t="s">
        <v>958</v>
      </c>
      <c r="C279" s="142">
        <v>304.35899999999998</v>
      </c>
      <c r="D279" s="143">
        <v>44.37</v>
      </c>
      <c r="E279" s="144">
        <f t="shared" si="16"/>
        <v>13504.408829999998</v>
      </c>
      <c r="F279" s="145">
        <f t="shared" si="19"/>
        <v>8.7347021637374682E-4</v>
      </c>
      <c r="G279" s="146">
        <v>9.0150000000000004E-3</v>
      </c>
      <c r="H279" s="146">
        <v>8.5999999999999993E-2</v>
      </c>
      <c r="I279" s="147">
        <f t="shared" si="17"/>
        <v>7.8743340006093282E-6</v>
      </c>
      <c r="J279" s="147">
        <f t="shared" si="18"/>
        <v>7.5118438608142219E-5</v>
      </c>
    </row>
    <row r="280" spans="1:10" x14ac:dyDescent="0.25">
      <c r="A280" s="6" t="s">
        <v>211</v>
      </c>
      <c r="B280" s="7" t="s">
        <v>995</v>
      </c>
      <c r="C280" s="142">
        <v>302.85700000000003</v>
      </c>
      <c r="D280" s="143">
        <v>52.55</v>
      </c>
      <c r="E280" s="144">
        <f t="shared" si="16"/>
        <v>15915.13535</v>
      </c>
      <c r="F280" s="145">
        <f t="shared" si="19"/>
        <v>1.0293969097632813E-3</v>
      </c>
      <c r="G280" s="146">
        <v>1.3700999999999998E-2</v>
      </c>
      <c r="H280" s="146">
        <v>0.11932999999999999</v>
      </c>
      <c r="I280" s="147">
        <f t="shared" si="17"/>
        <v>1.4103767060666716E-5</v>
      </c>
      <c r="J280" s="147">
        <f t="shared" si="18"/>
        <v>1.2283793324205237E-4</v>
      </c>
    </row>
    <row r="281" spans="1:10" x14ac:dyDescent="0.25">
      <c r="A281" s="6" t="s">
        <v>230</v>
      </c>
      <c r="B281" s="7" t="s">
        <v>1000</v>
      </c>
      <c r="C281" s="142">
        <v>1200.6189999999999</v>
      </c>
      <c r="D281" s="143">
        <v>16.79</v>
      </c>
      <c r="E281" s="144">
        <f t="shared" si="16"/>
        <v>20158.393009999996</v>
      </c>
      <c r="F281" s="145">
        <f t="shared" si="19"/>
        <v>1.3038524030075387E-3</v>
      </c>
      <c r="G281" s="146">
        <v>2.3830999999999998E-2</v>
      </c>
      <c r="H281" s="146">
        <v>0.12656999999999999</v>
      </c>
      <c r="I281" s="147">
        <f t="shared" si="17"/>
        <v>3.107210661607265E-5</v>
      </c>
      <c r="J281" s="147">
        <f t="shared" si="18"/>
        <v>1.6502859864866415E-4</v>
      </c>
    </row>
    <row r="282" spans="1:10" x14ac:dyDescent="0.25">
      <c r="A282" s="6" t="s">
        <v>588</v>
      </c>
      <c r="B282" s="7" t="s">
        <v>951</v>
      </c>
      <c r="C282" s="142">
        <v>815.58100000000002</v>
      </c>
      <c r="D282" s="143">
        <v>75.39</v>
      </c>
      <c r="E282" s="144">
        <f t="shared" si="16"/>
        <v>61486.651590000001</v>
      </c>
      <c r="F282" s="145">
        <f t="shared" si="19"/>
        <v>3.9769796326889267E-3</v>
      </c>
      <c r="G282" s="146">
        <v>1.8574999999999998E-2</v>
      </c>
      <c r="H282" s="146">
        <v>0.15140000000000001</v>
      </c>
      <c r="I282" s="147">
        <f t="shared" si="17"/>
        <v>7.38723966771968E-5</v>
      </c>
      <c r="J282" s="147">
        <f t="shared" si="18"/>
        <v>6.0211471638910348E-4</v>
      </c>
    </row>
    <row r="283" spans="1:10" x14ac:dyDescent="0.25">
      <c r="A283" s="6" t="s">
        <v>248</v>
      </c>
      <c r="B283" s="7" t="s">
        <v>1004</v>
      </c>
      <c r="C283" s="142">
        <v>166.892</v>
      </c>
      <c r="D283" s="143">
        <v>59.64</v>
      </c>
      <c r="E283" s="144">
        <f t="shared" si="16"/>
        <v>9953.4388799999997</v>
      </c>
      <c r="F283" s="145">
        <f t="shared" si="19"/>
        <v>0</v>
      </c>
      <c r="G283" s="146" t="s">
        <v>1109</v>
      </c>
      <c r="H283" s="146">
        <v>7.1180000000000007E-2</v>
      </c>
      <c r="I283" s="147" t="str">
        <f t="shared" si="17"/>
        <v>n/a</v>
      </c>
      <c r="J283" s="147">
        <f t="shared" si="18"/>
        <v>0</v>
      </c>
    </row>
    <row r="284" spans="1:10" x14ac:dyDescent="0.25">
      <c r="A284" s="6" t="s">
        <v>1134</v>
      </c>
      <c r="B284" s="7" t="s">
        <v>1135</v>
      </c>
      <c r="C284" s="142">
        <v>630.32600000000002</v>
      </c>
      <c r="D284" s="143">
        <v>46.24</v>
      </c>
      <c r="E284" s="144">
        <f t="shared" si="16"/>
        <v>29146.274240000002</v>
      </c>
      <c r="F284" s="145">
        <f t="shared" si="19"/>
        <v>1.8851919241622494E-3</v>
      </c>
      <c r="G284" s="146">
        <v>8.650999999999999E-3</v>
      </c>
      <c r="H284" s="146">
        <v>0.1837</v>
      </c>
      <c r="I284" s="147">
        <f t="shared" si="17"/>
        <v>1.6308795335927617E-5</v>
      </c>
      <c r="J284" s="147">
        <f t="shared" si="18"/>
        <v>3.463097564686052E-4</v>
      </c>
    </row>
    <row r="285" spans="1:10" x14ac:dyDescent="0.25">
      <c r="A285" s="6" t="s">
        <v>265</v>
      </c>
      <c r="B285" s="7" t="s">
        <v>694</v>
      </c>
      <c r="C285" s="142">
        <v>328.84</v>
      </c>
      <c r="D285" s="143">
        <v>82.2</v>
      </c>
      <c r="E285" s="144">
        <f t="shared" si="16"/>
        <v>27030.647999999997</v>
      </c>
      <c r="F285" s="145">
        <f t="shared" si="19"/>
        <v>1.7483524273074447E-3</v>
      </c>
      <c r="G285" s="146">
        <v>1.8822999999999999E-2</v>
      </c>
      <c r="H285" s="146">
        <v>0.11967</v>
      </c>
      <c r="I285" s="147">
        <f t="shared" si="17"/>
        <v>3.2909237739208033E-5</v>
      </c>
      <c r="J285" s="147">
        <f t="shared" si="18"/>
        <v>2.0922533497588192E-4</v>
      </c>
    </row>
    <row r="286" spans="1:10" x14ac:dyDescent="0.25">
      <c r="A286" s="6" t="s">
        <v>271</v>
      </c>
      <c r="B286" s="7" t="s">
        <v>1007</v>
      </c>
      <c r="C286" s="142">
        <v>790.54</v>
      </c>
      <c r="D286" s="143">
        <v>122.78</v>
      </c>
      <c r="E286" s="144">
        <f t="shared" si="16"/>
        <v>97062.501199999999</v>
      </c>
      <c r="F286" s="145">
        <f t="shared" si="19"/>
        <v>0</v>
      </c>
      <c r="G286" s="146" t="s">
        <v>1109</v>
      </c>
      <c r="H286" s="146">
        <v>0.25533</v>
      </c>
      <c r="I286" s="147" t="str">
        <f t="shared" si="17"/>
        <v>n/a</v>
      </c>
      <c r="J286" s="147">
        <f t="shared" si="18"/>
        <v>0</v>
      </c>
    </row>
    <row r="287" spans="1:10" x14ac:dyDescent="0.25">
      <c r="A287" s="6" t="s">
        <v>274</v>
      </c>
      <c r="B287" s="7" t="s">
        <v>1008</v>
      </c>
      <c r="C287" s="142">
        <v>345.07400000000001</v>
      </c>
      <c r="D287" s="143">
        <v>66.319999999999993</v>
      </c>
      <c r="E287" s="144">
        <f t="shared" si="16"/>
        <v>22885.307679999998</v>
      </c>
      <c r="F287" s="145">
        <f t="shared" si="19"/>
        <v>0</v>
      </c>
      <c r="G287" s="146" t="s">
        <v>1109</v>
      </c>
      <c r="H287" s="146">
        <v>0.16983000000000001</v>
      </c>
      <c r="I287" s="147" t="str">
        <f t="shared" si="17"/>
        <v>n/a</v>
      </c>
      <c r="J287" s="147">
        <f t="shared" si="18"/>
        <v>0</v>
      </c>
    </row>
    <row r="288" spans="1:10" x14ac:dyDescent="0.25">
      <c r="A288" s="6" t="s">
        <v>283</v>
      </c>
      <c r="B288" s="7" t="s">
        <v>1010</v>
      </c>
      <c r="C288" s="142">
        <v>163.852</v>
      </c>
      <c r="D288" s="143">
        <v>60.26</v>
      </c>
      <c r="E288" s="144">
        <f t="shared" si="16"/>
        <v>9873.7215199999991</v>
      </c>
      <c r="F288" s="145">
        <f t="shared" si="19"/>
        <v>0</v>
      </c>
      <c r="G288" s="146">
        <v>3.0533999999999999E-2</v>
      </c>
      <c r="H288" s="146" t="s">
        <v>1109</v>
      </c>
      <c r="I288" s="147">
        <f t="shared" si="17"/>
        <v>0</v>
      </c>
      <c r="J288" s="147" t="str">
        <f t="shared" si="18"/>
        <v>n/a</v>
      </c>
    </row>
    <row r="289" spans="1:10" x14ac:dyDescent="0.25">
      <c r="A289" s="6" t="s">
        <v>260</v>
      </c>
      <c r="B289" s="7" t="s">
        <v>689</v>
      </c>
      <c r="C289" s="142">
        <v>222.33699999999999</v>
      </c>
      <c r="D289" s="143">
        <v>32.590000000000003</v>
      </c>
      <c r="E289" s="144">
        <f t="shared" si="16"/>
        <v>7245.9628300000004</v>
      </c>
      <c r="F289" s="145">
        <f t="shared" si="19"/>
        <v>4.6867158722980015E-4</v>
      </c>
      <c r="G289" s="146">
        <v>1.8411E-2</v>
      </c>
      <c r="H289" s="148">
        <v>3.95E-2</v>
      </c>
      <c r="I289" s="147">
        <f t="shared" si="17"/>
        <v>8.6287125924878512E-6</v>
      </c>
      <c r="J289" s="147">
        <f t="shared" si="18"/>
        <v>1.8512527695577107E-5</v>
      </c>
    </row>
    <row r="290" spans="1:10" x14ac:dyDescent="0.25">
      <c r="A290" s="6" t="s">
        <v>326</v>
      </c>
      <c r="B290" s="7" t="s">
        <v>742</v>
      </c>
      <c r="C290" s="142">
        <v>366.77800000000002</v>
      </c>
      <c r="D290" s="143">
        <v>29.46</v>
      </c>
      <c r="E290" s="144">
        <f t="shared" si="16"/>
        <v>10805.27988</v>
      </c>
      <c r="F290" s="145">
        <f t="shared" si="19"/>
        <v>6.988895458937683E-4</v>
      </c>
      <c r="G290" s="146">
        <v>8.4860000000000005E-3</v>
      </c>
      <c r="H290" s="146">
        <v>0.21579999999999999</v>
      </c>
      <c r="I290" s="147">
        <f t="shared" si="17"/>
        <v>5.9307766864545183E-6</v>
      </c>
      <c r="J290" s="147">
        <f t="shared" si="18"/>
        <v>1.5082036400387519E-4</v>
      </c>
    </row>
    <row r="291" spans="1:10" x14ac:dyDescent="0.25">
      <c r="A291" s="6" t="s">
        <v>366</v>
      </c>
      <c r="B291" s="7" t="s">
        <v>768</v>
      </c>
      <c r="C291" s="142">
        <v>130.869</v>
      </c>
      <c r="D291" s="143">
        <v>46.39</v>
      </c>
      <c r="E291" s="144">
        <f t="shared" si="16"/>
        <v>6071.0129100000004</v>
      </c>
      <c r="F291" s="145">
        <f t="shared" si="19"/>
        <v>3.9267538674667862E-4</v>
      </c>
      <c r="G291" s="146">
        <v>1.5521E-2</v>
      </c>
      <c r="H291" s="146">
        <v>6.9379999999999997E-2</v>
      </c>
      <c r="I291" s="147">
        <f t="shared" si="17"/>
        <v>6.094714677695199E-6</v>
      </c>
      <c r="J291" s="147">
        <f t="shared" si="18"/>
        <v>2.7243818332484563E-5</v>
      </c>
    </row>
    <row r="292" spans="1:10" x14ac:dyDescent="0.25">
      <c r="A292" s="6" t="s">
        <v>339</v>
      </c>
      <c r="B292" s="7" t="s">
        <v>1023</v>
      </c>
      <c r="C292" s="142">
        <v>311.74599999999998</v>
      </c>
      <c r="D292" s="143">
        <v>72.14</v>
      </c>
      <c r="E292" s="144">
        <f t="shared" si="16"/>
        <v>22489.35644</v>
      </c>
      <c r="F292" s="145">
        <f t="shared" si="19"/>
        <v>0</v>
      </c>
      <c r="G292" s="146" t="s">
        <v>1109</v>
      </c>
      <c r="H292" s="146">
        <v>0.14333000000000001</v>
      </c>
      <c r="I292" s="147" t="str">
        <f t="shared" si="17"/>
        <v>n/a</v>
      </c>
      <c r="J292" s="147">
        <f t="shared" si="18"/>
        <v>0</v>
      </c>
    </row>
    <row r="293" spans="1:10" x14ac:dyDescent="0.25">
      <c r="A293" s="6" t="s">
        <v>354</v>
      </c>
      <c r="B293" s="7" t="s">
        <v>1026</v>
      </c>
      <c r="C293" s="142">
        <v>676.27599999999995</v>
      </c>
      <c r="D293" s="143">
        <v>86.46</v>
      </c>
      <c r="E293" s="144">
        <f t="shared" si="16"/>
        <v>58470.82295999999</v>
      </c>
      <c r="F293" s="145">
        <f t="shared" si="19"/>
        <v>0</v>
      </c>
      <c r="G293" s="146" t="s">
        <v>1109</v>
      </c>
      <c r="H293" s="146">
        <v>0.16056999999999999</v>
      </c>
      <c r="I293" s="147" t="str">
        <f t="shared" si="17"/>
        <v>n/a</v>
      </c>
      <c r="J293" s="147">
        <f t="shared" si="18"/>
        <v>0</v>
      </c>
    </row>
    <row r="294" spans="1:10" x14ac:dyDescent="0.25">
      <c r="A294" s="6" t="s">
        <v>353</v>
      </c>
      <c r="B294" s="7" t="s">
        <v>1025</v>
      </c>
      <c r="C294" s="142">
        <v>189.16</v>
      </c>
      <c r="D294" s="143">
        <v>49.78</v>
      </c>
      <c r="E294" s="144">
        <f t="shared" si="16"/>
        <v>9416.3847999999998</v>
      </c>
      <c r="F294" s="145">
        <f t="shared" si="19"/>
        <v>6.0905529240515906E-4</v>
      </c>
      <c r="G294" s="146">
        <v>1.4464000000000001E-2</v>
      </c>
      <c r="H294" s="146">
        <v>0.11583</v>
      </c>
      <c r="I294" s="147">
        <f t="shared" si="17"/>
        <v>8.8093757493482211E-6</v>
      </c>
      <c r="J294" s="147">
        <f t="shared" si="18"/>
        <v>7.054687451928957E-5</v>
      </c>
    </row>
    <row r="295" spans="1:10" x14ac:dyDescent="0.25">
      <c r="A295" s="6" t="s">
        <v>358</v>
      </c>
      <c r="B295" s="7" t="s">
        <v>1029</v>
      </c>
      <c r="C295" s="142">
        <v>289.69499999999999</v>
      </c>
      <c r="D295" s="143">
        <v>39.18</v>
      </c>
      <c r="E295" s="144">
        <f t="shared" si="16"/>
        <v>11350.250099999999</v>
      </c>
      <c r="F295" s="145">
        <f t="shared" si="19"/>
        <v>7.3413842364717144E-4</v>
      </c>
      <c r="G295" s="146">
        <v>2.8586E-2</v>
      </c>
      <c r="H295" s="146">
        <v>0.14349999999999999</v>
      </c>
      <c r="I295" s="147">
        <f t="shared" si="17"/>
        <v>2.0986080978378044E-5</v>
      </c>
      <c r="J295" s="147">
        <f t="shared" si="18"/>
        <v>1.0534886379336909E-4</v>
      </c>
    </row>
    <row r="296" spans="1:10" x14ac:dyDescent="0.25">
      <c r="A296" s="6" t="s">
        <v>448</v>
      </c>
      <c r="B296" s="7" t="s">
        <v>837</v>
      </c>
      <c r="C296" s="142">
        <v>133.238</v>
      </c>
      <c r="D296" s="143">
        <v>120.27</v>
      </c>
      <c r="E296" s="144">
        <f t="shared" si="16"/>
        <v>16024.534259999999</v>
      </c>
      <c r="F296" s="145">
        <f t="shared" si="19"/>
        <v>1.0364728721983397E-3</v>
      </c>
      <c r="G296" s="146">
        <v>2.3271E-2</v>
      </c>
      <c r="H296" s="146">
        <v>6.8629999999999997E-2</v>
      </c>
      <c r="I296" s="147">
        <f t="shared" si="17"/>
        <v>2.4119760208927564E-5</v>
      </c>
      <c r="J296" s="147">
        <f t="shared" si="18"/>
        <v>7.1133133218972052E-5</v>
      </c>
    </row>
    <row r="297" spans="1:10" x14ac:dyDescent="0.25">
      <c r="A297" s="6" t="s">
        <v>364</v>
      </c>
      <c r="B297" s="7" t="s">
        <v>1032</v>
      </c>
      <c r="C297" s="142">
        <v>228.53899999999999</v>
      </c>
      <c r="D297" s="143">
        <v>96.58</v>
      </c>
      <c r="E297" s="144">
        <f t="shared" si="16"/>
        <v>22072.296619999997</v>
      </c>
      <c r="F297" s="145">
        <f t="shared" si="19"/>
        <v>0</v>
      </c>
      <c r="G297" s="146" t="s">
        <v>1109</v>
      </c>
      <c r="H297" s="146">
        <v>0.128</v>
      </c>
      <c r="I297" s="147" t="str">
        <f t="shared" si="17"/>
        <v>n/a</v>
      </c>
      <c r="J297" s="147">
        <f t="shared" si="18"/>
        <v>0</v>
      </c>
    </row>
    <row r="298" spans="1:10" x14ac:dyDescent="0.25">
      <c r="A298" s="6" t="s">
        <v>361</v>
      </c>
      <c r="B298" s="7" t="s">
        <v>1030</v>
      </c>
      <c r="C298" s="142">
        <v>809.29</v>
      </c>
      <c r="D298" s="143">
        <v>19.05</v>
      </c>
      <c r="E298" s="144">
        <f t="shared" si="16"/>
        <v>15416.9745</v>
      </c>
      <c r="F298" s="145">
        <f t="shared" si="19"/>
        <v>9.9717567957719627E-4</v>
      </c>
      <c r="G298" s="146">
        <v>2.7297000000000002E-2</v>
      </c>
      <c r="H298" s="146">
        <v>4.5749999999999999E-2</v>
      </c>
      <c r="I298" s="147">
        <f t="shared" si="17"/>
        <v>2.7219904525418729E-5</v>
      </c>
      <c r="J298" s="147">
        <f t="shared" si="18"/>
        <v>4.5620787340656729E-5</v>
      </c>
    </row>
    <row r="299" spans="1:10" x14ac:dyDescent="0.25">
      <c r="A299" s="6" t="s">
        <v>384</v>
      </c>
      <c r="B299" s="7" t="s">
        <v>1037</v>
      </c>
      <c r="C299" s="142">
        <v>1467.606</v>
      </c>
      <c r="D299" s="143">
        <v>108.2</v>
      </c>
      <c r="E299" s="144">
        <f t="shared" si="16"/>
        <v>158794.96919999999</v>
      </c>
      <c r="F299" s="145">
        <f t="shared" si="19"/>
        <v>1.0270918027752459E-2</v>
      </c>
      <c r="G299" s="146">
        <v>1.5895000000000003E-2</v>
      </c>
      <c r="H299" s="146">
        <v>0.13697999999999999</v>
      </c>
      <c r="I299" s="147">
        <f t="shared" si="17"/>
        <v>1.6325624205112537E-4</v>
      </c>
      <c r="J299" s="147">
        <f t="shared" si="18"/>
        <v>1.4069103514415316E-3</v>
      </c>
    </row>
    <row r="300" spans="1:10" x14ac:dyDescent="0.25">
      <c r="A300" s="6" t="s">
        <v>393</v>
      </c>
      <c r="B300" s="7" t="s">
        <v>1041</v>
      </c>
      <c r="C300" s="142">
        <v>124.90300000000001</v>
      </c>
      <c r="D300" s="143">
        <v>76.87</v>
      </c>
      <c r="E300" s="144">
        <f t="shared" si="16"/>
        <v>9601.2936100000006</v>
      </c>
      <c r="F300" s="145">
        <f t="shared" si="19"/>
        <v>6.2101526342746055E-4</v>
      </c>
      <c r="G300" s="146">
        <v>2.3937E-2</v>
      </c>
      <c r="H300" s="146">
        <v>9.6999999999999989E-2</v>
      </c>
      <c r="I300" s="147">
        <f t="shared" si="17"/>
        <v>1.4865242360663123E-5</v>
      </c>
      <c r="J300" s="147">
        <f t="shared" si="18"/>
        <v>6.0238480552463668E-5</v>
      </c>
    </row>
    <row r="301" spans="1:10" x14ac:dyDescent="0.25">
      <c r="A301" s="6" t="s">
        <v>405</v>
      </c>
      <c r="B301" s="7" t="s">
        <v>1043</v>
      </c>
      <c r="C301" s="142">
        <v>796.65899999999999</v>
      </c>
      <c r="D301" s="143">
        <v>10.98</v>
      </c>
      <c r="E301" s="144">
        <f t="shared" si="16"/>
        <v>8747.3158199999998</v>
      </c>
      <c r="F301" s="145">
        <f t="shared" si="19"/>
        <v>5.6577966041812284E-4</v>
      </c>
      <c r="G301" s="146">
        <v>2.5500999999999999E-2</v>
      </c>
      <c r="H301" s="146">
        <v>7.6899999999999996E-2</v>
      </c>
      <c r="I301" s="147">
        <f t="shared" si="17"/>
        <v>1.442794712032255E-5</v>
      </c>
      <c r="J301" s="147">
        <f t="shared" si="18"/>
        <v>4.3508455886153647E-5</v>
      </c>
    </row>
    <row r="302" spans="1:10" x14ac:dyDescent="0.25">
      <c r="A302" s="6" t="s">
        <v>1258</v>
      </c>
      <c r="B302" s="7" t="s">
        <v>792</v>
      </c>
      <c r="C302" s="142">
        <v>351.88499999999999</v>
      </c>
      <c r="D302" s="143">
        <v>64.849999999999994</v>
      </c>
      <c r="E302" s="144">
        <f t="shared" si="16"/>
        <v>22819.742249999996</v>
      </c>
      <c r="F302" s="145">
        <f t="shared" si="19"/>
        <v>1.4759894677078308E-3</v>
      </c>
      <c r="G302" s="146">
        <v>5.0887000000000002E-2</v>
      </c>
      <c r="H302" s="146">
        <v>4.4900000000000002E-2</v>
      </c>
      <c r="I302" s="147">
        <f t="shared" si="17"/>
        <v>7.5108676043248387E-5</v>
      </c>
      <c r="J302" s="147">
        <f t="shared" si="18"/>
        <v>6.6271927100081603E-5</v>
      </c>
    </row>
    <row r="303" spans="1:10" x14ac:dyDescent="0.25">
      <c r="A303" s="6" t="s">
        <v>1136</v>
      </c>
      <c r="B303" s="7" t="s">
        <v>1005</v>
      </c>
      <c r="C303" s="142">
        <v>222.90299999999999</v>
      </c>
      <c r="D303" s="143">
        <v>291.04000000000002</v>
      </c>
      <c r="E303" s="144">
        <f t="shared" si="16"/>
        <v>64873.689120000003</v>
      </c>
      <c r="F303" s="145">
        <f t="shared" si="19"/>
        <v>0</v>
      </c>
      <c r="G303" s="146" t="s">
        <v>1109</v>
      </c>
      <c r="H303" s="146">
        <v>0.12003</v>
      </c>
      <c r="I303" s="147" t="str">
        <f t="shared" si="17"/>
        <v>n/a</v>
      </c>
      <c r="J303" s="147">
        <f t="shared" si="18"/>
        <v>0</v>
      </c>
    </row>
    <row r="304" spans="1:10" x14ac:dyDescent="0.25">
      <c r="A304" s="6" t="s">
        <v>443</v>
      </c>
      <c r="B304" s="7" t="s">
        <v>1050</v>
      </c>
      <c r="C304" s="142">
        <v>239.75800000000001</v>
      </c>
      <c r="D304" s="143">
        <v>44.44</v>
      </c>
      <c r="E304" s="144">
        <f t="shared" si="16"/>
        <v>10654.845520000001</v>
      </c>
      <c r="F304" s="145">
        <f t="shared" si="19"/>
        <v>6.8915939519754966E-4</v>
      </c>
      <c r="G304" s="146">
        <v>2.7002999999999999E-2</v>
      </c>
      <c r="H304" s="146">
        <v>6.7599999999999993E-2</v>
      </c>
      <c r="I304" s="147">
        <f t="shared" si="17"/>
        <v>1.8609371148519434E-5</v>
      </c>
      <c r="J304" s="147">
        <f t="shared" si="18"/>
        <v>4.6587175115354353E-5</v>
      </c>
    </row>
    <row r="305" spans="1:10" x14ac:dyDescent="0.25">
      <c r="A305" s="6" t="s">
        <v>539</v>
      </c>
      <c r="B305" s="7" t="s">
        <v>910</v>
      </c>
      <c r="C305" s="142">
        <v>169.37</v>
      </c>
      <c r="D305" s="143">
        <v>30.45</v>
      </c>
      <c r="E305" s="144">
        <f t="shared" si="16"/>
        <v>5157.3164999999999</v>
      </c>
      <c r="F305" s="145">
        <f t="shared" si="19"/>
        <v>3.3357716104947746E-4</v>
      </c>
      <c r="G305" s="146">
        <v>5.2549999999999993E-3</v>
      </c>
      <c r="H305" s="146">
        <v>2.7000000000000001E-3</v>
      </c>
      <c r="I305" s="147">
        <f t="shared" si="17"/>
        <v>1.7529479813150038E-6</v>
      </c>
      <c r="J305" s="147">
        <f t="shared" si="18"/>
        <v>9.0065833483358922E-7</v>
      </c>
    </row>
    <row r="306" spans="1:10" x14ac:dyDescent="0.25">
      <c r="A306" s="6" t="s">
        <v>492</v>
      </c>
      <c r="B306" s="7" t="s">
        <v>1063</v>
      </c>
      <c r="C306" s="142">
        <v>231.22</v>
      </c>
      <c r="D306" s="143">
        <v>70.430000000000007</v>
      </c>
      <c r="E306" s="144">
        <f t="shared" si="16"/>
        <v>16284.824600000002</v>
      </c>
      <c r="F306" s="145">
        <f t="shared" si="19"/>
        <v>1.0533085487882492E-3</v>
      </c>
      <c r="G306" s="146">
        <v>2.044E-2</v>
      </c>
      <c r="H306" s="146">
        <v>0.13537000000000002</v>
      </c>
      <c r="I306" s="147">
        <f t="shared" si="17"/>
        <v>2.1529626737231815E-5</v>
      </c>
      <c r="J306" s="147">
        <f t="shared" si="18"/>
        <v>1.4258637824946533E-4</v>
      </c>
    </row>
    <row r="307" spans="1:10" x14ac:dyDescent="0.25">
      <c r="A307" s="6" t="s">
        <v>505</v>
      </c>
      <c r="B307" s="7" t="s">
        <v>1068</v>
      </c>
      <c r="C307" s="142">
        <v>360.54</v>
      </c>
      <c r="D307" s="143">
        <v>51.59</v>
      </c>
      <c r="E307" s="144">
        <f t="shared" si="16"/>
        <v>18600.258600000001</v>
      </c>
      <c r="F307" s="145">
        <f t="shared" si="19"/>
        <v>1.2030716863264312E-3</v>
      </c>
      <c r="G307" s="146">
        <v>3.2564000000000003E-2</v>
      </c>
      <c r="H307" s="146">
        <v>9.3859999999999999E-2</v>
      </c>
      <c r="I307" s="147">
        <f t="shared" si="17"/>
        <v>3.9176826393533911E-5</v>
      </c>
      <c r="J307" s="147">
        <f t="shared" si="18"/>
        <v>1.1292030847859884E-4</v>
      </c>
    </row>
    <row r="308" spans="1:10" x14ac:dyDescent="0.25">
      <c r="A308" s="6" t="s">
        <v>507</v>
      </c>
      <c r="B308" s="7" t="s">
        <v>1069</v>
      </c>
      <c r="C308" s="142">
        <v>309.99299999999999</v>
      </c>
      <c r="D308" s="143">
        <v>15.97</v>
      </c>
      <c r="E308" s="144">
        <f t="shared" si="16"/>
        <v>4950.5882099999999</v>
      </c>
      <c r="F308" s="145">
        <f t="shared" si="19"/>
        <v>0</v>
      </c>
      <c r="G308" s="146">
        <v>4.1954000000000005E-2</v>
      </c>
      <c r="H308" s="146" t="s">
        <v>1109</v>
      </c>
      <c r="I308" s="147">
        <f t="shared" si="17"/>
        <v>0</v>
      </c>
      <c r="J308" s="147" t="str">
        <f t="shared" si="18"/>
        <v>n/a</v>
      </c>
    </row>
    <row r="309" spans="1:10" x14ac:dyDescent="0.25">
      <c r="A309" s="6" t="s">
        <v>504</v>
      </c>
      <c r="B309" s="7" t="s">
        <v>1067</v>
      </c>
      <c r="C309" s="142">
        <v>103.248</v>
      </c>
      <c r="D309" s="143">
        <v>47.414999999999999</v>
      </c>
      <c r="E309" s="144">
        <f t="shared" si="16"/>
        <v>4895.5039200000001</v>
      </c>
      <c r="F309" s="145">
        <f t="shared" si="19"/>
        <v>3.1664302540675723E-4</v>
      </c>
      <c r="G309" s="146">
        <v>1.856E-2</v>
      </c>
      <c r="H309" s="148">
        <v>8.6199999999999999E-2</v>
      </c>
      <c r="I309" s="147">
        <f t="shared" si="17"/>
        <v>5.8768945515494142E-6</v>
      </c>
      <c r="J309" s="147">
        <f t="shared" si="18"/>
        <v>2.7294628790062475E-5</v>
      </c>
    </row>
    <row r="310" spans="1:10" x14ac:dyDescent="0.25">
      <c r="A310" s="6" t="s">
        <v>535</v>
      </c>
      <c r="B310" s="7" t="s">
        <v>1071</v>
      </c>
      <c r="C310" s="142">
        <v>1571.202</v>
      </c>
      <c r="D310" s="143">
        <v>59.48</v>
      </c>
      <c r="E310" s="144">
        <f t="shared" si="16"/>
        <v>93455.094960000002</v>
      </c>
      <c r="F310" s="145">
        <f t="shared" si="19"/>
        <v>6.0447105122142745E-3</v>
      </c>
      <c r="G310" s="146">
        <v>3.2291E-2</v>
      </c>
      <c r="H310" s="146">
        <v>0.13</v>
      </c>
      <c r="I310" s="147">
        <f t="shared" si="17"/>
        <v>1.9518974714991113E-4</v>
      </c>
      <c r="J310" s="147">
        <f t="shared" si="18"/>
        <v>7.8581236658785566E-4</v>
      </c>
    </row>
    <row r="311" spans="1:10" x14ac:dyDescent="0.25">
      <c r="A311" s="6" t="s">
        <v>1137</v>
      </c>
      <c r="B311" s="7" t="s">
        <v>919</v>
      </c>
      <c r="C311" s="142">
        <v>100.666</v>
      </c>
      <c r="D311" s="143">
        <v>186.41</v>
      </c>
      <c r="E311" s="144">
        <f t="shared" si="16"/>
        <v>18765.14906</v>
      </c>
      <c r="F311" s="145">
        <f t="shared" si="19"/>
        <v>1.2137368629800149E-3</v>
      </c>
      <c r="G311" s="146">
        <v>5.365E-3</v>
      </c>
      <c r="H311" s="146">
        <v>0.11767</v>
      </c>
      <c r="I311" s="147">
        <f t="shared" si="17"/>
        <v>6.5116982698877797E-6</v>
      </c>
      <c r="J311" s="147">
        <f t="shared" si="18"/>
        <v>1.4282041666685834E-4</v>
      </c>
    </row>
    <row r="312" spans="1:10" x14ac:dyDescent="0.25">
      <c r="A312" s="6" t="s">
        <v>549</v>
      </c>
      <c r="B312" s="7" t="s">
        <v>1073</v>
      </c>
      <c r="C312" s="142">
        <v>408.072</v>
      </c>
      <c r="D312" s="143">
        <v>50.62</v>
      </c>
      <c r="E312" s="144">
        <f t="shared" si="16"/>
        <v>20656.604639999998</v>
      </c>
      <c r="F312" s="145">
        <f t="shared" si="19"/>
        <v>1.3360769176630255E-3</v>
      </c>
      <c r="G312" s="146">
        <v>9.2849999999999999E-3</v>
      </c>
      <c r="H312" s="146">
        <v>0.1075</v>
      </c>
      <c r="I312" s="147">
        <f t="shared" si="17"/>
        <v>1.2405474180501192E-5</v>
      </c>
      <c r="J312" s="147">
        <f t="shared" si="18"/>
        <v>1.4362826864877524E-4</v>
      </c>
    </row>
    <row r="313" spans="1:10" x14ac:dyDescent="0.25">
      <c r="A313" s="6" t="s">
        <v>236</v>
      </c>
      <c r="B313" s="7" t="s">
        <v>669</v>
      </c>
      <c r="C313" s="142">
        <v>110.625</v>
      </c>
      <c r="D313" s="143">
        <v>63.22</v>
      </c>
      <c r="E313" s="144">
        <f t="shared" si="16"/>
        <v>6993.7124999999996</v>
      </c>
      <c r="F313" s="145">
        <f t="shared" si="19"/>
        <v>0</v>
      </c>
      <c r="G313" s="146" t="s">
        <v>1109</v>
      </c>
      <c r="H313" s="146">
        <v>0.13287000000000002</v>
      </c>
      <c r="I313" s="147" t="str">
        <f t="shared" si="17"/>
        <v>n/a</v>
      </c>
      <c r="J313" s="147">
        <f t="shared" si="18"/>
        <v>0</v>
      </c>
    </row>
    <row r="314" spans="1:10" x14ac:dyDescent="0.25">
      <c r="A314" s="6" t="s">
        <v>568</v>
      </c>
      <c r="B314" s="7" t="s">
        <v>1078</v>
      </c>
      <c r="C314" s="142">
        <v>1484.2</v>
      </c>
      <c r="D314" s="143">
        <v>62.71</v>
      </c>
      <c r="E314" s="144">
        <f t="shared" si="16"/>
        <v>93074.182000000001</v>
      </c>
      <c r="F314" s="145">
        <f t="shared" si="19"/>
        <v>6.0200729194266776E-3</v>
      </c>
      <c r="G314" s="146">
        <v>1.2759E-2</v>
      </c>
      <c r="H314" s="146">
        <v>0.18114</v>
      </c>
      <c r="I314" s="147">
        <f t="shared" si="17"/>
        <v>7.6810110378964979E-5</v>
      </c>
      <c r="J314" s="147">
        <f t="shared" si="18"/>
        <v>1.0904760086249484E-3</v>
      </c>
    </row>
    <row r="315" spans="1:10" x14ac:dyDescent="0.25">
      <c r="A315" s="23" t="s">
        <v>427</v>
      </c>
      <c r="B315" s="7" t="s">
        <v>819</v>
      </c>
      <c r="C315" s="142">
        <v>840.86099999999999</v>
      </c>
      <c r="D315" s="143">
        <v>12.43</v>
      </c>
      <c r="E315" s="144">
        <f t="shared" si="16"/>
        <v>10451.90223</v>
      </c>
      <c r="F315" s="145">
        <f t="shared" si="19"/>
        <v>6.7603294726047982E-4</v>
      </c>
      <c r="G315" s="146">
        <v>2.4135E-2</v>
      </c>
      <c r="H315" s="146">
        <v>7.1029999999999996E-2</v>
      </c>
      <c r="I315" s="147">
        <f t="shared" si="17"/>
        <v>1.6316055182131682E-5</v>
      </c>
      <c r="J315" s="147">
        <f t="shared" si="18"/>
        <v>4.8018620243911881E-5</v>
      </c>
    </row>
    <row r="316" spans="1:10" x14ac:dyDescent="0.25">
      <c r="A316" s="6" t="s">
        <v>567</v>
      </c>
      <c r="B316" s="7" t="s">
        <v>1077</v>
      </c>
      <c r="C316" s="142">
        <v>643.56600000000003</v>
      </c>
      <c r="D316" s="143">
        <v>12.98</v>
      </c>
      <c r="E316" s="144">
        <f t="shared" si="16"/>
        <v>8353.48668</v>
      </c>
      <c r="F316" s="145">
        <f t="shared" si="19"/>
        <v>0</v>
      </c>
      <c r="G316" s="146">
        <v>3.6965999999999999E-2</v>
      </c>
      <c r="H316" s="146">
        <v>-3.4999999999999996E-3</v>
      </c>
      <c r="I316" s="147">
        <f t="shared" si="17"/>
        <v>0</v>
      </c>
      <c r="J316" s="147">
        <f t="shared" si="18"/>
        <v>0</v>
      </c>
    </row>
    <row r="317" spans="1:10" x14ac:dyDescent="0.25">
      <c r="A317" s="6" t="s">
        <v>570</v>
      </c>
      <c r="B317" s="7" t="s">
        <v>937</v>
      </c>
      <c r="C317" s="142">
        <v>408.113</v>
      </c>
      <c r="D317" s="143">
        <v>69.03</v>
      </c>
      <c r="E317" s="144">
        <f t="shared" si="16"/>
        <v>28172.040390000002</v>
      </c>
      <c r="F317" s="145">
        <f t="shared" si="19"/>
        <v>1.8221781141931884E-3</v>
      </c>
      <c r="G317" s="146">
        <v>1.9699000000000001E-2</v>
      </c>
      <c r="H317" s="146">
        <v>8.3599999999999994E-2</v>
      </c>
      <c r="I317" s="147">
        <f t="shared" si="17"/>
        <v>3.589508667149162E-5</v>
      </c>
      <c r="J317" s="147">
        <f t="shared" si="18"/>
        <v>1.5233409034655054E-4</v>
      </c>
    </row>
    <row r="318" spans="1:10" x14ac:dyDescent="0.25">
      <c r="A318" s="6" t="s">
        <v>1213</v>
      </c>
      <c r="B318" s="7" t="s">
        <v>965</v>
      </c>
      <c r="C318" s="142">
        <v>1761.0039999999999</v>
      </c>
      <c r="D318" s="143">
        <v>42.22</v>
      </c>
      <c r="E318" s="144">
        <f t="shared" si="16"/>
        <v>74349.588879999996</v>
      </c>
      <c r="F318" s="145">
        <f t="shared" si="19"/>
        <v>4.8089592298215939E-3</v>
      </c>
      <c r="G318" s="146">
        <v>2.4161999999999999E-2</v>
      </c>
      <c r="H318" s="146">
        <v>5.7500000000000002E-2</v>
      </c>
      <c r="I318" s="147">
        <f t="shared" si="17"/>
        <v>1.1619407291094935E-4</v>
      </c>
      <c r="J318" s="147">
        <f t="shared" si="18"/>
        <v>2.7651515571474168E-4</v>
      </c>
    </row>
    <row r="319" spans="1:10" x14ac:dyDescent="0.25">
      <c r="A319" s="6" t="s">
        <v>574</v>
      </c>
      <c r="B319" s="7" t="s">
        <v>1080</v>
      </c>
      <c r="C319" s="142">
        <v>684.173</v>
      </c>
      <c r="D319" s="143">
        <v>20.6</v>
      </c>
      <c r="E319" s="144">
        <f t="shared" si="16"/>
        <v>14093.963800000001</v>
      </c>
      <c r="F319" s="145">
        <f t="shared" si="19"/>
        <v>9.1160285244043212E-4</v>
      </c>
      <c r="G319" s="146">
        <v>2.9125999999999999E-2</v>
      </c>
      <c r="H319" s="146">
        <v>8.3499999999999991E-2</v>
      </c>
      <c r="I319" s="147">
        <f t="shared" si="17"/>
        <v>2.6551344680180025E-5</v>
      </c>
      <c r="J319" s="147">
        <f t="shared" si="18"/>
        <v>7.6118838178776079E-5</v>
      </c>
    </row>
    <row r="320" spans="1:10" x14ac:dyDescent="0.25">
      <c r="A320" s="6" t="s">
        <v>576</v>
      </c>
      <c r="B320" s="7" t="s">
        <v>1081</v>
      </c>
      <c r="C320" s="142">
        <v>251.095</v>
      </c>
      <c r="D320" s="143">
        <v>75.66</v>
      </c>
      <c r="E320" s="144">
        <f t="shared" si="16"/>
        <v>18997.847699999998</v>
      </c>
      <c r="F320" s="145">
        <f t="shared" si="19"/>
        <v>1.2287878980893152E-3</v>
      </c>
      <c r="G320" s="146">
        <v>2.7484000000000001E-2</v>
      </c>
      <c r="H320" s="146">
        <v>0.10435999999999999</v>
      </c>
      <c r="I320" s="147">
        <f t="shared" si="17"/>
        <v>3.3772006591086741E-5</v>
      </c>
      <c r="J320" s="147">
        <f t="shared" si="18"/>
        <v>1.2823630504460093E-4</v>
      </c>
    </row>
    <row r="321" spans="1:10" x14ac:dyDescent="0.25">
      <c r="A321" s="6" t="s">
        <v>618</v>
      </c>
      <c r="B321" s="7" t="s">
        <v>976</v>
      </c>
      <c r="C321" s="142">
        <v>446.495</v>
      </c>
      <c r="D321" s="143">
        <v>53.77</v>
      </c>
      <c r="E321" s="144">
        <f t="shared" si="16"/>
        <v>24008.03615</v>
      </c>
      <c r="F321" s="145">
        <f t="shared" si="19"/>
        <v>1.5528487618105709E-3</v>
      </c>
      <c r="G321" s="146">
        <v>2.8641E-2</v>
      </c>
      <c r="H321" s="146">
        <v>7.6329999999999995E-2</v>
      </c>
      <c r="I321" s="147">
        <f t="shared" si="17"/>
        <v>4.4475141387016559E-5</v>
      </c>
      <c r="J321" s="147">
        <f t="shared" si="18"/>
        <v>1.1852894598900087E-4</v>
      </c>
    </row>
    <row r="322" spans="1:10" x14ac:dyDescent="0.25">
      <c r="A322" s="6" t="s">
        <v>270</v>
      </c>
      <c r="B322" s="7" t="s">
        <v>699</v>
      </c>
      <c r="C322" s="142">
        <v>444.40800000000002</v>
      </c>
      <c r="D322" s="143">
        <v>46.55</v>
      </c>
      <c r="E322" s="144">
        <f t="shared" si="16"/>
        <v>20687.1924</v>
      </c>
      <c r="F322" s="145">
        <f t="shared" si="19"/>
        <v>1.3380553454255379E-3</v>
      </c>
      <c r="G322" s="146">
        <v>1.2892000000000001E-2</v>
      </c>
      <c r="H322" s="146">
        <v>0.14865</v>
      </c>
      <c r="I322" s="147">
        <f t="shared" si="17"/>
        <v>1.7250209513226036E-5</v>
      </c>
      <c r="J322" s="147">
        <f t="shared" si="18"/>
        <v>1.9890192709750621E-4</v>
      </c>
    </row>
    <row r="323" spans="1:10" x14ac:dyDescent="0.25">
      <c r="A323" s="6" t="s">
        <v>1214</v>
      </c>
      <c r="B323" s="7" t="s">
        <v>1215</v>
      </c>
      <c r="C323" s="142">
        <v>393.63600000000002</v>
      </c>
      <c r="D323" s="143">
        <v>308.8</v>
      </c>
      <c r="E323" s="144">
        <f t="shared" si="16"/>
        <v>121554.79680000001</v>
      </c>
      <c r="F323" s="145">
        <f t="shared" si="19"/>
        <v>0</v>
      </c>
      <c r="G323" s="146" t="s">
        <v>1109</v>
      </c>
      <c r="H323" s="146">
        <v>0.12404</v>
      </c>
      <c r="I323" s="147" t="str">
        <f t="shared" si="17"/>
        <v>n/a</v>
      </c>
      <c r="J323" s="147">
        <f t="shared" si="18"/>
        <v>0</v>
      </c>
    </row>
    <row r="324" spans="1:10" x14ac:dyDescent="0.25">
      <c r="A324" s="6" t="s">
        <v>625</v>
      </c>
      <c r="B324" s="7" t="s">
        <v>1091</v>
      </c>
      <c r="C324" s="142">
        <v>357.858</v>
      </c>
      <c r="D324" s="143">
        <v>29.96</v>
      </c>
      <c r="E324" s="144">
        <f t="shared" si="16"/>
        <v>10721.42568</v>
      </c>
      <c r="F324" s="145">
        <f t="shared" si="19"/>
        <v>6.9346582486015033E-4</v>
      </c>
      <c r="G324" s="146">
        <v>1.7356E-2</v>
      </c>
      <c r="H324" s="146">
        <v>0.11816</v>
      </c>
      <c r="I324" s="147">
        <f t="shared" si="17"/>
        <v>1.203579285627277E-5</v>
      </c>
      <c r="J324" s="147">
        <f t="shared" si="18"/>
        <v>8.1939921865475371E-5</v>
      </c>
    </row>
    <row r="325" spans="1:10" x14ac:dyDescent="0.25">
      <c r="A325" s="6" t="s">
        <v>303</v>
      </c>
      <c r="B325" s="7" t="s">
        <v>722</v>
      </c>
      <c r="C325" s="142">
        <v>173.148</v>
      </c>
      <c r="D325" s="143">
        <v>134.86000000000001</v>
      </c>
      <c r="E325" s="144">
        <f t="shared" si="16"/>
        <v>23350.739280000002</v>
      </c>
      <c r="F325" s="145">
        <f t="shared" si="19"/>
        <v>1.5103345543033707E-3</v>
      </c>
      <c r="G325" s="146">
        <v>9.195E-3</v>
      </c>
      <c r="H325" s="146">
        <v>0.13287000000000002</v>
      </c>
      <c r="I325" s="147">
        <f t="shared" si="17"/>
        <v>1.3887526226819494E-5</v>
      </c>
      <c r="J325" s="147">
        <f t="shared" si="18"/>
        <v>2.0067815223028887E-4</v>
      </c>
    </row>
    <row r="326" spans="1:10" x14ac:dyDescent="0.25">
      <c r="A326" s="6" t="s">
        <v>632</v>
      </c>
      <c r="B326" s="7" t="s">
        <v>1093</v>
      </c>
      <c r="C326" s="142">
        <v>256.97500000000002</v>
      </c>
      <c r="D326" s="143">
        <v>47.64</v>
      </c>
      <c r="E326" s="144">
        <f t="shared" si="16"/>
        <v>12242.289000000001</v>
      </c>
      <c r="F326" s="145">
        <f t="shared" si="19"/>
        <v>7.9183583349349347E-4</v>
      </c>
      <c r="G326" s="146">
        <v>2.6025999999999997E-2</v>
      </c>
      <c r="H326" s="146">
        <v>8.1199999999999994E-2</v>
      </c>
      <c r="I326" s="147">
        <f t="shared" si="17"/>
        <v>2.060831940250166E-5</v>
      </c>
      <c r="J326" s="147">
        <f t="shared" si="18"/>
        <v>6.4297069679671671E-5</v>
      </c>
    </row>
    <row r="327" spans="1:10" x14ac:dyDescent="0.25">
      <c r="A327" s="6" t="s">
        <v>316</v>
      </c>
      <c r="B327" s="7" t="s">
        <v>1018</v>
      </c>
      <c r="C327" s="142">
        <v>139.86600000000001</v>
      </c>
      <c r="D327" s="143">
        <v>60.86</v>
      </c>
      <c r="E327" s="144">
        <f t="shared" si="16"/>
        <v>8512.2447600000014</v>
      </c>
      <c r="F327" s="145">
        <f t="shared" si="19"/>
        <v>5.5057517629548058E-4</v>
      </c>
      <c r="G327" s="146">
        <v>4.7650000000000001E-3</v>
      </c>
      <c r="H327" s="146">
        <v>9.6199999999999994E-2</v>
      </c>
      <c r="I327" s="147">
        <f t="shared" si="17"/>
        <v>2.6234907150479652E-6</v>
      </c>
      <c r="J327" s="147">
        <f t="shared" si="18"/>
        <v>5.2965331959625226E-5</v>
      </c>
    </row>
    <row r="328" spans="1:10" x14ac:dyDescent="0.25">
      <c r="A328" s="6" t="s">
        <v>637</v>
      </c>
      <c r="B328" s="7" t="s">
        <v>1095</v>
      </c>
      <c r="C328" s="142">
        <v>204.17</v>
      </c>
      <c r="D328" s="143">
        <v>28.785</v>
      </c>
      <c r="E328" s="144">
        <f t="shared" si="16"/>
        <v>5877.0334499999999</v>
      </c>
      <c r="F328" s="145">
        <f t="shared" si="19"/>
        <v>3.8012872268820732E-4</v>
      </c>
      <c r="G328" s="146">
        <v>8.3379999999999999E-3</v>
      </c>
      <c r="H328" s="146">
        <v>8.1000000000000003E-2</v>
      </c>
      <c r="I328" s="147">
        <f t="shared" si="17"/>
        <v>3.1695132897742725E-6</v>
      </c>
      <c r="J328" s="147">
        <f t="shared" si="18"/>
        <v>3.0790426537744796E-5</v>
      </c>
    </row>
    <row r="329" spans="1:10" x14ac:dyDescent="0.25">
      <c r="A329" s="6" t="s">
        <v>416</v>
      </c>
      <c r="B329" s="7" t="s">
        <v>809</v>
      </c>
      <c r="C329" s="142">
        <v>423.86200000000002</v>
      </c>
      <c r="D329" s="143">
        <v>33.200000000000003</v>
      </c>
      <c r="E329" s="144">
        <f t="shared" si="16"/>
        <v>14072.218400000002</v>
      </c>
      <c r="F329" s="145">
        <f t="shared" si="19"/>
        <v>9.1019635183146516E-4</v>
      </c>
      <c r="G329" s="146">
        <v>3.2530000000000003E-2</v>
      </c>
      <c r="H329" s="146">
        <v>9.8650000000000002E-2</v>
      </c>
      <c r="I329" s="147">
        <f t="shared" si="17"/>
        <v>2.9608687325077565E-5</v>
      </c>
      <c r="J329" s="147">
        <f t="shared" si="18"/>
        <v>8.9790870108174035E-5</v>
      </c>
    </row>
    <row r="330" spans="1:10" x14ac:dyDescent="0.25">
      <c r="A330" s="6" t="s">
        <v>414</v>
      </c>
      <c r="B330" s="7" t="s">
        <v>1045</v>
      </c>
      <c r="C330" s="142">
        <v>277.30700000000002</v>
      </c>
      <c r="D330" s="143">
        <v>97.5</v>
      </c>
      <c r="E330" s="144">
        <f t="shared" si="16"/>
        <v>27037.432500000003</v>
      </c>
      <c r="F330" s="145">
        <f t="shared" si="19"/>
        <v>1.7487912513061545E-3</v>
      </c>
      <c r="G330" s="146">
        <v>1.2310000000000001E-2</v>
      </c>
      <c r="H330" s="146">
        <v>0.1794</v>
      </c>
      <c r="I330" s="147">
        <f t="shared" si="17"/>
        <v>2.1527620303578765E-5</v>
      </c>
      <c r="J330" s="147">
        <f t="shared" si="18"/>
        <v>3.1373315048432413E-4</v>
      </c>
    </row>
    <row r="331" spans="1:10" x14ac:dyDescent="0.25">
      <c r="A331" s="6" t="s">
        <v>474</v>
      </c>
      <c r="B331" s="7" t="s">
        <v>152</v>
      </c>
      <c r="C331" s="142">
        <v>1953.385</v>
      </c>
      <c r="D331" s="143">
        <v>32.99</v>
      </c>
      <c r="E331" s="144">
        <f t="shared" si="16"/>
        <v>64442.171150000002</v>
      </c>
      <c r="F331" s="145">
        <f t="shared" si="19"/>
        <v>4.1681437437631648E-3</v>
      </c>
      <c r="G331" s="146">
        <v>1.8186999999999998E-2</v>
      </c>
      <c r="H331" s="146">
        <v>0.17018</v>
      </c>
      <c r="I331" s="147">
        <f t="shared" si="17"/>
        <v>7.5806030267820665E-5</v>
      </c>
      <c r="J331" s="147">
        <f t="shared" si="18"/>
        <v>7.0933470231361541E-4</v>
      </c>
    </row>
    <row r="332" spans="1:10" x14ac:dyDescent="0.25">
      <c r="A332" s="6" t="s">
        <v>465</v>
      </c>
      <c r="B332" s="7" t="s">
        <v>1052</v>
      </c>
      <c r="C332" s="142">
        <v>211.09100000000001</v>
      </c>
      <c r="D332" s="143">
        <v>48.35</v>
      </c>
      <c r="E332" s="144">
        <f t="shared" si="16"/>
        <v>10206.24985</v>
      </c>
      <c r="F332" s="145">
        <f t="shared" si="19"/>
        <v>6.6014405940078625E-4</v>
      </c>
      <c r="G332" s="146">
        <v>2.9617000000000001E-2</v>
      </c>
      <c r="H332" s="146">
        <v>6.3E-2</v>
      </c>
      <c r="I332" s="147">
        <f t="shared" si="17"/>
        <v>1.9551486607273088E-5</v>
      </c>
      <c r="J332" s="147">
        <f t="shared" si="18"/>
        <v>4.1589075742249533E-5</v>
      </c>
    </row>
    <row r="333" spans="1:10" x14ac:dyDescent="0.25">
      <c r="A333" s="6" t="s">
        <v>195</v>
      </c>
      <c r="B333" s="7" t="s">
        <v>643</v>
      </c>
      <c r="C333" s="142">
        <v>323.928</v>
      </c>
      <c r="D333" s="143">
        <v>113.56</v>
      </c>
      <c r="E333" s="144">
        <f t="shared" si="16"/>
        <v>36785.263680000004</v>
      </c>
      <c r="F333" s="145">
        <f t="shared" si="19"/>
        <v>2.379284619594484E-3</v>
      </c>
      <c r="G333" s="146">
        <v>2.3599999999999999E-2</v>
      </c>
      <c r="H333" s="146">
        <v>0.11199999999999999</v>
      </c>
      <c r="I333" s="147">
        <f t="shared" si="17"/>
        <v>5.6151117022429817E-5</v>
      </c>
      <c r="J333" s="147">
        <f t="shared" si="18"/>
        <v>2.6647987739458219E-4</v>
      </c>
    </row>
    <row r="334" spans="1:10" x14ac:dyDescent="0.25">
      <c r="A334" s="6" t="s">
        <v>278</v>
      </c>
      <c r="B334" s="7" t="s">
        <v>704</v>
      </c>
      <c r="C334" s="142">
        <v>665.36699999999996</v>
      </c>
      <c r="D334" s="143">
        <v>7.12</v>
      </c>
      <c r="E334" s="144">
        <f t="shared" ref="E334:E397" si="20">C334*D334</f>
        <v>4737.4130399999995</v>
      </c>
      <c r="F334" s="145">
        <f t="shared" si="19"/>
        <v>0</v>
      </c>
      <c r="G334" s="146" t="s">
        <v>1109</v>
      </c>
      <c r="H334" s="146">
        <v>0.14367000000000002</v>
      </c>
      <c r="I334" s="147" t="str">
        <f t="shared" ref="I334:I397" si="21">IF(G334="n/a","n/a",$F334*G334)</f>
        <v>n/a</v>
      </c>
      <c r="J334" s="147">
        <f t="shared" ref="J334:J397" si="22">IF(H334="n/a","n/a",$F334*H334)</f>
        <v>0</v>
      </c>
    </row>
    <row r="335" spans="1:10" x14ac:dyDescent="0.25">
      <c r="A335" s="6" t="s">
        <v>497</v>
      </c>
      <c r="B335" s="7" t="s">
        <v>1065</v>
      </c>
      <c r="C335" s="142">
        <v>99.403000000000006</v>
      </c>
      <c r="D335" s="143">
        <v>276.38</v>
      </c>
      <c r="E335" s="144">
        <f t="shared" si="20"/>
        <v>27473.00114</v>
      </c>
      <c r="F335" s="145">
        <f t="shared" ref="F335:F398" si="23">IF(OR(G335="n/a",H335="n/a",H335&lt;0%),0%,E335/SUMIFS(E$14:E$518,G$14:G$518,"&lt;&gt;n/a",$H$14:$H$518,"&lt;&gt;n/a",$H$14:$H$518,"&gt;=0"))</f>
        <v>0</v>
      </c>
      <c r="G335" s="146" t="s">
        <v>1109</v>
      </c>
      <c r="H335" s="146">
        <v>0.17701</v>
      </c>
      <c r="I335" s="147" t="str">
        <f t="shared" si="21"/>
        <v>n/a</v>
      </c>
      <c r="J335" s="147">
        <f t="shared" si="22"/>
        <v>0</v>
      </c>
    </row>
    <row r="336" spans="1:10" x14ac:dyDescent="0.25">
      <c r="A336" s="6" t="s">
        <v>210</v>
      </c>
      <c r="B336" s="7" t="s">
        <v>652</v>
      </c>
      <c r="C336" s="142">
        <v>400.39</v>
      </c>
      <c r="D336" s="143">
        <v>61.88</v>
      </c>
      <c r="E336" s="144">
        <f t="shared" si="20"/>
        <v>24776.1332</v>
      </c>
      <c r="F336" s="145">
        <f t="shared" si="23"/>
        <v>1.6025295664207743E-3</v>
      </c>
      <c r="G336" s="146">
        <v>1.9392E-2</v>
      </c>
      <c r="H336" s="146">
        <v>9.6999999999999989E-2</v>
      </c>
      <c r="I336" s="147">
        <f t="shared" si="21"/>
        <v>3.1076253352031654E-5</v>
      </c>
      <c r="J336" s="147">
        <f t="shared" si="22"/>
        <v>1.5544536794281509E-4</v>
      </c>
    </row>
    <row r="337" spans="1:10" x14ac:dyDescent="0.25">
      <c r="A337" s="6" t="s">
        <v>365</v>
      </c>
      <c r="B337" s="7" t="s">
        <v>1033</v>
      </c>
      <c r="C337" s="142">
        <v>140.24799999999999</v>
      </c>
      <c r="D337" s="143">
        <v>26.69</v>
      </c>
      <c r="E337" s="144">
        <f t="shared" si="20"/>
        <v>3743.2191199999997</v>
      </c>
      <c r="F337" s="145">
        <f t="shared" si="23"/>
        <v>2.4211281336635501E-4</v>
      </c>
      <c r="G337" s="146">
        <v>1.6479000000000001E-2</v>
      </c>
      <c r="H337" s="146">
        <v>0.13500000000000001</v>
      </c>
      <c r="I337" s="147">
        <f t="shared" si="21"/>
        <v>3.9897770514641641E-6</v>
      </c>
      <c r="J337" s="147">
        <f t="shared" si="22"/>
        <v>3.268522980445793E-5</v>
      </c>
    </row>
    <row r="338" spans="1:10" x14ac:dyDescent="0.25">
      <c r="A338" s="6" t="s">
        <v>348</v>
      </c>
      <c r="B338" s="7" t="s">
        <v>760</v>
      </c>
      <c r="C338" s="142">
        <v>364.08199999999999</v>
      </c>
      <c r="D338" s="143">
        <v>77.36</v>
      </c>
      <c r="E338" s="144">
        <f t="shared" si="20"/>
        <v>28165.383519999999</v>
      </c>
      <c r="F338" s="145">
        <f t="shared" si="23"/>
        <v>1.8217475453506369E-3</v>
      </c>
      <c r="G338" s="146">
        <v>2.8570999999999999E-2</v>
      </c>
      <c r="H338" s="146">
        <v>8.0429999999999988E-2</v>
      </c>
      <c r="I338" s="147">
        <f t="shared" si="21"/>
        <v>5.2049149118213047E-5</v>
      </c>
      <c r="J338" s="147">
        <f t="shared" si="22"/>
        <v>1.4652315507255172E-4</v>
      </c>
    </row>
    <row r="339" spans="1:10" x14ac:dyDescent="0.25">
      <c r="A339" s="6" t="s">
        <v>253</v>
      </c>
      <c r="B339" s="7" t="s">
        <v>684</v>
      </c>
      <c r="C339" s="142">
        <v>224.14500000000001</v>
      </c>
      <c r="D339" s="143">
        <v>42.83</v>
      </c>
      <c r="E339" s="144">
        <f t="shared" si="20"/>
        <v>9600.1303499999995</v>
      </c>
      <c r="F339" s="145">
        <f t="shared" si="23"/>
        <v>6.2094002333537731E-4</v>
      </c>
      <c r="G339" s="146">
        <v>1.2140999999999999E-2</v>
      </c>
      <c r="H339" s="146">
        <v>0.10589999999999999</v>
      </c>
      <c r="I339" s="147">
        <f t="shared" si="21"/>
        <v>7.5388328233148149E-6</v>
      </c>
      <c r="J339" s="147">
        <f t="shared" si="22"/>
        <v>6.5757548471216456E-5</v>
      </c>
    </row>
    <row r="340" spans="1:10" x14ac:dyDescent="0.25">
      <c r="A340" s="6" t="s">
        <v>483</v>
      </c>
      <c r="B340" s="7" t="s">
        <v>862</v>
      </c>
      <c r="C340" s="142">
        <v>162.989</v>
      </c>
      <c r="D340" s="143">
        <v>40.19</v>
      </c>
      <c r="E340" s="144">
        <f t="shared" si="20"/>
        <v>6550.5279099999998</v>
      </c>
      <c r="F340" s="145">
        <f t="shared" si="23"/>
        <v>0</v>
      </c>
      <c r="G340" s="146" t="s">
        <v>1109</v>
      </c>
      <c r="H340" s="146">
        <v>4.8949999999999994E-2</v>
      </c>
      <c r="I340" s="147" t="str">
        <f t="shared" si="21"/>
        <v>n/a</v>
      </c>
      <c r="J340" s="147">
        <f t="shared" si="22"/>
        <v>0</v>
      </c>
    </row>
    <row r="341" spans="1:10" x14ac:dyDescent="0.25">
      <c r="A341" s="6" t="s">
        <v>604</v>
      </c>
      <c r="B341" s="7" t="s">
        <v>1086</v>
      </c>
      <c r="C341" s="142">
        <v>123.946</v>
      </c>
      <c r="D341" s="143">
        <v>28.6</v>
      </c>
      <c r="E341" s="144">
        <f t="shared" si="20"/>
        <v>3544.8556000000003</v>
      </c>
      <c r="F341" s="145">
        <f t="shared" si="23"/>
        <v>0</v>
      </c>
      <c r="G341" s="146" t="s">
        <v>1109</v>
      </c>
      <c r="H341" s="146">
        <v>0.1419</v>
      </c>
      <c r="I341" s="147" t="str">
        <f t="shared" si="21"/>
        <v>n/a</v>
      </c>
      <c r="J341" s="147">
        <f t="shared" si="22"/>
        <v>0</v>
      </c>
    </row>
    <row r="342" spans="1:10" x14ac:dyDescent="0.25">
      <c r="A342" s="6" t="s">
        <v>559</v>
      </c>
      <c r="B342" s="7" t="s">
        <v>928</v>
      </c>
      <c r="C342" s="142">
        <v>309.41000000000003</v>
      </c>
      <c r="D342" s="143">
        <v>201.63</v>
      </c>
      <c r="E342" s="144">
        <f t="shared" si="20"/>
        <v>62386.338300000003</v>
      </c>
      <c r="F342" s="145">
        <f t="shared" si="23"/>
        <v>4.0351717057478019E-3</v>
      </c>
      <c r="G342" s="146">
        <v>3.1740999999999998E-2</v>
      </c>
      <c r="H342" s="146">
        <v>7.7530000000000002E-2</v>
      </c>
      <c r="I342" s="147">
        <f t="shared" si="21"/>
        <v>1.2808038511214097E-4</v>
      </c>
      <c r="J342" s="147">
        <f t="shared" si="22"/>
        <v>3.1284686234662708E-4</v>
      </c>
    </row>
    <row r="343" spans="1:10" x14ac:dyDescent="0.25">
      <c r="A343" s="6" t="s">
        <v>332</v>
      </c>
      <c r="B343" s="7" t="s">
        <v>746</v>
      </c>
      <c r="C343" s="142">
        <v>148.66399999999999</v>
      </c>
      <c r="D343" s="143">
        <v>72.239999999999995</v>
      </c>
      <c r="E343" s="144">
        <f t="shared" si="20"/>
        <v>10739.487359999999</v>
      </c>
      <c r="F343" s="145">
        <f t="shared" si="23"/>
        <v>6.9463406108109652E-4</v>
      </c>
      <c r="G343" s="146">
        <v>2.2147999999999998E-2</v>
      </c>
      <c r="H343" s="146">
        <v>7.1669999999999998E-2</v>
      </c>
      <c r="I343" s="147">
        <f t="shared" si="21"/>
        <v>1.5384755184824123E-5</v>
      </c>
      <c r="J343" s="147">
        <f t="shared" si="22"/>
        <v>4.9784423157682183E-5</v>
      </c>
    </row>
    <row r="344" spans="1:10" x14ac:dyDescent="0.25">
      <c r="A344" s="6" t="s">
        <v>239</v>
      </c>
      <c r="B344" s="7" t="s">
        <v>671</v>
      </c>
      <c r="C344" s="142">
        <v>132.90199999999999</v>
      </c>
      <c r="D344" s="143">
        <v>174.98</v>
      </c>
      <c r="E344" s="144">
        <f t="shared" si="20"/>
        <v>23255.191959999996</v>
      </c>
      <c r="F344" s="145">
        <f t="shared" si="23"/>
        <v>1.5041545178926738E-3</v>
      </c>
      <c r="G344" s="146">
        <v>2.8575E-2</v>
      </c>
      <c r="H344" s="146">
        <v>7.644999999999999E-2</v>
      </c>
      <c r="I344" s="147">
        <f t="shared" si="21"/>
        <v>4.2981215348783152E-5</v>
      </c>
      <c r="J344" s="147">
        <f t="shared" si="22"/>
        <v>1.149926128928949E-4</v>
      </c>
    </row>
    <row r="345" spans="1:10" x14ac:dyDescent="0.25">
      <c r="A345" s="6" t="s">
        <v>530</v>
      </c>
      <c r="B345" s="7" t="s">
        <v>902</v>
      </c>
      <c r="C345" s="142">
        <v>451</v>
      </c>
      <c r="D345" s="143">
        <v>82.5</v>
      </c>
      <c r="E345" s="144">
        <f t="shared" si="20"/>
        <v>37207.5</v>
      </c>
      <c r="F345" s="145">
        <f t="shared" si="23"/>
        <v>2.4065950227697744E-3</v>
      </c>
      <c r="G345" s="146">
        <v>2.8121E-2</v>
      </c>
      <c r="H345" s="146">
        <v>0.15775</v>
      </c>
      <c r="I345" s="147">
        <f t="shared" si="21"/>
        <v>6.7675858635308828E-5</v>
      </c>
      <c r="J345" s="147">
        <f t="shared" si="22"/>
        <v>3.7964036484193194E-4</v>
      </c>
    </row>
    <row r="346" spans="1:10" x14ac:dyDescent="0.25">
      <c r="A346" s="6" t="s">
        <v>600</v>
      </c>
      <c r="B346" s="7" t="s">
        <v>961</v>
      </c>
      <c r="C346" s="142">
        <v>698.44799999999998</v>
      </c>
      <c r="D346" s="143">
        <v>103.06</v>
      </c>
      <c r="E346" s="144">
        <f t="shared" si="20"/>
        <v>71982.050879999995</v>
      </c>
      <c r="F346" s="145">
        <f t="shared" si="23"/>
        <v>4.6558259860664825E-3</v>
      </c>
      <c r="G346" s="146">
        <v>2.8333000000000001E-2</v>
      </c>
      <c r="H346" s="146">
        <v>0.11538</v>
      </c>
      <c r="I346" s="147">
        <f t="shared" si="21"/>
        <v>1.3191351766322166E-4</v>
      </c>
      <c r="J346" s="147">
        <f t="shared" si="22"/>
        <v>5.3718920227235076E-4</v>
      </c>
    </row>
    <row r="347" spans="1:10" x14ac:dyDescent="0.25">
      <c r="A347" s="6" t="s">
        <v>228</v>
      </c>
      <c r="B347" s="7" t="s">
        <v>665</v>
      </c>
      <c r="C347" s="142">
        <v>156.28200000000001</v>
      </c>
      <c r="D347" s="143">
        <v>39.200000000000003</v>
      </c>
      <c r="E347" s="144">
        <f t="shared" si="20"/>
        <v>6126.2544000000007</v>
      </c>
      <c r="F347" s="145">
        <f t="shared" si="23"/>
        <v>3.9624842699083335E-4</v>
      </c>
      <c r="G347" s="146">
        <v>3.0612E-2</v>
      </c>
      <c r="H347" s="146">
        <v>7.2050000000000003E-2</v>
      </c>
      <c r="I347" s="147">
        <f t="shared" si="21"/>
        <v>1.212995684704339E-5</v>
      </c>
      <c r="J347" s="147">
        <f t="shared" si="22"/>
        <v>2.8549699164689544E-5</v>
      </c>
    </row>
    <row r="348" spans="1:10" x14ac:dyDescent="0.25">
      <c r="A348" s="6" t="s">
        <v>1138</v>
      </c>
      <c r="B348" s="7" t="s">
        <v>1139</v>
      </c>
      <c r="C348" s="142">
        <v>1088.7940000000001</v>
      </c>
      <c r="D348" s="143">
        <v>84.79</v>
      </c>
      <c r="E348" s="144">
        <f t="shared" si="20"/>
        <v>92318.843260000009</v>
      </c>
      <c r="F348" s="145">
        <f t="shared" si="23"/>
        <v>5.9712173270813395E-3</v>
      </c>
      <c r="G348" s="146">
        <v>1.6983000000000002E-2</v>
      </c>
      <c r="H348" s="146">
        <v>0.15514</v>
      </c>
      <c r="I348" s="147">
        <f t="shared" si="21"/>
        <v>1.0140918386582239E-4</v>
      </c>
      <c r="J348" s="147">
        <f t="shared" si="22"/>
        <v>9.2637465612339898E-4</v>
      </c>
    </row>
    <row r="349" spans="1:10" x14ac:dyDescent="0.25">
      <c r="A349" s="6" t="s">
        <v>460</v>
      </c>
      <c r="B349" s="7" t="s">
        <v>848</v>
      </c>
      <c r="C349" s="142">
        <v>230.10900000000001</v>
      </c>
      <c r="D349" s="143">
        <v>178.85</v>
      </c>
      <c r="E349" s="144">
        <f t="shared" si="20"/>
        <v>41154.994650000001</v>
      </c>
      <c r="F349" s="145">
        <f t="shared" si="23"/>
        <v>2.6619204538549132E-3</v>
      </c>
      <c r="G349" s="146">
        <v>6.2620000000000002E-3</v>
      </c>
      <c r="H349" s="146">
        <v>0.13550000000000001</v>
      </c>
      <c r="I349" s="147">
        <f t="shared" si="21"/>
        <v>1.6668945882039466E-5</v>
      </c>
      <c r="J349" s="147">
        <f t="shared" si="22"/>
        <v>3.6069022149734075E-4</v>
      </c>
    </row>
    <row r="350" spans="1:10" x14ac:dyDescent="0.25">
      <c r="A350" s="6" t="s">
        <v>444</v>
      </c>
      <c r="B350" s="7" t="s">
        <v>833</v>
      </c>
      <c r="C350" s="142">
        <v>307.29500000000002</v>
      </c>
      <c r="D350" s="143">
        <v>219.97</v>
      </c>
      <c r="E350" s="144">
        <f t="shared" si="20"/>
        <v>67595.681150000004</v>
      </c>
      <c r="F350" s="145">
        <f t="shared" si="23"/>
        <v>4.3721139505831525E-3</v>
      </c>
      <c r="G350" s="146">
        <v>3.0003999999999999E-2</v>
      </c>
      <c r="H350" s="146">
        <v>7.8E-2</v>
      </c>
      <c r="I350" s="147">
        <f t="shared" si="21"/>
        <v>1.311809069732969E-4</v>
      </c>
      <c r="J350" s="147">
        <f t="shared" si="22"/>
        <v>3.4102488814548591E-4</v>
      </c>
    </row>
    <row r="351" spans="1:10" x14ac:dyDescent="0.25">
      <c r="A351" s="6" t="s">
        <v>220</v>
      </c>
      <c r="B351" s="7" t="s">
        <v>659</v>
      </c>
      <c r="C351" s="142">
        <v>216.202</v>
      </c>
      <c r="D351" s="143">
        <v>96.56</v>
      </c>
      <c r="E351" s="144">
        <f t="shared" si="20"/>
        <v>20876.465120000001</v>
      </c>
      <c r="F351" s="145">
        <f t="shared" si="23"/>
        <v>1.3502975757795821E-3</v>
      </c>
      <c r="G351" s="146">
        <v>1.2017E-2</v>
      </c>
      <c r="H351" s="146">
        <v>0.13089999999999999</v>
      </c>
      <c r="I351" s="147">
        <f t="shared" si="21"/>
        <v>1.6226525968143239E-5</v>
      </c>
      <c r="J351" s="147">
        <f t="shared" si="22"/>
        <v>1.7675395266954729E-4</v>
      </c>
    </row>
    <row r="352" spans="1:10" x14ac:dyDescent="0.25">
      <c r="A352" s="6" t="s">
        <v>262</v>
      </c>
      <c r="B352" s="7" t="s">
        <v>691</v>
      </c>
      <c r="C352" s="142">
        <v>190.922</v>
      </c>
      <c r="D352" s="143">
        <v>68.069999999999993</v>
      </c>
      <c r="E352" s="144">
        <f t="shared" si="20"/>
        <v>12996.060539999999</v>
      </c>
      <c r="F352" s="145">
        <f t="shared" si="23"/>
        <v>0</v>
      </c>
      <c r="G352" s="146" t="s">
        <v>1109</v>
      </c>
      <c r="H352" s="146">
        <v>-5.9000000000000004E-2</v>
      </c>
      <c r="I352" s="147" t="str">
        <f t="shared" si="21"/>
        <v>n/a</v>
      </c>
      <c r="J352" s="147">
        <f t="shared" si="22"/>
        <v>0</v>
      </c>
    </row>
    <row r="353" spans="1:10" x14ac:dyDescent="0.25">
      <c r="A353" s="6" t="s">
        <v>264</v>
      </c>
      <c r="B353" s="7" t="s">
        <v>693</v>
      </c>
      <c r="C353" s="142">
        <v>542.42899999999997</v>
      </c>
      <c r="D353" s="143">
        <v>78.97</v>
      </c>
      <c r="E353" s="144">
        <f t="shared" si="20"/>
        <v>42835.618129999995</v>
      </c>
      <c r="F353" s="145">
        <f t="shared" si="23"/>
        <v>2.77062380941812E-3</v>
      </c>
      <c r="G353" s="146">
        <v>2.0261000000000001E-2</v>
      </c>
      <c r="H353" s="146">
        <v>6.1699999999999998E-2</v>
      </c>
      <c r="I353" s="147">
        <f t="shared" si="21"/>
        <v>5.6135609002620533E-5</v>
      </c>
      <c r="J353" s="147">
        <f t="shared" si="22"/>
        <v>1.70947489041098E-4</v>
      </c>
    </row>
    <row r="354" spans="1:10" x14ac:dyDescent="0.25">
      <c r="A354" s="6" t="s">
        <v>619</v>
      </c>
      <c r="B354" s="7" t="s">
        <v>977</v>
      </c>
      <c r="C354" s="142">
        <v>82.27</v>
      </c>
      <c r="D354" s="143">
        <v>127.89</v>
      </c>
      <c r="E354" s="144">
        <f t="shared" si="20"/>
        <v>10521.5103</v>
      </c>
      <c r="F354" s="145">
        <f t="shared" si="23"/>
        <v>0</v>
      </c>
      <c r="G354" s="146" t="s">
        <v>1109</v>
      </c>
      <c r="H354" s="146">
        <v>9.5869999999999997E-2</v>
      </c>
      <c r="I354" s="147" t="str">
        <f t="shared" si="21"/>
        <v>n/a</v>
      </c>
      <c r="J354" s="147">
        <f t="shared" si="22"/>
        <v>0</v>
      </c>
    </row>
    <row r="355" spans="1:10" x14ac:dyDescent="0.25">
      <c r="A355" s="6" t="s">
        <v>322</v>
      </c>
      <c r="B355" s="7" t="s">
        <v>1020</v>
      </c>
      <c r="C355" s="142">
        <v>234.71799999999999</v>
      </c>
      <c r="D355" s="143">
        <v>65.569999999999993</v>
      </c>
      <c r="E355" s="144">
        <f t="shared" si="20"/>
        <v>15390.459259999998</v>
      </c>
      <c r="F355" s="145">
        <f t="shared" si="23"/>
        <v>0</v>
      </c>
      <c r="G355" s="146" t="s">
        <v>1109</v>
      </c>
      <c r="H355" s="146">
        <v>0.19667000000000001</v>
      </c>
      <c r="I355" s="147" t="str">
        <f t="shared" si="21"/>
        <v>n/a</v>
      </c>
      <c r="J355" s="147">
        <f t="shared" si="22"/>
        <v>0</v>
      </c>
    </row>
    <row r="356" spans="1:10" x14ac:dyDescent="0.25">
      <c r="A356" s="6" t="s">
        <v>311</v>
      </c>
      <c r="B356" s="7" t="s">
        <v>730</v>
      </c>
      <c r="C356" s="142">
        <v>128.13900000000001</v>
      </c>
      <c r="D356" s="143">
        <v>61.95</v>
      </c>
      <c r="E356" s="144">
        <f t="shared" si="20"/>
        <v>7938.2110500000008</v>
      </c>
      <c r="F356" s="145">
        <f t="shared" si="23"/>
        <v>5.1344646113353563E-4</v>
      </c>
      <c r="G356" s="146">
        <v>3.5512999999999996E-2</v>
      </c>
      <c r="H356" s="146">
        <v>0.12496</v>
      </c>
      <c r="I356" s="147">
        <f t="shared" si="21"/>
        <v>1.8234024174235247E-5</v>
      </c>
      <c r="J356" s="147">
        <f t="shared" si="22"/>
        <v>6.4160269783246614E-5</v>
      </c>
    </row>
    <row r="357" spans="1:10" x14ac:dyDescent="0.25">
      <c r="A357" s="6" t="s">
        <v>551</v>
      </c>
      <c r="B357" s="7" t="s">
        <v>1074</v>
      </c>
      <c r="C357" s="142">
        <v>204.43899999999999</v>
      </c>
      <c r="D357" s="143">
        <v>77</v>
      </c>
      <c r="E357" s="144">
        <f t="shared" si="20"/>
        <v>15741.803</v>
      </c>
      <c r="F357" s="145">
        <f t="shared" si="23"/>
        <v>0</v>
      </c>
      <c r="G357" s="146" t="s">
        <v>1109</v>
      </c>
      <c r="H357" s="146">
        <v>6.9000000000000006E-2</v>
      </c>
      <c r="I357" s="147" t="str">
        <f t="shared" si="21"/>
        <v>n/a</v>
      </c>
      <c r="J357" s="147">
        <f t="shared" si="22"/>
        <v>0</v>
      </c>
    </row>
    <row r="358" spans="1:10" x14ac:dyDescent="0.25">
      <c r="A358" s="6" t="s">
        <v>318</v>
      </c>
      <c r="B358" s="7" t="s">
        <v>736</v>
      </c>
      <c r="C358" s="142">
        <v>137.15899999999999</v>
      </c>
      <c r="D358" s="143">
        <v>19.87</v>
      </c>
      <c r="E358" s="144">
        <f t="shared" si="20"/>
        <v>2725.34933</v>
      </c>
      <c r="F358" s="145">
        <f t="shared" si="23"/>
        <v>0</v>
      </c>
      <c r="G358" s="146">
        <v>2.5163999999999999E-2</v>
      </c>
      <c r="H358" s="146" t="s">
        <v>1109</v>
      </c>
      <c r="I358" s="147">
        <f t="shared" si="21"/>
        <v>0</v>
      </c>
      <c r="J358" s="147" t="str">
        <f t="shared" si="22"/>
        <v>n/a</v>
      </c>
    </row>
    <row r="359" spans="1:10" x14ac:dyDescent="0.25">
      <c r="A359" s="6" t="s">
        <v>480</v>
      </c>
      <c r="B359" s="7" t="s">
        <v>1060</v>
      </c>
      <c r="C359" s="142">
        <v>294.89999999999998</v>
      </c>
      <c r="D359" s="143">
        <v>34.01</v>
      </c>
      <c r="E359" s="144">
        <f t="shared" si="20"/>
        <v>10029.548999999999</v>
      </c>
      <c r="F359" s="145">
        <f t="shared" si="23"/>
        <v>6.4871498230264233E-4</v>
      </c>
      <c r="G359" s="146">
        <v>2.1170000000000001E-2</v>
      </c>
      <c r="H359" s="146">
        <v>9.9830000000000002E-2</v>
      </c>
      <c r="I359" s="147">
        <f t="shared" si="21"/>
        <v>1.3733296175346938E-5</v>
      </c>
      <c r="J359" s="147">
        <f t="shared" si="22"/>
        <v>6.4761216683272791E-5</v>
      </c>
    </row>
    <row r="360" spans="1:10" x14ac:dyDescent="0.25">
      <c r="A360" s="6" t="s">
        <v>287</v>
      </c>
      <c r="B360" s="7" t="s">
        <v>1013</v>
      </c>
      <c r="C360" s="142">
        <v>160.70099999999999</v>
      </c>
      <c r="D360" s="143">
        <v>82.15</v>
      </c>
      <c r="E360" s="144">
        <f t="shared" si="20"/>
        <v>13201.587150000001</v>
      </c>
      <c r="F360" s="145">
        <f t="shared" si="23"/>
        <v>0</v>
      </c>
      <c r="G360" s="146" t="s">
        <v>1109</v>
      </c>
      <c r="H360" s="146">
        <v>0.14380000000000001</v>
      </c>
      <c r="I360" s="147" t="str">
        <f t="shared" si="21"/>
        <v>n/a</v>
      </c>
      <c r="J360" s="147">
        <f t="shared" si="22"/>
        <v>0</v>
      </c>
    </row>
    <row r="361" spans="1:10" x14ac:dyDescent="0.25">
      <c r="A361" s="6" t="s">
        <v>386</v>
      </c>
      <c r="B361" s="7" t="s">
        <v>1038</v>
      </c>
      <c r="C361" s="142">
        <v>268.90800000000002</v>
      </c>
      <c r="D361" s="143">
        <v>32.854999999999997</v>
      </c>
      <c r="E361" s="144">
        <f t="shared" si="20"/>
        <v>8834.9723400000003</v>
      </c>
      <c r="F361" s="145">
        <f t="shared" si="23"/>
        <v>5.7144931693214071E-4</v>
      </c>
      <c r="G361" s="146">
        <v>8.5220000000000001E-3</v>
      </c>
      <c r="H361" s="146">
        <v>7.0000000000000007E-2</v>
      </c>
      <c r="I361" s="147">
        <f t="shared" si="21"/>
        <v>4.8698910788957032E-6</v>
      </c>
      <c r="J361" s="147">
        <f t="shared" si="22"/>
        <v>4.0001452185249855E-5</v>
      </c>
    </row>
    <row r="362" spans="1:10" x14ac:dyDescent="0.25">
      <c r="A362" s="6" t="s">
        <v>312</v>
      </c>
      <c r="B362" s="7" t="s">
        <v>731</v>
      </c>
      <c r="C362" s="142">
        <v>215.5</v>
      </c>
      <c r="D362" s="143">
        <v>77.53</v>
      </c>
      <c r="E362" s="144">
        <f t="shared" si="20"/>
        <v>16707.715</v>
      </c>
      <c r="F362" s="145">
        <f t="shared" si="23"/>
        <v>0</v>
      </c>
      <c r="G362" s="146" t="s">
        <v>1109</v>
      </c>
      <c r="H362" s="146">
        <v>0.1026</v>
      </c>
      <c r="I362" s="147" t="str">
        <f t="shared" si="21"/>
        <v>n/a</v>
      </c>
      <c r="J362" s="147">
        <f t="shared" si="22"/>
        <v>0</v>
      </c>
    </row>
    <row r="363" spans="1:10" x14ac:dyDescent="0.25">
      <c r="A363" s="6" t="s">
        <v>392</v>
      </c>
      <c r="B363" s="7" t="s">
        <v>790</v>
      </c>
      <c r="C363" s="142">
        <v>409.61</v>
      </c>
      <c r="D363" s="143">
        <v>46.29</v>
      </c>
      <c r="E363" s="144">
        <f t="shared" si="20"/>
        <v>18960.8469</v>
      </c>
      <c r="F363" s="145">
        <f t="shared" si="23"/>
        <v>1.2263946724998913E-3</v>
      </c>
      <c r="G363" s="146">
        <v>1.8145999999999999E-2</v>
      </c>
      <c r="H363" s="146">
        <v>9.2499999999999999E-2</v>
      </c>
      <c r="I363" s="147">
        <f t="shared" si="21"/>
        <v>2.2254157727183027E-5</v>
      </c>
      <c r="J363" s="147">
        <f t="shared" si="22"/>
        <v>1.1344150720623994E-4</v>
      </c>
    </row>
    <row r="364" spans="1:10" x14ac:dyDescent="0.25">
      <c r="A364" s="6" t="s">
        <v>417</v>
      </c>
      <c r="B364" s="7" t="s">
        <v>810</v>
      </c>
      <c r="C364" s="142">
        <v>211.15299999999999</v>
      </c>
      <c r="D364" s="143">
        <v>30.65</v>
      </c>
      <c r="E364" s="144">
        <f t="shared" si="20"/>
        <v>6471.8394499999995</v>
      </c>
      <c r="F364" s="145">
        <f t="shared" si="23"/>
        <v>4.1860099734018872E-4</v>
      </c>
      <c r="G364" s="146">
        <v>6.3295000000000004E-2</v>
      </c>
      <c r="H364" s="146">
        <v>4.5999999999999999E-2</v>
      </c>
      <c r="I364" s="147">
        <f t="shared" si="21"/>
        <v>2.6495350126647245E-5</v>
      </c>
      <c r="J364" s="147">
        <f t="shared" si="22"/>
        <v>1.9255645877648681E-5</v>
      </c>
    </row>
    <row r="365" spans="1:10" x14ac:dyDescent="0.25">
      <c r="A365" s="6" t="s">
        <v>350</v>
      </c>
      <c r="B365" s="7" t="s">
        <v>762</v>
      </c>
      <c r="C365" s="142">
        <v>224.01400000000001</v>
      </c>
      <c r="D365" s="143">
        <v>80.459999999999994</v>
      </c>
      <c r="E365" s="144">
        <f t="shared" si="20"/>
        <v>18024.166440000001</v>
      </c>
      <c r="F365" s="145">
        <f t="shared" si="23"/>
        <v>1.1658098298482297E-3</v>
      </c>
      <c r="G365" s="146">
        <v>1.1931000000000001E-2</v>
      </c>
      <c r="H365" s="146">
        <v>0.10414</v>
      </c>
      <c r="I365" s="147">
        <f t="shared" si="21"/>
        <v>1.390927707991923E-5</v>
      </c>
      <c r="J365" s="147">
        <f t="shared" si="22"/>
        <v>1.2140743568039463E-4</v>
      </c>
    </row>
    <row r="366" spans="1:10" x14ac:dyDescent="0.25">
      <c r="A366" s="6" t="s">
        <v>635</v>
      </c>
      <c r="B366" s="7" t="s">
        <v>1094</v>
      </c>
      <c r="C366" s="142">
        <v>941.39099999999996</v>
      </c>
      <c r="D366" s="143">
        <v>35.625</v>
      </c>
      <c r="E366" s="144">
        <f t="shared" si="20"/>
        <v>33537.054375</v>
      </c>
      <c r="F366" s="145">
        <f t="shared" si="23"/>
        <v>0</v>
      </c>
      <c r="G366" s="146" t="s">
        <v>1109</v>
      </c>
      <c r="H366" s="146">
        <v>0.10249999999999999</v>
      </c>
      <c r="I366" s="147" t="str">
        <f t="shared" si="21"/>
        <v>n/a</v>
      </c>
      <c r="J366" s="147">
        <f t="shared" si="22"/>
        <v>0</v>
      </c>
    </row>
    <row r="367" spans="1:10" x14ac:dyDescent="0.25">
      <c r="A367" s="6" t="s">
        <v>526</v>
      </c>
      <c r="B367" s="7" t="s">
        <v>898</v>
      </c>
      <c r="C367" s="142">
        <v>292.75099999999998</v>
      </c>
      <c r="D367" s="143">
        <v>50.19</v>
      </c>
      <c r="E367" s="144">
        <f t="shared" si="20"/>
        <v>14693.172689999998</v>
      </c>
      <c r="F367" s="145">
        <f t="shared" si="23"/>
        <v>9.5035990766514195E-4</v>
      </c>
      <c r="G367" s="146">
        <v>3.0285000000000003E-2</v>
      </c>
      <c r="H367" s="146">
        <v>0.10167</v>
      </c>
      <c r="I367" s="147">
        <f t="shared" si="21"/>
        <v>2.8781649803638826E-5</v>
      </c>
      <c r="J367" s="147">
        <f t="shared" si="22"/>
        <v>9.662309181231498E-5</v>
      </c>
    </row>
    <row r="368" spans="1:10" x14ac:dyDescent="0.25">
      <c r="A368" s="6" t="s">
        <v>571</v>
      </c>
      <c r="B368" s="7" t="s">
        <v>1079</v>
      </c>
      <c r="C368" s="142">
        <v>84.960999999999999</v>
      </c>
      <c r="D368" s="143">
        <v>121.26</v>
      </c>
      <c r="E368" s="144">
        <f t="shared" si="20"/>
        <v>10302.370860000001</v>
      </c>
      <c r="F368" s="145">
        <f t="shared" si="23"/>
        <v>0</v>
      </c>
      <c r="G368" s="146" t="s">
        <v>1109</v>
      </c>
      <c r="H368" s="146">
        <v>0.1535</v>
      </c>
      <c r="I368" s="147" t="str">
        <f t="shared" si="21"/>
        <v>n/a</v>
      </c>
      <c r="J368" s="147">
        <f t="shared" si="22"/>
        <v>0</v>
      </c>
    </row>
    <row r="369" spans="1:10" x14ac:dyDescent="0.25">
      <c r="A369" s="6" t="s">
        <v>1115</v>
      </c>
      <c r="B369" s="7" t="s">
        <v>1118</v>
      </c>
      <c r="C369" s="142">
        <v>91.736000000000004</v>
      </c>
      <c r="D369" s="143">
        <v>122.14</v>
      </c>
      <c r="E369" s="144">
        <f t="shared" si="20"/>
        <v>11204.635040000001</v>
      </c>
      <c r="F369" s="145">
        <f t="shared" si="23"/>
        <v>7.2471998707829906E-4</v>
      </c>
      <c r="G369" s="146">
        <v>3.2750000000000001E-3</v>
      </c>
      <c r="H369" s="146">
        <v>0.10353</v>
      </c>
      <c r="I369" s="147">
        <f t="shared" si="21"/>
        <v>2.3734579576814296E-6</v>
      </c>
      <c r="J369" s="147">
        <f t="shared" si="22"/>
        <v>7.5030260262216297E-5</v>
      </c>
    </row>
    <row r="370" spans="1:10" x14ac:dyDescent="0.25">
      <c r="A370" s="6" t="s">
        <v>331</v>
      </c>
      <c r="B370" s="7" t="s">
        <v>1021</v>
      </c>
      <c r="C370" s="142">
        <v>290.30700000000002</v>
      </c>
      <c r="D370" s="143">
        <v>28.51</v>
      </c>
      <c r="E370" s="144">
        <f t="shared" si="20"/>
        <v>8276.6525700000002</v>
      </c>
      <c r="F370" s="145">
        <f t="shared" si="23"/>
        <v>0</v>
      </c>
      <c r="G370" s="146" t="s">
        <v>1109</v>
      </c>
      <c r="H370" s="146">
        <v>0.16355</v>
      </c>
      <c r="I370" s="147" t="str">
        <f t="shared" si="21"/>
        <v>n/a</v>
      </c>
      <c r="J370" s="147">
        <f t="shared" si="22"/>
        <v>0</v>
      </c>
    </row>
    <row r="371" spans="1:10" x14ac:dyDescent="0.25">
      <c r="A371" s="6" t="s">
        <v>1140</v>
      </c>
      <c r="B371" s="7" t="s">
        <v>1141</v>
      </c>
      <c r="C371" s="142">
        <v>195.67500000000001</v>
      </c>
      <c r="D371" s="143">
        <v>77.33</v>
      </c>
      <c r="E371" s="144">
        <f t="shared" si="20"/>
        <v>15131.54775</v>
      </c>
      <c r="F371" s="145">
        <f t="shared" si="23"/>
        <v>9.7871417058262929E-4</v>
      </c>
      <c r="G371" s="146">
        <v>1.3448999999999999E-2</v>
      </c>
      <c r="H371" s="146">
        <v>0.19442000000000001</v>
      </c>
      <c r="I371" s="147">
        <f t="shared" si="21"/>
        <v>1.3162726880165781E-5</v>
      </c>
      <c r="J371" s="147">
        <f t="shared" si="22"/>
        <v>1.9028160904467479E-4</v>
      </c>
    </row>
    <row r="372" spans="1:10" x14ac:dyDescent="0.25">
      <c r="A372" s="6" t="s">
        <v>478</v>
      </c>
      <c r="B372" s="7" t="s">
        <v>101</v>
      </c>
      <c r="C372" s="142">
        <v>375.74799999999999</v>
      </c>
      <c r="D372" s="143">
        <v>37.64</v>
      </c>
      <c r="E372" s="144">
        <f t="shared" si="20"/>
        <v>14143.15472</v>
      </c>
      <c r="F372" s="145">
        <f t="shared" si="23"/>
        <v>0</v>
      </c>
      <c r="G372" s="146">
        <v>4.8883999999999997E-2</v>
      </c>
      <c r="H372" s="146">
        <v>-2.7000000000000003E-2</v>
      </c>
      <c r="I372" s="147">
        <f t="shared" si="21"/>
        <v>0</v>
      </c>
      <c r="J372" s="147">
        <f t="shared" si="22"/>
        <v>0</v>
      </c>
    </row>
    <row r="373" spans="1:10" x14ac:dyDescent="0.25">
      <c r="A373" s="6" t="s">
        <v>537</v>
      </c>
      <c r="B373" s="7" t="s">
        <v>908</v>
      </c>
      <c r="C373" s="142">
        <v>143.35</v>
      </c>
      <c r="D373" s="143">
        <v>67.95</v>
      </c>
      <c r="E373" s="144">
        <f t="shared" si="20"/>
        <v>9740.6324999999997</v>
      </c>
      <c r="F373" s="145">
        <f t="shared" si="23"/>
        <v>6.3002775497223687E-4</v>
      </c>
      <c r="G373" s="146">
        <v>2.2369E-2</v>
      </c>
      <c r="H373" s="146">
        <v>0.10460000000000001</v>
      </c>
      <c r="I373" s="147">
        <f t="shared" si="21"/>
        <v>1.4093090850973966E-5</v>
      </c>
      <c r="J373" s="147">
        <f t="shared" si="22"/>
        <v>6.5900903170095979E-5</v>
      </c>
    </row>
    <row r="374" spans="1:10" x14ac:dyDescent="0.25">
      <c r="A374" s="6" t="s">
        <v>1247</v>
      </c>
      <c r="B374" s="7" t="s">
        <v>1248</v>
      </c>
      <c r="C374" s="142">
        <v>729.02</v>
      </c>
      <c r="D374" s="143">
        <v>34.76</v>
      </c>
      <c r="E374" s="144">
        <f t="shared" si="20"/>
        <v>25340.735199999999</v>
      </c>
      <c r="F374" s="145">
        <f t="shared" si="23"/>
        <v>1.6390482350506436E-3</v>
      </c>
      <c r="G374" s="146">
        <v>6.6149999999999994E-3</v>
      </c>
      <c r="H374" s="146">
        <v>9.4750000000000001E-2</v>
      </c>
      <c r="I374" s="147">
        <f t="shared" si="21"/>
        <v>1.0842304074860007E-5</v>
      </c>
      <c r="J374" s="147">
        <f t="shared" si="22"/>
        <v>1.5529982027104848E-4</v>
      </c>
    </row>
    <row r="375" spans="1:10" x14ac:dyDescent="0.25">
      <c r="A375" s="6" t="s">
        <v>547</v>
      </c>
      <c r="B375" s="7" t="s">
        <v>917</v>
      </c>
      <c r="C375" s="142">
        <v>134.10599999999999</v>
      </c>
      <c r="D375" s="143">
        <v>109.18</v>
      </c>
      <c r="E375" s="144">
        <f t="shared" si="20"/>
        <v>14641.693080000001</v>
      </c>
      <c r="F375" s="145">
        <f t="shared" si="23"/>
        <v>9.47030187227055E-4</v>
      </c>
      <c r="G375" s="146">
        <v>2.3814000000000002E-2</v>
      </c>
      <c r="H375" s="146">
        <v>7.5079999999999994E-2</v>
      </c>
      <c r="I375" s="147">
        <f t="shared" si="21"/>
        <v>2.255257687862509E-5</v>
      </c>
      <c r="J375" s="147">
        <f t="shared" si="22"/>
        <v>7.110302645700728E-5</v>
      </c>
    </row>
    <row r="376" spans="1:10" x14ac:dyDescent="0.25">
      <c r="A376" s="6" t="s">
        <v>1216</v>
      </c>
      <c r="B376" s="7" t="s">
        <v>1217</v>
      </c>
      <c r="C376" s="142">
        <v>1212.8330000000001</v>
      </c>
      <c r="D376" s="143">
        <v>78</v>
      </c>
      <c r="E376" s="144">
        <f t="shared" si="20"/>
        <v>94600.974000000002</v>
      </c>
      <c r="F376" s="145">
        <f t="shared" si="23"/>
        <v>6.1188263973008892E-3</v>
      </c>
      <c r="G376" s="146">
        <v>2.8205000000000001E-2</v>
      </c>
      <c r="H376" s="146">
        <v>0.1115</v>
      </c>
      <c r="I376" s="147">
        <f t="shared" si="21"/>
        <v>1.7258149853587159E-4</v>
      </c>
      <c r="J376" s="147">
        <f t="shared" si="22"/>
        <v>6.8224914329904917E-4</v>
      </c>
    </row>
    <row r="377" spans="1:10" x14ac:dyDescent="0.25">
      <c r="A377" s="6" t="s">
        <v>218</v>
      </c>
      <c r="B377" s="7" t="s">
        <v>657</v>
      </c>
      <c r="C377" s="142">
        <v>423.57</v>
      </c>
      <c r="D377" s="143">
        <v>102.29</v>
      </c>
      <c r="E377" s="144">
        <f t="shared" si="20"/>
        <v>43326.975300000006</v>
      </c>
      <c r="F377" s="145">
        <f t="shared" si="23"/>
        <v>2.8024049750359193E-3</v>
      </c>
      <c r="G377" s="146">
        <v>1.7988000000000001E-2</v>
      </c>
      <c r="H377" s="146">
        <v>0.14099999999999999</v>
      </c>
      <c r="I377" s="147">
        <f t="shared" si="21"/>
        <v>5.0409660690946117E-5</v>
      </c>
      <c r="J377" s="147">
        <f t="shared" si="22"/>
        <v>3.9513910148006456E-4</v>
      </c>
    </row>
    <row r="378" spans="1:10" x14ac:dyDescent="0.25">
      <c r="A378" s="6" t="s">
        <v>542</v>
      </c>
      <c r="B378" s="7" t="s">
        <v>1072</v>
      </c>
      <c r="C378" s="142">
        <v>101.73699999999999</v>
      </c>
      <c r="D378" s="143">
        <v>557.29999999999995</v>
      </c>
      <c r="E378" s="144">
        <f t="shared" si="20"/>
        <v>56698.030099999989</v>
      </c>
      <c r="F378" s="145">
        <f t="shared" si="23"/>
        <v>0</v>
      </c>
      <c r="G378" s="146" t="s">
        <v>1109</v>
      </c>
      <c r="H378" s="146">
        <v>0.22383</v>
      </c>
      <c r="I378" s="147" t="str">
        <f t="shared" si="21"/>
        <v>n/a</v>
      </c>
      <c r="J378" s="147">
        <f t="shared" si="22"/>
        <v>0</v>
      </c>
    </row>
    <row r="379" spans="1:10" x14ac:dyDescent="0.25">
      <c r="A379" s="6" t="s">
        <v>213</v>
      </c>
      <c r="B379" s="7" t="s">
        <v>996</v>
      </c>
      <c r="C379" s="142">
        <v>468.762</v>
      </c>
      <c r="D379" s="143">
        <v>626.24</v>
      </c>
      <c r="E379" s="144">
        <f t="shared" si="20"/>
        <v>293557.51488000003</v>
      </c>
      <c r="F379" s="145">
        <f t="shared" si="23"/>
        <v>0</v>
      </c>
      <c r="G379" s="146" t="s">
        <v>1109</v>
      </c>
      <c r="H379" s="146">
        <v>0.50716000000000006</v>
      </c>
      <c r="I379" s="147" t="str">
        <f t="shared" si="21"/>
        <v>n/a</v>
      </c>
      <c r="J379" s="147">
        <f t="shared" si="22"/>
        <v>0</v>
      </c>
    </row>
    <row r="380" spans="1:10" x14ac:dyDescent="0.25">
      <c r="A380" s="6" t="s">
        <v>538</v>
      </c>
      <c r="B380" s="7" t="s">
        <v>909</v>
      </c>
      <c r="C380" s="142">
        <v>59.767000000000003</v>
      </c>
      <c r="D380" s="143">
        <v>110.78</v>
      </c>
      <c r="E380" s="144">
        <f t="shared" si="20"/>
        <v>6620.9882600000001</v>
      </c>
      <c r="F380" s="145">
        <f t="shared" si="23"/>
        <v>4.2824799818136421E-4</v>
      </c>
      <c r="G380" s="146">
        <v>1.8054000000000001E-2</v>
      </c>
      <c r="H380" s="146">
        <v>0.13567000000000001</v>
      </c>
      <c r="I380" s="147">
        <f t="shared" si="21"/>
        <v>7.7315893591663495E-6</v>
      </c>
      <c r="J380" s="147">
        <f t="shared" si="22"/>
        <v>5.810040591326569E-5</v>
      </c>
    </row>
    <row r="381" spans="1:10" x14ac:dyDescent="0.25">
      <c r="A381" s="6" t="s">
        <v>254</v>
      </c>
      <c r="B381" s="7" t="s">
        <v>685</v>
      </c>
      <c r="C381" s="142">
        <v>153.57400000000001</v>
      </c>
      <c r="D381" s="143">
        <v>125.89</v>
      </c>
      <c r="E381" s="144">
        <f t="shared" si="20"/>
        <v>19333.43086</v>
      </c>
      <c r="F381" s="145">
        <f t="shared" si="23"/>
        <v>1.250493542450838E-3</v>
      </c>
      <c r="G381" s="146">
        <v>2.0653000000000001E-2</v>
      </c>
      <c r="H381" s="146">
        <v>6.2329999999999997E-2</v>
      </c>
      <c r="I381" s="147">
        <f t="shared" si="21"/>
        <v>2.5826443132237159E-5</v>
      </c>
      <c r="J381" s="147">
        <f t="shared" si="22"/>
        <v>7.7943262500960729E-5</v>
      </c>
    </row>
    <row r="382" spans="1:10" x14ac:dyDescent="0.25">
      <c r="A382" s="6" t="s">
        <v>223</v>
      </c>
      <c r="B382" s="7" t="s">
        <v>661</v>
      </c>
      <c r="C382" s="142">
        <v>309.14699999999999</v>
      </c>
      <c r="D382" s="143">
        <v>54.24</v>
      </c>
      <c r="E382" s="144">
        <f t="shared" si="20"/>
        <v>16768.133280000002</v>
      </c>
      <c r="F382" s="145">
        <f t="shared" si="23"/>
        <v>1.0845691350611628E-3</v>
      </c>
      <c r="G382" s="146">
        <v>1.0324E-2</v>
      </c>
      <c r="H382" s="146">
        <v>8.695E-2</v>
      </c>
      <c r="I382" s="147">
        <f t="shared" si="21"/>
        <v>1.1197091750371445E-5</v>
      </c>
      <c r="J382" s="147">
        <f t="shared" si="22"/>
        <v>9.4303286293568112E-5</v>
      </c>
    </row>
    <row r="383" spans="1:10" x14ac:dyDescent="0.25">
      <c r="A383" s="6" t="s">
        <v>517</v>
      </c>
      <c r="B383" s="7" t="s">
        <v>890</v>
      </c>
      <c r="C383" s="142">
        <v>149.30799999999999</v>
      </c>
      <c r="D383" s="143">
        <v>137.15</v>
      </c>
      <c r="E383" s="144">
        <f t="shared" si="20"/>
        <v>20477.592199999999</v>
      </c>
      <c r="F383" s="145">
        <f t="shared" si="23"/>
        <v>1.3244983260587019E-3</v>
      </c>
      <c r="G383" s="146">
        <v>5.8299999999999997E-4</v>
      </c>
      <c r="H383" s="146">
        <v>5.5999999999999994E-2</v>
      </c>
      <c r="I383" s="147">
        <f t="shared" si="21"/>
        <v>7.7218252409222317E-7</v>
      </c>
      <c r="J383" s="147">
        <f t="shared" si="22"/>
        <v>7.4171906259287292E-5</v>
      </c>
    </row>
    <row r="384" spans="1:10" x14ac:dyDescent="0.25">
      <c r="A384" s="6" t="s">
        <v>605</v>
      </c>
      <c r="B384" s="7" t="s">
        <v>966</v>
      </c>
      <c r="C384" s="142">
        <v>497.11200000000002</v>
      </c>
      <c r="D384" s="143">
        <v>65.91</v>
      </c>
      <c r="E384" s="144">
        <f t="shared" si="20"/>
        <v>32764.65192</v>
      </c>
      <c r="F384" s="145">
        <f t="shared" si="23"/>
        <v>2.1192299464746658E-3</v>
      </c>
      <c r="G384" s="146">
        <v>3.0344000000000003E-2</v>
      </c>
      <c r="H384" s="146">
        <v>2.3929999999999996E-2</v>
      </c>
      <c r="I384" s="147">
        <f t="shared" si="21"/>
        <v>6.4305913495827269E-5</v>
      </c>
      <c r="J384" s="147">
        <f t="shared" si="22"/>
        <v>5.0713172619138744E-5</v>
      </c>
    </row>
    <row r="385" spans="1:10" x14ac:dyDescent="0.25">
      <c r="A385" s="6" t="s">
        <v>435</v>
      </c>
      <c r="B385" s="7" t="s">
        <v>826</v>
      </c>
      <c r="C385" s="142">
        <v>80.331999999999994</v>
      </c>
      <c r="D385" s="143">
        <v>126.48</v>
      </c>
      <c r="E385" s="144">
        <f t="shared" si="20"/>
        <v>10160.39136</v>
      </c>
      <c r="F385" s="145">
        <f t="shared" si="23"/>
        <v>6.5717791510768039E-4</v>
      </c>
      <c r="G385" s="146">
        <v>2.0556999999999999E-2</v>
      </c>
      <c r="H385" s="146">
        <v>6.7900000000000002E-2</v>
      </c>
      <c r="I385" s="147">
        <f t="shared" si="21"/>
        <v>1.3509606400868585E-5</v>
      </c>
      <c r="J385" s="147">
        <f t="shared" si="22"/>
        <v>4.4622380435811503E-5</v>
      </c>
    </row>
    <row r="386" spans="1:10" x14ac:dyDescent="0.25">
      <c r="A386" s="6" t="s">
        <v>622</v>
      </c>
      <c r="B386" s="7" t="s">
        <v>979</v>
      </c>
      <c r="C386" s="142">
        <v>505.28100000000001</v>
      </c>
      <c r="D386" s="143">
        <v>19.245000000000001</v>
      </c>
      <c r="E386" s="144">
        <f t="shared" si="20"/>
        <v>9724.1328450000001</v>
      </c>
      <c r="F386" s="145">
        <f t="shared" si="23"/>
        <v>6.2896055111278867E-4</v>
      </c>
      <c r="G386" s="146">
        <v>3.2216000000000002E-2</v>
      </c>
      <c r="H386" s="146">
        <v>8.9900000000000008E-2</v>
      </c>
      <c r="I386" s="147">
        <f t="shared" si="21"/>
        <v>2.0262593114649601E-5</v>
      </c>
      <c r="J386" s="147">
        <f t="shared" si="22"/>
        <v>5.6543553545039704E-5</v>
      </c>
    </row>
    <row r="387" spans="1:10" x14ac:dyDescent="0.25">
      <c r="A387" s="6" t="s">
        <v>276</v>
      </c>
      <c r="B387" s="7" t="s">
        <v>1009</v>
      </c>
      <c r="C387" s="142">
        <v>144.80099999999999</v>
      </c>
      <c r="D387" s="143">
        <v>69.37</v>
      </c>
      <c r="E387" s="144">
        <f t="shared" si="20"/>
        <v>10044.845369999999</v>
      </c>
      <c r="F387" s="145">
        <f t="shared" si="23"/>
        <v>6.4970435723803025E-4</v>
      </c>
      <c r="G387" s="146">
        <v>2.1911E-2</v>
      </c>
      <c r="H387" s="146">
        <v>0.10629</v>
      </c>
      <c r="I387" s="147">
        <f t="shared" si="21"/>
        <v>1.4235672171442481E-5</v>
      </c>
      <c r="J387" s="147">
        <f t="shared" si="22"/>
        <v>6.9057076130830237E-5</v>
      </c>
    </row>
    <row r="388" spans="1:10" x14ac:dyDescent="0.25">
      <c r="A388" s="6" t="s">
        <v>194</v>
      </c>
      <c r="B388" s="7" t="s">
        <v>642</v>
      </c>
      <c r="C388" s="142">
        <v>626.70000000000005</v>
      </c>
      <c r="D388" s="143">
        <v>107.25</v>
      </c>
      <c r="E388" s="144">
        <f t="shared" si="20"/>
        <v>67213.575000000012</v>
      </c>
      <c r="F388" s="145">
        <f t="shared" si="23"/>
        <v>4.3473991818198743E-3</v>
      </c>
      <c r="G388" s="146">
        <v>2.0513E-2</v>
      </c>
      <c r="H388" s="146">
        <v>0.10367000000000001</v>
      </c>
      <c r="I388" s="147">
        <f t="shared" si="21"/>
        <v>8.9178199416671075E-5</v>
      </c>
      <c r="J388" s="147">
        <f t="shared" si="22"/>
        <v>4.5069487317926643E-4</v>
      </c>
    </row>
    <row r="389" spans="1:10" x14ac:dyDescent="0.25">
      <c r="A389" s="6" t="s">
        <v>636</v>
      </c>
      <c r="B389" s="7" t="s">
        <v>990</v>
      </c>
      <c r="C389" s="142">
        <v>431.24200000000002</v>
      </c>
      <c r="D389" s="143">
        <v>70.97</v>
      </c>
      <c r="E389" s="144">
        <f t="shared" si="20"/>
        <v>30605.244740000002</v>
      </c>
      <c r="F389" s="145">
        <f t="shared" si="23"/>
        <v>1.9795586820381596E-3</v>
      </c>
      <c r="G389" s="146">
        <v>2.5926000000000001E-2</v>
      </c>
      <c r="H389" s="146">
        <v>0.11449999999999999</v>
      </c>
      <c r="I389" s="147">
        <f t="shared" si="21"/>
        <v>5.1322038390521327E-5</v>
      </c>
      <c r="J389" s="147">
        <f t="shared" si="22"/>
        <v>2.2665946909336925E-4</v>
      </c>
    </row>
    <row r="390" spans="1:10" x14ac:dyDescent="0.25">
      <c r="A390" s="6" t="s">
        <v>529</v>
      </c>
      <c r="B390" s="7" t="s">
        <v>901</v>
      </c>
      <c r="C390" s="142">
        <v>524.04700000000003</v>
      </c>
      <c r="D390" s="143">
        <v>42.73</v>
      </c>
      <c r="E390" s="144">
        <f t="shared" si="20"/>
        <v>22392.528309999998</v>
      </c>
      <c r="F390" s="145">
        <f t="shared" si="23"/>
        <v>1.4483571102083522E-3</v>
      </c>
      <c r="G390" s="146">
        <v>3.7453E-2</v>
      </c>
      <c r="H390" s="146">
        <v>4.7699999999999992E-2</v>
      </c>
      <c r="I390" s="147">
        <f t="shared" si="21"/>
        <v>5.4245318848633416E-5</v>
      </c>
      <c r="J390" s="147">
        <f t="shared" si="22"/>
        <v>6.9086634156938383E-5</v>
      </c>
    </row>
    <row r="391" spans="1:10" x14ac:dyDescent="0.25">
      <c r="A391" s="6" t="s">
        <v>363</v>
      </c>
      <c r="B391" s="7" t="s">
        <v>767</v>
      </c>
      <c r="C391" s="142">
        <v>423.04199999999997</v>
      </c>
      <c r="D391" s="143">
        <v>31.22</v>
      </c>
      <c r="E391" s="144">
        <f t="shared" si="20"/>
        <v>13207.371239999999</v>
      </c>
      <c r="F391" s="145">
        <f t="shared" si="23"/>
        <v>8.5425771390328987E-4</v>
      </c>
      <c r="G391" s="146">
        <v>4.6123999999999998E-2</v>
      </c>
      <c r="H391" s="146">
        <v>2.1219999999999999E-2</v>
      </c>
      <c r="I391" s="147">
        <f t="shared" si="21"/>
        <v>3.940178279607534E-5</v>
      </c>
      <c r="J391" s="147">
        <f t="shared" si="22"/>
        <v>1.8127348689027811E-5</v>
      </c>
    </row>
    <row r="392" spans="1:10" x14ac:dyDescent="0.25">
      <c r="A392" s="6" t="s">
        <v>608</v>
      </c>
      <c r="B392" s="7" t="s">
        <v>1087</v>
      </c>
      <c r="C392" s="142">
        <v>111.50700000000001</v>
      </c>
      <c r="D392" s="143">
        <v>80.635000000000005</v>
      </c>
      <c r="E392" s="144">
        <f t="shared" si="20"/>
        <v>8991.3669450000016</v>
      </c>
      <c r="F392" s="145">
        <f t="shared" si="23"/>
        <v>0</v>
      </c>
      <c r="G392" s="146" t="s">
        <v>1109</v>
      </c>
      <c r="H392" s="146">
        <v>0.10400000000000001</v>
      </c>
      <c r="I392" s="147" t="str">
        <f t="shared" si="21"/>
        <v>n/a</v>
      </c>
      <c r="J392" s="147">
        <f t="shared" si="22"/>
        <v>0</v>
      </c>
    </row>
    <row r="393" spans="1:10" x14ac:dyDescent="0.25">
      <c r="A393" s="6" t="s">
        <v>536</v>
      </c>
      <c r="B393" s="7" t="s">
        <v>907</v>
      </c>
      <c r="C393" s="142">
        <v>196.83199999999999</v>
      </c>
      <c r="D393" s="143">
        <v>20.11</v>
      </c>
      <c r="E393" s="144">
        <f t="shared" si="20"/>
        <v>3958.2915199999998</v>
      </c>
      <c r="F393" s="145">
        <f t="shared" si="23"/>
        <v>0</v>
      </c>
      <c r="G393" s="146" t="s">
        <v>1109</v>
      </c>
      <c r="H393" s="146">
        <v>2.2499999999999999E-2</v>
      </c>
      <c r="I393" s="147" t="str">
        <f t="shared" si="21"/>
        <v>n/a</v>
      </c>
      <c r="J393" s="147">
        <f t="shared" si="22"/>
        <v>0</v>
      </c>
    </row>
    <row r="394" spans="1:10" x14ac:dyDescent="0.25">
      <c r="A394" s="6" t="s">
        <v>1142</v>
      </c>
      <c r="B394" s="7" t="s">
        <v>1143</v>
      </c>
      <c r="C394" s="142">
        <v>83.397000000000006</v>
      </c>
      <c r="D394" s="143">
        <v>151.72</v>
      </c>
      <c r="E394" s="144">
        <f t="shared" si="20"/>
        <v>12652.992840000001</v>
      </c>
      <c r="F394" s="145">
        <f t="shared" si="23"/>
        <v>0</v>
      </c>
      <c r="G394" s="146" t="s">
        <v>1109</v>
      </c>
      <c r="H394" s="146">
        <v>0.1115</v>
      </c>
      <c r="I394" s="147" t="str">
        <f t="shared" si="21"/>
        <v>n/a</v>
      </c>
      <c r="J394" s="147">
        <f t="shared" si="22"/>
        <v>0</v>
      </c>
    </row>
    <row r="395" spans="1:10" x14ac:dyDescent="0.25">
      <c r="A395" s="6" t="s">
        <v>214</v>
      </c>
      <c r="B395" s="7" t="s">
        <v>653</v>
      </c>
      <c r="C395" s="142">
        <v>242.63499999999999</v>
      </c>
      <c r="D395" s="143">
        <v>43.69</v>
      </c>
      <c r="E395" s="144">
        <f t="shared" si="20"/>
        <v>10600.72315</v>
      </c>
      <c r="F395" s="145">
        <f t="shared" si="23"/>
        <v>6.8565874005376123E-4</v>
      </c>
      <c r="G395" s="146">
        <v>3.8911000000000001E-2</v>
      </c>
      <c r="H395" s="146">
        <v>6.7670000000000008E-2</v>
      </c>
      <c r="I395" s="147">
        <f t="shared" si="21"/>
        <v>2.6679667234231906E-5</v>
      </c>
      <c r="J395" s="147">
        <f t="shared" si="22"/>
        <v>4.6398526939438025E-5</v>
      </c>
    </row>
    <row r="396" spans="1:10" x14ac:dyDescent="0.25">
      <c r="A396" s="6" t="s">
        <v>257</v>
      </c>
      <c r="B396" s="7" t="s">
        <v>1006</v>
      </c>
      <c r="C396" s="142">
        <v>561</v>
      </c>
      <c r="D396" s="143">
        <v>51.45</v>
      </c>
      <c r="E396" s="144">
        <f t="shared" si="20"/>
        <v>28863.45</v>
      </c>
      <c r="F396" s="145">
        <f t="shared" si="23"/>
        <v>1.866898746488322E-3</v>
      </c>
      <c r="G396" s="146">
        <v>1.0884E-2</v>
      </c>
      <c r="H396" s="146">
        <v>0.12359999999999999</v>
      </c>
      <c r="I396" s="147">
        <f t="shared" si="21"/>
        <v>2.0319325956778895E-5</v>
      </c>
      <c r="J396" s="147">
        <f t="shared" si="22"/>
        <v>2.3074868506595657E-4</v>
      </c>
    </row>
    <row r="397" spans="1:10" x14ac:dyDescent="0.25">
      <c r="A397" s="6" t="s">
        <v>496</v>
      </c>
      <c r="B397" s="7" t="s">
        <v>1064</v>
      </c>
      <c r="C397" s="142">
        <v>539</v>
      </c>
      <c r="D397" s="143">
        <v>28.37</v>
      </c>
      <c r="E397" s="144">
        <f t="shared" si="20"/>
        <v>15291.43</v>
      </c>
      <c r="F397" s="145">
        <f t="shared" si="23"/>
        <v>9.890554143393781E-4</v>
      </c>
      <c r="G397" s="146">
        <v>1.3747000000000001E-2</v>
      </c>
      <c r="H397" s="146">
        <v>9.2499999999999999E-2</v>
      </c>
      <c r="I397" s="147">
        <f t="shared" si="21"/>
        <v>1.3596544780923431E-5</v>
      </c>
      <c r="J397" s="147">
        <f t="shared" si="22"/>
        <v>9.1487625826392472E-5</v>
      </c>
    </row>
    <row r="398" spans="1:10" x14ac:dyDescent="0.25">
      <c r="A398" s="6" t="s">
        <v>556</v>
      </c>
      <c r="B398" s="7" t="s">
        <v>925</v>
      </c>
      <c r="C398" s="142">
        <v>205.84200000000001</v>
      </c>
      <c r="D398" s="143">
        <v>49.12</v>
      </c>
      <c r="E398" s="144">
        <f t="shared" ref="E398:E461" si="24">C398*D398</f>
        <v>10110.95904</v>
      </c>
      <c r="F398" s="145">
        <f t="shared" si="23"/>
        <v>6.5398061415287382E-4</v>
      </c>
      <c r="G398" s="146">
        <v>1.0584E-2</v>
      </c>
      <c r="H398" s="146">
        <v>9.5000000000000001E-2</v>
      </c>
      <c r="I398" s="147">
        <f t="shared" ref="I398:I461" si="25">IF(G398="n/a","n/a",$F398*G398)</f>
        <v>6.921730820194016E-6</v>
      </c>
      <c r="J398" s="147">
        <f t="shared" ref="J398:J461" si="26">IF(H398="n/a","n/a",$F398*H398)</f>
        <v>6.2128158344523012E-5</v>
      </c>
    </row>
    <row r="399" spans="1:10" x14ac:dyDescent="0.25">
      <c r="A399" s="6" t="s">
        <v>294</v>
      </c>
      <c r="B399" s="7" t="s">
        <v>1015</v>
      </c>
      <c r="C399" s="142">
        <v>609.529</v>
      </c>
      <c r="D399" s="143">
        <v>68.14</v>
      </c>
      <c r="E399" s="144">
        <f t="shared" si="24"/>
        <v>41533.306060000003</v>
      </c>
      <c r="F399" s="145">
        <f t="shared" ref="F399:F462" si="27">IF(OR(G399="n/a",H399="n/a",H399&lt;0%),0%,E399/SUMIFS(E$14:E$518,G$14:G$518,"&lt;&gt;n/a",$H$14:$H$518,"&lt;&gt;n/a",$H$14:$H$518,"&gt;=0"))</f>
        <v>0</v>
      </c>
      <c r="G399" s="146" t="s">
        <v>1109</v>
      </c>
      <c r="H399" s="146">
        <v>0.15493000000000001</v>
      </c>
      <c r="I399" s="147" t="str">
        <f t="shared" si="25"/>
        <v>n/a</v>
      </c>
      <c r="J399" s="147">
        <f t="shared" si="26"/>
        <v>0</v>
      </c>
    </row>
    <row r="400" spans="1:10" x14ac:dyDescent="0.25">
      <c r="A400" s="6" t="s">
        <v>415</v>
      </c>
      <c r="B400" s="7" t="s">
        <v>1046</v>
      </c>
      <c r="C400" s="142">
        <v>37.365000000000002</v>
      </c>
      <c r="D400" s="143">
        <v>496.6</v>
      </c>
      <c r="E400" s="144">
        <f t="shared" si="24"/>
        <v>18555.459000000003</v>
      </c>
      <c r="F400" s="145">
        <f t="shared" si="27"/>
        <v>0</v>
      </c>
      <c r="G400" s="146" t="s">
        <v>1109</v>
      </c>
      <c r="H400" s="146">
        <v>0.15010000000000001</v>
      </c>
      <c r="I400" s="147" t="str">
        <f t="shared" si="25"/>
        <v>n/a</v>
      </c>
      <c r="J400" s="147">
        <f t="shared" si="26"/>
        <v>0</v>
      </c>
    </row>
    <row r="401" spans="1:10" x14ac:dyDescent="0.25">
      <c r="A401" s="6" t="s">
        <v>301</v>
      </c>
      <c r="B401" s="7" t="s">
        <v>720</v>
      </c>
      <c r="C401" s="142">
        <v>229.00399999999999</v>
      </c>
      <c r="D401" s="143">
        <v>6.66</v>
      </c>
      <c r="E401" s="144">
        <f t="shared" si="24"/>
        <v>1525.1666399999999</v>
      </c>
      <c r="F401" s="145">
        <f t="shared" si="27"/>
        <v>9.8648348981213456E-5</v>
      </c>
      <c r="G401" s="146">
        <v>6.0150000000000004E-3</v>
      </c>
      <c r="H401" s="146">
        <v>0.14400000000000002</v>
      </c>
      <c r="I401" s="147">
        <f t="shared" si="25"/>
        <v>5.9336981912199901E-7</v>
      </c>
      <c r="J401" s="147">
        <f t="shared" si="26"/>
        <v>1.4205362253294739E-5</v>
      </c>
    </row>
    <row r="402" spans="1:10" x14ac:dyDescent="0.25">
      <c r="A402" s="6" t="s">
        <v>1100</v>
      </c>
      <c r="B402" s="7" t="s">
        <v>1101</v>
      </c>
      <c r="C402" s="142">
        <v>54.283999999999999</v>
      </c>
      <c r="D402" s="143">
        <v>180.32</v>
      </c>
      <c r="E402" s="144">
        <f t="shared" si="24"/>
        <v>9788.4908799999994</v>
      </c>
      <c r="F402" s="145">
        <f t="shared" si="27"/>
        <v>0</v>
      </c>
      <c r="G402" s="146" t="s">
        <v>1109</v>
      </c>
      <c r="H402" s="146">
        <v>0.1308</v>
      </c>
      <c r="I402" s="147" t="str">
        <f t="shared" si="25"/>
        <v>n/a</v>
      </c>
      <c r="J402" s="147">
        <f t="shared" si="26"/>
        <v>0</v>
      </c>
    </row>
    <row r="403" spans="1:10" x14ac:dyDescent="0.25">
      <c r="A403" s="6" t="s">
        <v>199</v>
      </c>
      <c r="B403" s="7" t="s">
        <v>646</v>
      </c>
      <c r="C403" s="142">
        <v>348.7</v>
      </c>
      <c r="D403" s="143">
        <v>114.38</v>
      </c>
      <c r="E403" s="144">
        <f t="shared" si="24"/>
        <v>39884.305999999997</v>
      </c>
      <c r="F403" s="145">
        <f t="shared" si="27"/>
        <v>2.579731836490671E-3</v>
      </c>
      <c r="G403" s="146">
        <v>8.742999999999999E-3</v>
      </c>
      <c r="H403" s="146">
        <v>0.11952</v>
      </c>
      <c r="I403" s="147">
        <f t="shared" si="25"/>
        <v>2.2554595446437933E-5</v>
      </c>
      <c r="J403" s="147">
        <f t="shared" si="26"/>
        <v>3.08329549097365E-4</v>
      </c>
    </row>
    <row r="404" spans="1:10" x14ac:dyDescent="0.25">
      <c r="A404" s="6" t="s">
        <v>544</v>
      </c>
      <c r="B404" s="7" t="s">
        <v>914</v>
      </c>
      <c r="C404" s="142">
        <v>347.238</v>
      </c>
      <c r="D404" s="143">
        <v>43.75</v>
      </c>
      <c r="E404" s="144">
        <f t="shared" si="24"/>
        <v>15191.6625</v>
      </c>
      <c r="F404" s="145">
        <f t="shared" si="27"/>
        <v>9.8260241510712159E-4</v>
      </c>
      <c r="G404" s="146">
        <v>2.7429000000000002E-2</v>
      </c>
      <c r="H404" s="146">
        <v>7.0000000000000007E-2</v>
      </c>
      <c r="I404" s="147">
        <f t="shared" si="25"/>
        <v>2.6951801643973238E-5</v>
      </c>
      <c r="J404" s="147">
        <f t="shared" si="26"/>
        <v>6.8782169057498516E-5</v>
      </c>
    </row>
    <row r="405" spans="1:10" x14ac:dyDescent="0.25">
      <c r="A405" s="6" t="s">
        <v>334</v>
      </c>
      <c r="B405" s="7" t="s">
        <v>1022</v>
      </c>
      <c r="C405" s="142">
        <v>1200.654</v>
      </c>
      <c r="D405" s="143">
        <v>27.93</v>
      </c>
      <c r="E405" s="144">
        <f t="shared" si="24"/>
        <v>33534.266219999998</v>
      </c>
      <c r="F405" s="145">
        <f t="shared" si="27"/>
        <v>0</v>
      </c>
      <c r="G405" s="146" t="s">
        <v>1109</v>
      </c>
      <c r="H405" s="146">
        <v>8.7870000000000004E-2</v>
      </c>
      <c r="I405" s="147" t="str">
        <f t="shared" si="25"/>
        <v>n/a</v>
      </c>
      <c r="J405" s="147">
        <f t="shared" si="26"/>
        <v>0</v>
      </c>
    </row>
    <row r="406" spans="1:10" x14ac:dyDescent="0.25">
      <c r="A406" s="6" t="s">
        <v>385</v>
      </c>
      <c r="B406" s="7" t="s">
        <v>784</v>
      </c>
      <c r="C406" s="142">
        <v>432.87099999999998</v>
      </c>
      <c r="D406" s="143">
        <v>187.24</v>
      </c>
      <c r="E406" s="144">
        <f t="shared" si="24"/>
        <v>81050.766040000002</v>
      </c>
      <c r="F406" s="145">
        <f t="shared" si="27"/>
        <v>5.2423938760610481E-3</v>
      </c>
      <c r="G406" s="146">
        <v>1.3886000000000001E-2</v>
      </c>
      <c r="H406" s="146">
        <v>0.10047</v>
      </c>
      <c r="I406" s="147">
        <f t="shared" si="25"/>
        <v>7.2795881362983718E-5</v>
      </c>
      <c r="J406" s="147">
        <f t="shared" si="26"/>
        <v>5.2670331272785349E-4</v>
      </c>
    </row>
    <row r="407" spans="1:10" x14ac:dyDescent="0.25">
      <c r="A407" s="6" t="s">
        <v>65</v>
      </c>
      <c r="B407" s="7" t="s">
        <v>926</v>
      </c>
      <c r="C407" s="142">
        <v>247.916</v>
      </c>
      <c r="D407" s="143">
        <v>102.39</v>
      </c>
      <c r="E407" s="144">
        <f t="shared" si="24"/>
        <v>25384.11924</v>
      </c>
      <c r="F407" s="145">
        <f t="shared" si="27"/>
        <v>1.6418543309918287E-3</v>
      </c>
      <c r="G407" s="146">
        <v>2.7345999999999999E-2</v>
      </c>
      <c r="H407" s="146">
        <v>8.1000000000000003E-2</v>
      </c>
      <c r="I407" s="147">
        <f t="shared" si="25"/>
        <v>4.4898148535302543E-5</v>
      </c>
      <c r="J407" s="147">
        <f t="shared" si="26"/>
        <v>1.3299020081033812E-4</v>
      </c>
    </row>
    <row r="408" spans="1:10" x14ac:dyDescent="0.25">
      <c r="A408" s="6" t="s">
        <v>473</v>
      </c>
      <c r="B408" s="7" t="s">
        <v>857</v>
      </c>
      <c r="C408" s="142">
        <v>200.3</v>
      </c>
      <c r="D408" s="143">
        <v>96.18</v>
      </c>
      <c r="E408" s="144">
        <f t="shared" si="24"/>
        <v>19264.854000000003</v>
      </c>
      <c r="F408" s="145">
        <f t="shared" si="27"/>
        <v>1.2460579654850873E-3</v>
      </c>
      <c r="G408" s="146">
        <v>1.414E-2</v>
      </c>
      <c r="H408" s="146">
        <v>0.12</v>
      </c>
      <c r="I408" s="147">
        <f t="shared" si="25"/>
        <v>1.7619259631959136E-5</v>
      </c>
      <c r="J408" s="147">
        <f t="shared" si="26"/>
        <v>1.4952695585821049E-4</v>
      </c>
    </row>
    <row r="409" spans="1:10" x14ac:dyDescent="0.25">
      <c r="A409" s="6" t="s">
        <v>525</v>
      </c>
      <c r="B409" s="7" t="s">
        <v>1070</v>
      </c>
      <c r="C409" s="142">
        <v>50.701999999999998</v>
      </c>
      <c r="D409" s="143">
        <v>1454.19</v>
      </c>
      <c r="E409" s="144">
        <f t="shared" si="24"/>
        <v>73730.341379999998</v>
      </c>
      <c r="F409" s="145">
        <f t="shared" si="27"/>
        <v>0</v>
      </c>
      <c r="G409" s="146" t="s">
        <v>1109</v>
      </c>
      <c r="H409" s="146">
        <v>0.19500000000000001</v>
      </c>
      <c r="I409" s="147" t="str">
        <f t="shared" si="25"/>
        <v>n/a</v>
      </c>
      <c r="J409" s="147">
        <f t="shared" si="26"/>
        <v>0</v>
      </c>
    </row>
    <row r="410" spans="1:10" x14ac:dyDescent="0.25">
      <c r="A410" s="6" t="s">
        <v>356</v>
      </c>
      <c r="B410" s="7" t="s">
        <v>1027</v>
      </c>
      <c r="C410" s="142">
        <v>71.004000000000005</v>
      </c>
      <c r="D410" s="143">
        <v>110.2</v>
      </c>
      <c r="E410" s="144">
        <f t="shared" si="24"/>
        <v>7824.640800000001</v>
      </c>
      <c r="F410" s="145">
        <f t="shared" si="27"/>
        <v>0</v>
      </c>
      <c r="G410" s="146" t="s">
        <v>1109</v>
      </c>
      <c r="H410" s="146">
        <v>0.14548</v>
      </c>
      <c r="I410" s="147" t="str">
        <f t="shared" si="25"/>
        <v>n/a</v>
      </c>
      <c r="J410" s="147">
        <f t="shared" si="26"/>
        <v>0</v>
      </c>
    </row>
    <row r="411" spans="1:10" x14ac:dyDescent="0.25">
      <c r="A411" s="6" t="s">
        <v>205</v>
      </c>
      <c r="B411" s="7" t="s">
        <v>993</v>
      </c>
      <c r="C411" s="142">
        <v>178.595</v>
      </c>
      <c r="D411" s="143">
        <v>60.86</v>
      </c>
      <c r="E411" s="144">
        <f t="shared" si="24"/>
        <v>10869.2917</v>
      </c>
      <c r="F411" s="145">
        <f t="shared" si="27"/>
        <v>0</v>
      </c>
      <c r="G411" s="146" t="s">
        <v>1109</v>
      </c>
      <c r="H411" s="146">
        <v>0.154</v>
      </c>
      <c r="I411" s="147" t="str">
        <f t="shared" si="25"/>
        <v>n/a</v>
      </c>
      <c r="J411" s="147">
        <f t="shared" si="26"/>
        <v>0</v>
      </c>
    </row>
    <row r="412" spans="1:10" x14ac:dyDescent="0.25">
      <c r="A412" s="6" t="s">
        <v>545</v>
      </c>
      <c r="B412" s="7" t="s">
        <v>915</v>
      </c>
      <c r="C412" s="142">
        <v>1429.1010000000001</v>
      </c>
      <c r="D412" s="143">
        <v>48.32</v>
      </c>
      <c r="E412" s="144">
        <f t="shared" si="24"/>
        <v>69054.16032000001</v>
      </c>
      <c r="F412" s="145">
        <f t="shared" si="27"/>
        <v>4.4664489290508116E-3</v>
      </c>
      <c r="G412" s="146">
        <v>2.9801000000000001E-2</v>
      </c>
      <c r="H412" s="146">
        <v>6.4829999999999999E-2</v>
      </c>
      <c r="I412" s="147">
        <f t="shared" si="25"/>
        <v>1.3310464453464323E-4</v>
      </c>
      <c r="J412" s="147">
        <f t="shared" si="26"/>
        <v>2.8955988407036411E-4</v>
      </c>
    </row>
    <row r="413" spans="1:10" x14ac:dyDescent="0.25">
      <c r="A413" s="6" t="s">
        <v>317</v>
      </c>
      <c r="B413" s="7" t="s">
        <v>735</v>
      </c>
      <c r="C413" s="142">
        <v>411</v>
      </c>
      <c r="D413" s="143">
        <v>41.94</v>
      </c>
      <c r="E413" s="144">
        <f t="shared" si="24"/>
        <v>17237.34</v>
      </c>
      <c r="F413" s="145">
        <f t="shared" si="27"/>
        <v>1.1149176012844276E-3</v>
      </c>
      <c r="G413" s="146">
        <v>2.2890000000000001E-2</v>
      </c>
      <c r="H413" s="146">
        <v>6.2350000000000003E-2</v>
      </c>
      <c r="I413" s="147">
        <f t="shared" si="25"/>
        <v>2.552046389340055E-5</v>
      </c>
      <c r="J413" s="147">
        <f t="shared" si="26"/>
        <v>6.9515112440084059E-5</v>
      </c>
    </row>
    <row r="414" spans="1:10" x14ac:dyDescent="0.25">
      <c r="A414" s="6" t="s">
        <v>1259</v>
      </c>
      <c r="B414" s="7" t="s">
        <v>1039</v>
      </c>
      <c r="C414" s="142">
        <v>291.32799999999997</v>
      </c>
      <c r="D414" s="143">
        <v>737.66</v>
      </c>
      <c r="E414" s="144">
        <f t="shared" si="24"/>
        <v>214901.01247999998</v>
      </c>
      <c r="F414" s="145">
        <f t="shared" si="27"/>
        <v>0</v>
      </c>
      <c r="G414" s="146" t="s">
        <v>1109</v>
      </c>
      <c r="H414" s="146">
        <v>0.17029</v>
      </c>
      <c r="I414" s="147" t="str">
        <f t="shared" si="25"/>
        <v>n/a</v>
      </c>
      <c r="J414" s="147">
        <f t="shared" si="26"/>
        <v>0</v>
      </c>
    </row>
    <row r="415" spans="1:10" x14ac:dyDescent="0.25">
      <c r="A415" s="6" t="s">
        <v>541</v>
      </c>
      <c r="B415" s="7" t="s">
        <v>912</v>
      </c>
      <c r="C415" s="142">
        <v>182.803</v>
      </c>
      <c r="D415" s="143">
        <v>79.150000000000006</v>
      </c>
      <c r="E415" s="144">
        <f t="shared" si="24"/>
        <v>14468.857450000001</v>
      </c>
      <c r="F415" s="145">
        <f t="shared" si="27"/>
        <v>0</v>
      </c>
      <c r="G415" s="146" t="s">
        <v>1109</v>
      </c>
      <c r="H415" s="146">
        <v>0.18575</v>
      </c>
      <c r="I415" s="147" t="str">
        <f t="shared" si="25"/>
        <v>n/a</v>
      </c>
      <c r="J415" s="147">
        <f t="shared" si="26"/>
        <v>0</v>
      </c>
    </row>
    <row r="416" spans="1:10" x14ac:dyDescent="0.25">
      <c r="A416" s="6" t="s">
        <v>403</v>
      </c>
      <c r="B416" s="7" t="s">
        <v>1042</v>
      </c>
      <c r="C416" s="142">
        <v>529.529</v>
      </c>
      <c r="D416" s="143">
        <v>10.1</v>
      </c>
      <c r="E416" s="144">
        <f t="shared" si="24"/>
        <v>5348.2429000000002</v>
      </c>
      <c r="F416" s="145">
        <f t="shared" si="27"/>
        <v>0</v>
      </c>
      <c r="G416" s="146">
        <v>1.5842000000000002E-2</v>
      </c>
      <c r="H416" s="146">
        <v>-0.03</v>
      </c>
      <c r="I416" s="147">
        <f t="shared" si="25"/>
        <v>0</v>
      </c>
      <c r="J416" s="147">
        <f t="shared" si="26"/>
        <v>0</v>
      </c>
    </row>
    <row r="417" spans="1:10" x14ac:dyDescent="0.25">
      <c r="A417" s="6" t="s">
        <v>208</v>
      </c>
      <c r="B417" s="7" t="s">
        <v>650</v>
      </c>
      <c r="C417" s="142">
        <v>95.912000000000006</v>
      </c>
      <c r="D417" s="143">
        <v>65.19</v>
      </c>
      <c r="E417" s="144">
        <f t="shared" si="24"/>
        <v>6252.5032799999999</v>
      </c>
      <c r="F417" s="145">
        <f t="shared" si="27"/>
        <v>4.0441425179062521E-4</v>
      </c>
      <c r="G417" s="146">
        <v>6.136E-3</v>
      </c>
      <c r="H417" s="146">
        <v>0.14849999999999999</v>
      </c>
      <c r="I417" s="147">
        <f t="shared" si="25"/>
        <v>2.4814858489872764E-6</v>
      </c>
      <c r="J417" s="147">
        <f t="shared" si="26"/>
        <v>6.0055516390907838E-5</v>
      </c>
    </row>
    <row r="418" spans="1:10" x14ac:dyDescent="0.25">
      <c r="A418" s="6" t="s">
        <v>481</v>
      </c>
      <c r="B418" s="7" t="s">
        <v>1061</v>
      </c>
      <c r="C418" s="142">
        <v>427.38799999999998</v>
      </c>
      <c r="D418" s="143">
        <v>108.45</v>
      </c>
      <c r="E418" s="144">
        <f t="shared" si="24"/>
        <v>46350.228600000002</v>
      </c>
      <c r="F418" s="145">
        <f t="shared" si="27"/>
        <v>0</v>
      </c>
      <c r="G418" s="146" t="s">
        <v>1109</v>
      </c>
      <c r="H418" s="146">
        <v>0.27332999999999996</v>
      </c>
      <c r="I418" s="147" t="str">
        <f t="shared" si="25"/>
        <v>n/a</v>
      </c>
      <c r="J418" s="147">
        <f t="shared" si="26"/>
        <v>0</v>
      </c>
    </row>
    <row r="419" spans="1:10" x14ac:dyDescent="0.25">
      <c r="A419" s="6" t="s">
        <v>201</v>
      </c>
      <c r="B419" s="7" t="s">
        <v>29</v>
      </c>
      <c r="C419" s="142">
        <v>331.40300000000002</v>
      </c>
      <c r="D419" s="143">
        <v>37.765000000000001</v>
      </c>
      <c r="E419" s="144">
        <f t="shared" si="24"/>
        <v>12515.434295000001</v>
      </c>
      <c r="F419" s="145">
        <f t="shared" si="27"/>
        <v>8.0950297338303143E-4</v>
      </c>
      <c r="G419" s="146">
        <v>1.0589999999999999E-2</v>
      </c>
      <c r="H419" s="146">
        <v>5.9000000000000004E-2</v>
      </c>
      <c r="I419" s="147">
        <f t="shared" si="25"/>
        <v>8.572636488126302E-6</v>
      </c>
      <c r="J419" s="147">
        <f t="shared" si="26"/>
        <v>4.7760675429598858E-5</v>
      </c>
    </row>
    <row r="420" spans="1:10" x14ac:dyDescent="0.25">
      <c r="A420" s="6" t="s">
        <v>1144</v>
      </c>
      <c r="B420" s="7" t="s">
        <v>1145</v>
      </c>
      <c r="C420" s="142">
        <v>260.98399999999998</v>
      </c>
      <c r="D420" s="143">
        <v>139.32</v>
      </c>
      <c r="E420" s="144">
        <f t="shared" si="24"/>
        <v>36360.290879999993</v>
      </c>
      <c r="F420" s="145">
        <f t="shared" si="27"/>
        <v>2.351797219868822E-3</v>
      </c>
      <c r="G420" s="146">
        <v>1.7943000000000001E-2</v>
      </c>
      <c r="H420" s="146">
        <v>9.6119999999999997E-2</v>
      </c>
      <c r="I420" s="147">
        <f t="shared" si="25"/>
        <v>4.2198297516106273E-5</v>
      </c>
      <c r="J420" s="147">
        <f t="shared" si="26"/>
        <v>2.2605474877379115E-4</v>
      </c>
    </row>
    <row r="421" spans="1:10" x14ac:dyDescent="0.25">
      <c r="A421" s="6" t="s">
        <v>289</v>
      </c>
      <c r="B421" s="7" t="s">
        <v>1014</v>
      </c>
      <c r="C421" s="142">
        <v>337.75599999999997</v>
      </c>
      <c r="D421" s="143">
        <v>94.57</v>
      </c>
      <c r="E421" s="144">
        <f t="shared" si="24"/>
        <v>31941.584919999994</v>
      </c>
      <c r="F421" s="145">
        <f t="shared" si="27"/>
        <v>2.0659936649291156E-3</v>
      </c>
      <c r="G421" s="146">
        <v>2.1147999999999997E-2</v>
      </c>
      <c r="H421" s="146">
        <v>0.12609999999999999</v>
      </c>
      <c r="I421" s="147">
        <f t="shared" si="25"/>
        <v>4.3691634025920929E-5</v>
      </c>
      <c r="J421" s="147">
        <f t="shared" si="26"/>
        <v>2.6052180114756148E-4</v>
      </c>
    </row>
    <row r="422" spans="1:10" x14ac:dyDescent="0.25">
      <c r="A422" s="6" t="s">
        <v>423</v>
      </c>
      <c r="B422" s="7" t="s">
        <v>816</v>
      </c>
      <c r="C422" s="142">
        <v>384.42700000000002</v>
      </c>
      <c r="D422" s="143">
        <v>31.395</v>
      </c>
      <c r="E422" s="144">
        <f t="shared" si="24"/>
        <v>12069.085665000001</v>
      </c>
      <c r="F422" s="145">
        <f t="shared" si="27"/>
        <v>7.8063297697429364E-4</v>
      </c>
      <c r="G422" s="146">
        <v>1.2741000000000001E-2</v>
      </c>
      <c r="H422" s="146">
        <v>0.11115999999999999</v>
      </c>
      <c r="I422" s="147">
        <f t="shared" si="25"/>
        <v>9.9460447596294755E-6</v>
      </c>
      <c r="J422" s="147">
        <f t="shared" si="26"/>
        <v>8.6775161720462483E-5</v>
      </c>
    </row>
    <row r="423" spans="1:10" x14ac:dyDescent="0.25">
      <c r="A423" s="6" t="s">
        <v>251</v>
      </c>
      <c r="B423" s="7" t="s">
        <v>682</v>
      </c>
      <c r="C423" s="142">
        <v>163.636</v>
      </c>
      <c r="D423" s="143">
        <v>352.04</v>
      </c>
      <c r="E423" s="144">
        <f t="shared" si="24"/>
        <v>57606.417440000005</v>
      </c>
      <c r="F423" s="145">
        <f t="shared" si="27"/>
        <v>3.7260046359121664E-3</v>
      </c>
      <c r="G423" s="146">
        <v>2.4761999999999999E-2</v>
      </c>
      <c r="H423" s="146">
        <v>0.11558</v>
      </c>
      <c r="I423" s="147">
        <f t="shared" si="25"/>
        <v>9.2263326794457063E-5</v>
      </c>
      <c r="J423" s="147">
        <f t="shared" si="26"/>
        <v>4.306516158187282E-4</v>
      </c>
    </row>
    <row r="424" spans="1:10" x14ac:dyDescent="0.25">
      <c r="A424" s="6" t="s">
        <v>328</v>
      </c>
      <c r="B424" s="7" t="s">
        <v>743</v>
      </c>
      <c r="C424" s="142">
        <v>179.33</v>
      </c>
      <c r="D424" s="143">
        <v>81.62</v>
      </c>
      <c r="E424" s="144">
        <f t="shared" si="24"/>
        <v>14636.914600000002</v>
      </c>
      <c r="F424" s="145">
        <f t="shared" si="27"/>
        <v>9.4672111335258337E-4</v>
      </c>
      <c r="G424" s="146">
        <v>3.5776000000000002E-2</v>
      </c>
      <c r="H424" s="146">
        <v>5.04E-2</v>
      </c>
      <c r="I424" s="147">
        <f t="shared" si="25"/>
        <v>3.3869894551302022E-5</v>
      </c>
      <c r="J424" s="147">
        <f t="shared" si="26"/>
        <v>4.77147441129702E-5</v>
      </c>
    </row>
    <row r="425" spans="1:10" x14ac:dyDescent="0.25">
      <c r="A425" s="6" t="s">
        <v>1260</v>
      </c>
      <c r="B425" s="7" t="s">
        <v>1058</v>
      </c>
      <c r="C425" s="142">
        <v>168.93</v>
      </c>
      <c r="D425" s="143">
        <v>57.92</v>
      </c>
      <c r="E425" s="144">
        <f t="shared" si="24"/>
        <v>9784.4256000000005</v>
      </c>
      <c r="F425" s="145">
        <f t="shared" si="27"/>
        <v>6.3286030906728919E-4</v>
      </c>
      <c r="G425" s="146">
        <v>1.7265000000000003E-2</v>
      </c>
      <c r="H425" s="146">
        <v>7.4999999999999997E-2</v>
      </c>
      <c r="I425" s="147">
        <f t="shared" si="25"/>
        <v>1.092633323604675E-5</v>
      </c>
      <c r="J425" s="147">
        <f t="shared" si="26"/>
        <v>4.7464523180046688E-5</v>
      </c>
    </row>
    <row r="426" spans="1:10" x14ac:dyDescent="0.25">
      <c r="A426" s="6" t="s">
        <v>514</v>
      </c>
      <c r="B426" s="7" t="s">
        <v>887</v>
      </c>
      <c r="C426" s="142">
        <v>1549.296</v>
      </c>
      <c r="D426" s="143">
        <v>88.44</v>
      </c>
      <c r="E426" s="144">
        <f t="shared" si="24"/>
        <v>137019.73824000001</v>
      </c>
      <c r="F426" s="145">
        <f t="shared" si="27"/>
        <v>8.8624879411301847E-3</v>
      </c>
      <c r="G426" s="146">
        <v>4.6133E-2</v>
      </c>
      <c r="H426" s="146">
        <v>5.8979999999999998E-2</v>
      </c>
      <c r="I426" s="147">
        <f t="shared" si="25"/>
        <v>4.088531561881588E-4</v>
      </c>
      <c r="J426" s="147">
        <f t="shared" si="26"/>
        <v>5.2270953876785823E-4</v>
      </c>
    </row>
    <row r="427" spans="1:10" x14ac:dyDescent="0.25">
      <c r="A427" s="6" t="s">
        <v>587</v>
      </c>
      <c r="B427" s="7" t="s">
        <v>950</v>
      </c>
      <c r="C427" s="142">
        <v>283.19799999999998</v>
      </c>
      <c r="D427" s="143">
        <v>189.47</v>
      </c>
      <c r="E427" s="144">
        <f t="shared" si="24"/>
        <v>53657.525059999993</v>
      </c>
      <c r="F427" s="145">
        <f t="shared" si="27"/>
        <v>3.4705887991276062E-3</v>
      </c>
      <c r="G427" s="146">
        <v>1.5834000000000001E-2</v>
      </c>
      <c r="H427" s="146">
        <v>5.5670000000000004E-2</v>
      </c>
      <c r="I427" s="147">
        <f t="shared" si="25"/>
        <v>5.4953303045386522E-5</v>
      </c>
      <c r="J427" s="147">
        <f t="shared" si="26"/>
        <v>1.9320767844743385E-4</v>
      </c>
    </row>
    <row r="428" spans="1:10" x14ac:dyDescent="0.25">
      <c r="A428" s="6" t="s">
        <v>1218</v>
      </c>
      <c r="B428" s="7" t="s">
        <v>921</v>
      </c>
      <c r="C428" s="142">
        <v>660</v>
      </c>
      <c r="D428" s="143">
        <v>77.72</v>
      </c>
      <c r="E428" s="144">
        <f t="shared" si="24"/>
        <v>51295.199999999997</v>
      </c>
      <c r="F428" s="145">
        <f t="shared" si="27"/>
        <v>0</v>
      </c>
      <c r="G428" s="146" t="s">
        <v>1109</v>
      </c>
      <c r="H428" s="146">
        <v>0.28062999999999999</v>
      </c>
      <c r="I428" s="147" t="str">
        <f t="shared" si="25"/>
        <v>n/a</v>
      </c>
      <c r="J428" s="147">
        <f t="shared" si="26"/>
        <v>0</v>
      </c>
    </row>
    <row r="429" spans="1:10" x14ac:dyDescent="0.25">
      <c r="A429" s="6" t="s">
        <v>463</v>
      </c>
      <c r="B429" s="7" t="s">
        <v>852</v>
      </c>
      <c r="C429" s="142">
        <v>1116.8810000000001</v>
      </c>
      <c r="D429" s="143">
        <v>50.43</v>
      </c>
      <c r="E429" s="144">
        <f t="shared" si="24"/>
        <v>56324.308830000002</v>
      </c>
      <c r="F429" s="145">
        <f t="shared" si="27"/>
        <v>3.64307737126186E-3</v>
      </c>
      <c r="G429" s="146">
        <v>2.9750000000000002E-2</v>
      </c>
      <c r="H429" s="146">
        <v>7.2529999999999997E-2</v>
      </c>
      <c r="I429" s="147">
        <f t="shared" si="25"/>
        <v>1.0838155179504034E-4</v>
      </c>
      <c r="J429" s="147">
        <f t="shared" si="26"/>
        <v>2.642324017376227E-4</v>
      </c>
    </row>
    <row r="430" spans="1:10" x14ac:dyDescent="0.25">
      <c r="A430" s="6" t="s">
        <v>471</v>
      </c>
      <c r="B430" s="7" t="s">
        <v>856</v>
      </c>
      <c r="C430" s="142">
        <v>439.83699999999999</v>
      </c>
      <c r="D430" s="143">
        <v>93.3</v>
      </c>
      <c r="E430" s="144">
        <f t="shared" si="24"/>
        <v>41036.792099999999</v>
      </c>
      <c r="F430" s="145">
        <f t="shared" si="27"/>
        <v>2.6542750686903982E-3</v>
      </c>
      <c r="G430" s="146">
        <v>2.3151000000000001E-2</v>
      </c>
      <c r="H430" s="146">
        <v>0.1142</v>
      </c>
      <c r="I430" s="147">
        <f t="shared" si="25"/>
        <v>6.144912211525141E-5</v>
      </c>
      <c r="J430" s="147">
        <f t="shared" si="26"/>
        <v>3.0311821284444347E-4</v>
      </c>
    </row>
    <row r="431" spans="1:10" x14ac:dyDescent="0.25">
      <c r="A431" s="6" t="s">
        <v>291</v>
      </c>
      <c r="B431" s="7" t="s">
        <v>712</v>
      </c>
      <c r="C431" s="142">
        <v>277.49599999999998</v>
      </c>
      <c r="D431" s="143">
        <v>31.24</v>
      </c>
      <c r="E431" s="144">
        <f t="shared" si="24"/>
        <v>8668.9750399999994</v>
      </c>
      <c r="F431" s="145">
        <f t="shared" si="27"/>
        <v>5.6071254945318564E-4</v>
      </c>
      <c r="G431" s="146">
        <v>4.3220999999999996E-2</v>
      </c>
      <c r="H431" s="146">
        <v>0.10522000000000001</v>
      </c>
      <c r="I431" s="147">
        <f t="shared" si="25"/>
        <v>2.4234557099916134E-5</v>
      </c>
      <c r="J431" s="147">
        <f t="shared" si="26"/>
        <v>5.89981744534642E-5</v>
      </c>
    </row>
    <row r="432" spans="1:10" x14ac:dyDescent="0.25">
      <c r="A432" s="6" t="s">
        <v>367</v>
      </c>
      <c r="B432" s="7" t="s">
        <v>769</v>
      </c>
      <c r="C432" s="142">
        <v>141.61199999999999</v>
      </c>
      <c r="D432" s="143">
        <v>47.84</v>
      </c>
      <c r="E432" s="144">
        <f t="shared" si="24"/>
        <v>6774.7180800000006</v>
      </c>
      <c r="F432" s="145">
        <f t="shared" si="27"/>
        <v>4.3819130046351951E-4</v>
      </c>
      <c r="G432" s="146">
        <v>1.7559000000000002E-2</v>
      </c>
      <c r="H432" s="146">
        <v>4.4260000000000001E-2</v>
      </c>
      <c r="I432" s="147">
        <f t="shared" si="25"/>
        <v>7.6942010448389403E-6</v>
      </c>
      <c r="J432" s="147">
        <f t="shared" si="26"/>
        <v>1.9394346958515372E-5</v>
      </c>
    </row>
    <row r="433" spans="1:10" x14ac:dyDescent="0.25">
      <c r="A433" s="6" t="s">
        <v>330</v>
      </c>
      <c r="B433" s="7" t="s">
        <v>745</v>
      </c>
      <c r="C433" s="142">
        <v>36.110999999999997</v>
      </c>
      <c r="D433" s="143">
        <v>113.97</v>
      </c>
      <c r="E433" s="144">
        <f t="shared" si="24"/>
        <v>4115.5706700000001</v>
      </c>
      <c r="F433" s="145">
        <f t="shared" si="27"/>
        <v>2.6619665095153574E-4</v>
      </c>
      <c r="G433" s="146">
        <v>1.6232E-2</v>
      </c>
      <c r="H433" s="146">
        <v>0.10150000000000001</v>
      </c>
      <c r="I433" s="147">
        <f t="shared" si="25"/>
        <v>4.3209040382453279E-6</v>
      </c>
      <c r="J433" s="147">
        <f t="shared" si="26"/>
        <v>2.7018960071580878E-5</v>
      </c>
    </row>
    <row r="434" spans="1:10" x14ac:dyDescent="0.25">
      <c r="A434" s="23" t="s">
        <v>337</v>
      </c>
      <c r="B434" s="7" t="s">
        <v>750</v>
      </c>
      <c r="C434" s="142">
        <v>107.855</v>
      </c>
      <c r="D434" s="143">
        <v>157.30000000000001</v>
      </c>
      <c r="E434" s="144">
        <f t="shared" si="24"/>
        <v>16965.591500000002</v>
      </c>
      <c r="F434" s="145">
        <f t="shared" si="27"/>
        <v>0</v>
      </c>
      <c r="G434" s="146" t="s">
        <v>1109</v>
      </c>
      <c r="H434" s="146">
        <v>0.152</v>
      </c>
      <c r="I434" s="147" t="str">
        <f t="shared" si="25"/>
        <v>n/a</v>
      </c>
      <c r="J434" s="147">
        <f t="shared" si="26"/>
        <v>0</v>
      </c>
    </row>
    <row r="435" spans="1:10" x14ac:dyDescent="0.25">
      <c r="A435" s="6" t="s">
        <v>219</v>
      </c>
      <c r="B435" s="7" t="s">
        <v>658</v>
      </c>
      <c r="C435" s="142">
        <v>178.221</v>
      </c>
      <c r="D435" s="143">
        <v>115.37</v>
      </c>
      <c r="E435" s="144">
        <f t="shared" si="24"/>
        <v>20561.356770000002</v>
      </c>
      <c r="F435" s="145">
        <f t="shared" si="27"/>
        <v>1.3299162497903811E-3</v>
      </c>
      <c r="G435" s="146">
        <v>2.3224000000000002E-2</v>
      </c>
      <c r="H435" s="146">
        <v>0.11650000000000001</v>
      </c>
      <c r="I435" s="147">
        <f t="shared" si="25"/>
        <v>3.0885974985131814E-5</v>
      </c>
      <c r="J435" s="147">
        <f t="shared" si="26"/>
        <v>1.5493524310057941E-4</v>
      </c>
    </row>
    <row r="436" spans="1:10" x14ac:dyDescent="0.25">
      <c r="A436" s="6" t="s">
        <v>630</v>
      </c>
      <c r="B436" s="7" t="s">
        <v>986</v>
      </c>
      <c r="C436" s="142">
        <v>507.49700000000001</v>
      </c>
      <c r="D436" s="143">
        <v>35.64</v>
      </c>
      <c r="E436" s="144">
        <f t="shared" si="24"/>
        <v>18087.193080000001</v>
      </c>
      <c r="F436" s="145">
        <f t="shared" si="27"/>
        <v>1.1698864165075296E-3</v>
      </c>
      <c r="G436" s="146">
        <v>3.5915000000000002E-2</v>
      </c>
      <c r="H436" s="146">
        <v>5.04E-2</v>
      </c>
      <c r="I436" s="147">
        <f t="shared" si="25"/>
        <v>4.2016470648867927E-5</v>
      </c>
      <c r="J436" s="147">
        <f t="shared" si="26"/>
        <v>5.8962275391979493E-5</v>
      </c>
    </row>
    <row r="437" spans="1:10" x14ac:dyDescent="0.25">
      <c r="A437" s="6" t="s">
        <v>548</v>
      </c>
      <c r="B437" s="7" t="s">
        <v>918</v>
      </c>
      <c r="C437" s="142">
        <v>131.77000000000001</v>
      </c>
      <c r="D437" s="143">
        <v>86.75</v>
      </c>
      <c r="E437" s="144">
        <f t="shared" si="24"/>
        <v>11431.047500000001</v>
      </c>
      <c r="F437" s="145">
        <f t="shared" si="27"/>
        <v>7.3936442971295766E-4</v>
      </c>
      <c r="G437" s="146">
        <v>1.5215999999999999E-2</v>
      </c>
      <c r="H437" s="146">
        <v>9.7750000000000004E-2</v>
      </c>
      <c r="I437" s="147">
        <f t="shared" si="25"/>
        <v>1.1250169162512363E-5</v>
      </c>
      <c r="J437" s="147">
        <f t="shared" si="26"/>
        <v>7.2272873004441607E-5</v>
      </c>
    </row>
    <row r="438" spans="1:10" x14ac:dyDescent="0.25">
      <c r="A438" s="6" t="s">
        <v>369</v>
      </c>
      <c r="B438" s="7" t="s">
        <v>771</v>
      </c>
      <c r="C438" s="142">
        <v>227.98</v>
      </c>
      <c r="D438" s="143">
        <v>33.799999999999997</v>
      </c>
      <c r="E438" s="144">
        <f t="shared" si="24"/>
        <v>7705.7239999999993</v>
      </c>
      <c r="F438" s="145">
        <f t="shared" si="27"/>
        <v>0</v>
      </c>
      <c r="G438" s="146" t="s">
        <v>1109</v>
      </c>
      <c r="H438" s="146">
        <v>-1.2E-2</v>
      </c>
      <c r="I438" s="147" t="str">
        <f t="shared" si="25"/>
        <v>n/a</v>
      </c>
      <c r="J438" s="147">
        <f t="shared" si="26"/>
        <v>0</v>
      </c>
    </row>
    <row r="439" spans="1:10" x14ac:dyDescent="0.25">
      <c r="A439" s="6" t="s">
        <v>1219</v>
      </c>
      <c r="B439" s="7" t="s">
        <v>1220</v>
      </c>
      <c r="C439" s="142">
        <v>203.36500000000001</v>
      </c>
      <c r="D439" s="143">
        <v>104.61</v>
      </c>
      <c r="E439" s="144">
        <f t="shared" si="24"/>
        <v>21274.012650000001</v>
      </c>
      <c r="F439" s="145">
        <f t="shared" si="27"/>
        <v>1.376011098779311E-3</v>
      </c>
      <c r="G439" s="146">
        <v>8.4119999999999993E-3</v>
      </c>
      <c r="H439" s="146">
        <v>0.11066000000000001</v>
      </c>
      <c r="I439" s="147">
        <f t="shared" si="25"/>
        <v>1.1575005362931563E-5</v>
      </c>
      <c r="J439" s="147">
        <f t="shared" si="26"/>
        <v>1.5226938819091858E-4</v>
      </c>
    </row>
    <row r="440" spans="1:10" x14ac:dyDescent="0.25">
      <c r="A440" s="6" t="s">
        <v>269</v>
      </c>
      <c r="B440" s="7" t="s">
        <v>698</v>
      </c>
      <c r="C440" s="142">
        <v>333.18</v>
      </c>
      <c r="D440" s="143">
        <v>37.299999999999997</v>
      </c>
      <c r="E440" s="144">
        <f t="shared" si="24"/>
        <v>12427.614</v>
      </c>
      <c r="F440" s="145">
        <f t="shared" si="27"/>
        <v>0</v>
      </c>
      <c r="G440" s="146" t="s">
        <v>1109</v>
      </c>
      <c r="H440" s="146">
        <v>0.105</v>
      </c>
      <c r="I440" s="147" t="str">
        <f t="shared" si="25"/>
        <v>n/a</v>
      </c>
      <c r="J440" s="147">
        <f t="shared" si="26"/>
        <v>0</v>
      </c>
    </row>
    <row r="441" spans="1:10" x14ac:dyDescent="0.25">
      <c r="A441" s="6" t="s">
        <v>455</v>
      </c>
      <c r="B441" s="7" t="s">
        <v>844</v>
      </c>
      <c r="C441" s="142">
        <v>1100.2339999999999</v>
      </c>
      <c r="D441" s="143">
        <v>99.1</v>
      </c>
      <c r="E441" s="144">
        <f t="shared" si="24"/>
        <v>109033.18939999999</v>
      </c>
      <c r="F441" s="145">
        <f t="shared" si="27"/>
        <v>7.0523074898005533E-3</v>
      </c>
      <c r="G441" s="146">
        <v>6.4580000000000002E-3</v>
      </c>
      <c r="H441" s="146">
        <v>0.16500000000000001</v>
      </c>
      <c r="I441" s="147">
        <f t="shared" si="25"/>
        <v>4.5543801769131976E-5</v>
      </c>
      <c r="J441" s="147">
        <f t="shared" si="26"/>
        <v>1.1636307358170914E-3</v>
      </c>
    </row>
    <row r="442" spans="1:10" x14ac:dyDescent="0.25">
      <c r="A442" s="6" t="s">
        <v>1221</v>
      </c>
      <c r="B442" s="7" t="s">
        <v>1222</v>
      </c>
      <c r="C442" s="142">
        <v>79.591999999999999</v>
      </c>
      <c r="D442" s="143">
        <v>151</v>
      </c>
      <c r="E442" s="144">
        <f t="shared" si="24"/>
        <v>12018.392</v>
      </c>
      <c r="F442" s="145">
        <f t="shared" si="27"/>
        <v>7.7735409175290124E-4</v>
      </c>
      <c r="G442" s="146">
        <v>5.8279999999999998E-3</v>
      </c>
      <c r="H442" s="146">
        <v>0.125</v>
      </c>
      <c r="I442" s="147">
        <f t="shared" si="25"/>
        <v>4.5304196467359083E-6</v>
      </c>
      <c r="J442" s="147">
        <f t="shared" si="26"/>
        <v>9.7169261469112655E-5</v>
      </c>
    </row>
    <row r="443" spans="1:10" x14ac:dyDescent="0.25">
      <c r="A443" s="6" t="s">
        <v>374</v>
      </c>
      <c r="B443" s="7" t="s">
        <v>775</v>
      </c>
      <c r="C443" s="142">
        <v>105.489</v>
      </c>
      <c r="D443" s="143">
        <v>46.1</v>
      </c>
      <c r="E443" s="144">
        <f t="shared" si="24"/>
        <v>4863.0429000000004</v>
      </c>
      <c r="F443" s="145">
        <f t="shared" si="27"/>
        <v>3.1454343448648496E-4</v>
      </c>
      <c r="G443" s="146">
        <v>3.1230000000000001E-2</v>
      </c>
      <c r="H443" s="146">
        <v>0.13577</v>
      </c>
      <c r="I443" s="147">
        <f t="shared" si="25"/>
        <v>9.8231914590129256E-6</v>
      </c>
      <c r="J443" s="147">
        <f t="shared" si="26"/>
        <v>4.2705562100230062E-5</v>
      </c>
    </row>
    <row r="444" spans="1:10" x14ac:dyDescent="0.25">
      <c r="A444" s="6" t="s">
        <v>266</v>
      </c>
      <c r="B444" s="7" t="s">
        <v>695</v>
      </c>
      <c r="C444" s="142">
        <v>202.63499999999999</v>
      </c>
      <c r="D444" s="143">
        <v>59.06</v>
      </c>
      <c r="E444" s="144">
        <f t="shared" si="24"/>
        <v>11967.623100000001</v>
      </c>
      <c r="F444" s="145">
        <f t="shared" si="27"/>
        <v>0</v>
      </c>
      <c r="G444" s="146" t="s">
        <v>1109</v>
      </c>
      <c r="H444" s="146">
        <v>0.15192</v>
      </c>
      <c r="I444" s="147" t="str">
        <f t="shared" si="25"/>
        <v>n/a</v>
      </c>
      <c r="J444" s="147">
        <f t="shared" si="26"/>
        <v>0</v>
      </c>
    </row>
    <row r="445" spans="1:10" x14ac:dyDescent="0.25">
      <c r="A445" s="6" t="s">
        <v>409</v>
      </c>
      <c r="B445" s="7" t="s">
        <v>804</v>
      </c>
      <c r="C445" s="142">
        <v>109.74299999999999</v>
      </c>
      <c r="D445" s="143">
        <v>252.61</v>
      </c>
      <c r="E445" s="144">
        <f t="shared" si="24"/>
        <v>27722.179230000002</v>
      </c>
      <c r="F445" s="145">
        <f t="shared" si="27"/>
        <v>1.7930809260296881E-3</v>
      </c>
      <c r="G445" s="146">
        <v>1.1875999999999999E-2</v>
      </c>
      <c r="H445" s="146">
        <v>0.15833</v>
      </c>
      <c r="I445" s="147">
        <f t="shared" si="25"/>
        <v>2.1294629077528574E-5</v>
      </c>
      <c r="J445" s="147">
        <f t="shared" si="26"/>
        <v>2.838985030182805E-4</v>
      </c>
    </row>
    <row r="446" spans="1:10" x14ac:dyDescent="0.25">
      <c r="A446" s="6" t="s">
        <v>360</v>
      </c>
      <c r="B446" s="7" t="s">
        <v>766</v>
      </c>
      <c r="C446" s="142">
        <v>281.58300000000003</v>
      </c>
      <c r="D446" s="143">
        <v>72.97</v>
      </c>
      <c r="E446" s="144">
        <f t="shared" si="24"/>
        <v>20547.111510000002</v>
      </c>
      <c r="F446" s="145">
        <f t="shared" si="27"/>
        <v>1.328994861043111E-3</v>
      </c>
      <c r="G446" s="146">
        <v>1.4249000000000001E-2</v>
      </c>
      <c r="H446" s="146">
        <v>0.12619999999999998</v>
      </c>
      <c r="I446" s="147">
        <f t="shared" si="25"/>
        <v>1.8936847775003288E-5</v>
      </c>
      <c r="J446" s="147">
        <f t="shared" si="26"/>
        <v>1.6771915146364058E-4</v>
      </c>
    </row>
    <row r="447" spans="1:10" x14ac:dyDescent="0.25">
      <c r="A447" s="6" t="s">
        <v>280</v>
      </c>
      <c r="B447" s="7" t="s">
        <v>706</v>
      </c>
      <c r="C447" s="142">
        <v>31.187999999999999</v>
      </c>
      <c r="D447" s="143">
        <v>640.1</v>
      </c>
      <c r="E447" s="144">
        <f t="shared" si="24"/>
        <v>19963.4388</v>
      </c>
      <c r="F447" s="145">
        <f t="shared" si="27"/>
        <v>0</v>
      </c>
      <c r="G447" s="146" t="s">
        <v>1109</v>
      </c>
      <c r="H447" s="146">
        <v>0.20908000000000002</v>
      </c>
      <c r="I447" s="147" t="str">
        <f t="shared" si="25"/>
        <v>n/a</v>
      </c>
      <c r="J447" s="147">
        <f t="shared" si="26"/>
        <v>0</v>
      </c>
    </row>
    <row r="448" spans="1:10" x14ac:dyDescent="0.25">
      <c r="A448" s="23" t="s">
        <v>508</v>
      </c>
      <c r="B448" s="66" t="s">
        <v>881</v>
      </c>
      <c r="C448" s="142">
        <v>253.61699999999999</v>
      </c>
      <c r="D448" s="143">
        <v>26.65</v>
      </c>
      <c r="E448" s="144">
        <f t="shared" si="24"/>
        <v>6758.8930499999997</v>
      </c>
      <c r="F448" s="145">
        <f t="shared" si="27"/>
        <v>4.3716773160151095E-4</v>
      </c>
      <c r="G448" s="146">
        <v>4.0525000000000005E-2</v>
      </c>
      <c r="H448" s="146">
        <v>5.525E-2</v>
      </c>
      <c r="I448" s="147">
        <f t="shared" si="25"/>
        <v>1.7716222323151233E-5</v>
      </c>
      <c r="J448" s="147">
        <f t="shared" si="26"/>
        <v>2.4153517170983482E-5</v>
      </c>
    </row>
    <row r="449" spans="1:10" x14ac:dyDescent="0.25">
      <c r="A449" s="6" t="s">
        <v>629</v>
      </c>
      <c r="B449" s="7" t="s">
        <v>1092</v>
      </c>
      <c r="C449" s="142">
        <v>101.53700000000001</v>
      </c>
      <c r="D449" s="143">
        <v>70</v>
      </c>
      <c r="E449" s="144">
        <f t="shared" si="24"/>
        <v>7107.59</v>
      </c>
      <c r="F449" s="145">
        <f t="shared" si="27"/>
        <v>4.5972158080731626E-4</v>
      </c>
      <c r="G449" s="146">
        <v>2.8570999999999999E-2</v>
      </c>
      <c r="H449" s="146">
        <v>9.2669999999999988E-2</v>
      </c>
      <c r="I449" s="147">
        <f t="shared" si="25"/>
        <v>1.3134705285245833E-5</v>
      </c>
      <c r="J449" s="147">
        <f t="shared" si="26"/>
        <v>4.260239889341399E-5</v>
      </c>
    </row>
    <row r="450" spans="1:10" x14ac:dyDescent="0.25">
      <c r="A450" s="6" t="s">
        <v>232</v>
      </c>
      <c r="B450" s="7" t="s">
        <v>667</v>
      </c>
      <c r="C450" s="142">
        <v>66.817999999999998</v>
      </c>
      <c r="D450" s="143">
        <v>81.569999999999993</v>
      </c>
      <c r="E450" s="144">
        <f t="shared" si="24"/>
        <v>5450.3442599999989</v>
      </c>
      <c r="F450" s="145">
        <f t="shared" si="27"/>
        <v>3.5253030621508583E-4</v>
      </c>
      <c r="G450" s="146">
        <v>2.4519000000000003E-2</v>
      </c>
      <c r="H450" s="146">
        <v>8.6199999999999999E-2</v>
      </c>
      <c r="I450" s="147">
        <f t="shared" si="25"/>
        <v>8.6436905780876902E-6</v>
      </c>
      <c r="J450" s="147">
        <f t="shared" si="26"/>
        <v>3.0388112395740397E-5</v>
      </c>
    </row>
    <row r="451" spans="1:10" x14ac:dyDescent="0.25">
      <c r="A451" s="6" t="s">
        <v>494</v>
      </c>
      <c r="B451" s="7" t="s">
        <v>872</v>
      </c>
      <c r="C451" s="142">
        <v>330.65499999999997</v>
      </c>
      <c r="D451" s="143">
        <v>12.89</v>
      </c>
      <c r="E451" s="144">
        <f t="shared" si="24"/>
        <v>4262.1429499999995</v>
      </c>
      <c r="F451" s="145">
        <f t="shared" si="27"/>
        <v>2.7567700086819272E-4</v>
      </c>
      <c r="G451" s="146">
        <v>4.4996000000000001E-2</v>
      </c>
      <c r="H451" s="146">
        <v>0.23899999999999999</v>
      </c>
      <c r="I451" s="147">
        <f t="shared" si="25"/>
        <v>1.24043623310652E-5</v>
      </c>
      <c r="J451" s="147">
        <f t="shared" si="26"/>
        <v>6.5886803207498056E-5</v>
      </c>
    </row>
    <row r="452" spans="1:10" x14ac:dyDescent="0.25">
      <c r="A452" s="6" t="s">
        <v>383</v>
      </c>
      <c r="B452" s="7" t="s">
        <v>783</v>
      </c>
      <c r="C452" s="142">
        <v>497.41899999999998</v>
      </c>
      <c r="D452" s="143">
        <v>4.68</v>
      </c>
      <c r="E452" s="144">
        <f t="shared" si="24"/>
        <v>2327.9209199999996</v>
      </c>
      <c r="F452" s="145">
        <f t="shared" si="27"/>
        <v>0</v>
      </c>
      <c r="G452" s="146" t="s">
        <v>1109</v>
      </c>
      <c r="H452" s="146">
        <v>0.05</v>
      </c>
      <c r="I452" s="147" t="str">
        <f t="shared" si="25"/>
        <v>n/a</v>
      </c>
      <c r="J452" s="147">
        <f t="shared" si="26"/>
        <v>0</v>
      </c>
    </row>
    <row r="453" spans="1:10" x14ac:dyDescent="0.25">
      <c r="A453" s="6" t="s">
        <v>543</v>
      </c>
      <c r="B453" s="7" t="s">
        <v>913</v>
      </c>
      <c r="C453" s="142">
        <v>1324.9069999999999</v>
      </c>
      <c r="D453" s="143">
        <v>9.34</v>
      </c>
      <c r="E453" s="144">
        <f t="shared" si="24"/>
        <v>12374.631379999999</v>
      </c>
      <c r="F453" s="145">
        <f t="shared" si="27"/>
        <v>8.0039578815342769E-4</v>
      </c>
      <c r="G453" s="146">
        <v>2.5696E-2</v>
      </c>
      <c r="H453" s="146">
        <v>3.6000000000000004E-2</v>
      </c>
      <c r="I453" s="147">
        <f t="shared" si="25"/>
        <v>2.0566970172390479E-5</v>
      </c>
      <c r="J453" s="147">
        <f t="shared" si="26"/>
        <v>2.8814248373523401E-5</v>
      </c>
    </row>
    <row r="454" spans="1:10" x14ac:dyDescent="0.25">
      <c r="A454" s="6" t="s">
        <v>472</v>
      </c>
      <c r="B454" s="7" t="s">
        <v>1056</v>
      </c>
      <c r="C454" s="142">
        <v>204.19300000000001</v>
      </c>
      <c r="D454" s="143">
        <v>136.31</v>
      </c>
      <c r="E454" s="144">
        <f t="shared" si="24"/>
        <v>27833.547830000003</v>
      </c>
      <c r="F454" s="145">
        <f t="shared" si="27"/>
        <v>0</v>
      </c>
      <c r="G454" s="146" t="s">
        <v>1109</v>
      </c>
      <c r="H454" s="146">
        <v>0.16375000000000001</v>
      </c>
      <c r="I454" s="147" t="str">
        <f t="shared" si="25"/>
        <v>n/a</v>
      </c>
      <c r="J454" s="147">
        <f t="shared" si="26"/>
        <v>0</v>
      </c>
    </row>
    <row r="455" spans="1:10" x14ac:dyDescent="0.25">
      <c r="A455" s="6" t="s">
        <v>581</v>
      </c>
      <c r="B455" s="7" t="s">
        <v>945</v>
      </c>
      <c r="C455" s="142">
        <v>141.6</v>
      </c>
      <c r="D455" s="143">
        <v>28.114999999999998</v>
      </c>
      <c r="E455" s="144">
        <f t="shared" si="24"/>
        <v>3981.0839999999998</v>
      </c>
      <c r="F455" s="145">
        <f t="shared" si="27"/>
        <v>0</v>
      </c>
      <c r="G455" s="146" t="s">
        <v>1109</v>
      </c>
      <c r="H455" s="146">
        <v>0.10249999999999999</v>
      </c>
      <c r="I455" s="147" t="str">
        <f t="shared" si="25"/>
        <v>n/a</v>
      </c>
      <c r="J455" s="147">
        <f t="shared" si="26"/>
        <v>0</v>
      </c>
    </row>
    <row r="456" spans="1:10" x14ac:dyDescent="0.25">
      <c r="A456" s="6" t="s">
        <v>475</v>
      </c>
      <c r="B456" s="7" t="s">
        <v>858</v>
      </c>
      <c r="C456" s="142">
        <v>337.15899999999999</v>
      </c>
      <c r="D456" s="143">
        <v>33.81</v>
      </c>
      <c r="E456" s="144">
        <f t="shared" si="24"/>
        <v>11399.345790000001</v>
      </c>
      <c r="F456" s="145">
        <f t="shared" si="27"/>
        <v>7.3731395124761363E-4</v>
      </c>
      <c r="G456" s="146">
        <v>3.2535000000000001E-2</v>
      </c>
      <c r="H456" s="146">
        <v>0.06</v>
      </c>
      <c r="I456" s="147">
        <f t="shared" si="25"/>
        <v>2.3988509403841112E-5</v>
      </c>
      <c r="J456" s="147">
        <f t="shared" si="26"/>
        <v>4.4238837074856816E-5</v>
      </c>
    </row>
    <row r="457" spans="1:10" x14ac:dyDescent="0.25">
      <c r="A457" s="6" t="s">
        <v>352</v>
      </c>
      <c r="B457" s="7" t="s">
        <v>1024</v>
      </c>
      <c r="C457" s="142">
        <v>117.039</v>
      </c>
      <c r="D457" s="143">
        <v>136.26</v>
      </c>
      <c r="E457" s="144">
        <f t="shared" si="24"/>
        <v>15947.734139999999</v>
      </c>
      <c r="F457" s="145">
        <f t="shared" si="27"/>
        <v>1.031505411698706E-3</v>
      </c>
      <c r="G457" s="146">
        <v>7.0439999999999999E-3</v>
      </c>
      <c r="H457" s="146">
        <v>0.18024999999999999</v>
      </c>
      <c r="I457" s="147">
        <f t="shared" si="25"/>
        <v>7.2659241200056849E-6</v>
      </c>
      <c r="J457" s="147">
        <f t="shared" si="26"/>
        <v>1.8592885045869175E-4</v>
      </c>
    </row>
    <row r="458" spans="1:10" x14ac:dyDescent="0.25">
      <c r="A458" s="6" t="s">
        <v>320</v>
      </c>
      <c r="B458" s="7" t="s">
        <v>1019</v>
      </c>
      <c r="C458" s="142">
        <v>149.30199999999999</v>
      </c>
      <c r="D458" s="143">
        <v>29.43</v>
      </c>
      <c r="E458" s="144">
        <f t="shared" si="24"/>
        <v>4393.9578599999995</v>
      </c>
      <c r="F458" s="145">
        <f t="shared" si="27"/>
        <v>0</v>
      </c>
      <c r="G458" s="146" t="s">
        <v>1109</v>
      </c>
      <c r="H458" s="146">
        <v>0.10349999999999999</v>
      </c>
      <c r="I458" s="147" t="str">
        <f t="shared" si="25"/>
        <v>n/a</v>
      </c>
      <c r="J458" s="147">
        <f t="shared" si="26"/>
        <v>0</v>
      </c>
    </row>
    <row r="459" spans="1:10" x14ac:dyDescent="0.25">
      <c r="A459" s="6" t="s">
        <v>275</v>
      </c>
      <c r="B459" s="7" t="s">
        <v>702</v>
      </c>
      <c r="C459" s="142">
        <v>233.048</v>
      </c>
      <c r="D459" s="143">
        <v>50.78</v>
      </c>
      <c r="E459" s="144">
        <f t="shared" si="24"/>
        <v>11834.177439999999</v>
      </c>
      <c r="F459" s="145">
        <f t="shared" si="27"/>
        <v>7.6543902508038289E-4</v>
      </c>
      <c r="G459" s="146">
        <v>2.3631000000000003E-2</v>
      </c>
      <c r="H459" s="146">
        <v>0.09</v>
      </c>
      <c r="I459" s="147">
        <f t="shared" si="25"/>
        <v>1.808808960167453E-5</v>
      </c>
      <c r="J459" s="147">
        <f t="shared" si="26"/>
        <v>6.8889512257234458E-5</v>
      </c>
    </row>
    <row r="460" spans="1:10" x14ac:dyDescent="0.25">
      <c r="A460" s="6" t="s">
        <v>612</v>
      </c>
      <c r="B460" s="7" t="s">
        <v>1089</v>
      </c>
      <c r="C460" s="142">
        <v>347.46</v>
      </c>
      <c r="D460" s="143">
        <v>49.305</v>
      </c>
      <c r="E460" s="144">
        <f t="shared" si="24"/>
        <v>17131.515299999999</v>
      </c>
      <c r="F460" s="145">
        <f t="shared" si="27"/>
        <v>1.108072820089612E-3</v>
      </c>
      <c r="G460" s="146">
        <v>3.2454000000000004E-2</v>
      </c>
      <c r="H460" s="146">
        <v>9.2499999999999999E-2</v>
      </c>
      <c r="I460" s="147">
        <f t="shared" si="25"/>
        <v>3.5961395303188271E-5</v>
      </c>
      <c r="J460" s="147">
        <f t="shared" si="26"/>
        <v>1.0249673585828911E-4</v>
      </c>
    </row>
    <row r="461" spans="1:10" x14ac:dyDescent="0.25">
      <c r="A461" s="6" t="s">
        <v>628</v>
      </c>
      <c r="B461" s="7" t="s">
        <v>985</v>
      </c>
      <c r="C461" s="142">
        <v>116.10599999999999</v>
      </c>
      <c r="D461" s="143">
        <v>81.38</v>
      </c>
      <c r="E461" s="144">
        <f t="shared" si="24"/>
        <v>9448.7062799999985</v>
      </c>
      <c r="F461" s="145">
        <f t="shared" si="27"/>
        <v>6.1114585782601639E-4</v>
      </c>
      <c r="G461" s="146">
        <v>2.0643999999999999E-2</v>
      </c>
      <c r="H461" s="146">
        <v>0.09</v>
      </c>
      <c r="I461" s="147">
        <f t="shared" si="25"/>
        <v>1.2616495088960282E-5</v>
      </c>
      <c r="J461" s="147">
        <f t="shared" si="26"/>
        <v>5.500312720434147E-5</v>
      </c>
    </row>
    <row r="462" spans="1:10" x14ac:dyDescent="0.25">
      <c r="A462" s="6" t="s">
        <v>1259</v>
      </c>
      <c r="B462" s="7" t="s">
        <v>1040</v>
      </c>
      <c r="C462" s="142">
        <v>345.50400000000002</v>
      </c>
      <c r="D462" s="143">
        <v>711.68</v>
      </c>
      <c r="E462" s="144">
        <f t="shared" ref="E462:E515" si="28">C462*D462</f>
        <v>245888.28672</v>
      </c>
      <c r="F462" s="145">
        <f t="shared" si="27"/>
        <v>0</v>
      </c>
      <c r="G462" s="146" t="s">
        <v>1109</v>
      </c>
      <c r="H462" s="146">
        <v>0.17029</v>
      </c>
      <c r="I462" s="147" t="str">
        <f t="shared" ref="I462:I515" si="29">IF(G462="n/a","n/a",$F462*G462)</f>
        <v>n/a</v>
      </c>
      <c r="J462" s="147">
        <f t="shared" ref="J462:J515" si="30">IF(H462="n/a","n/a",$F462*H462)</f>
        <v>0</v>
      </c>
    </row>
    <row r="463" spans="1:10" x14ac:dyDescent="0.25">
      <c r="A463" s="6" t="s">
        <v>564</v>
      </c>
      <c r="B463" s="7" t="s">
        <v>933</v>
      </c>
      <c r="C463" s="142">
        <v>671.36300000000006</v>
      </c>
      <c r="D463" s="143">
        <v>28.58</v>
      </c>
      <c r="E463" s="144">
        <f t="shared" si="28"/>
        <v>19187.554540000001</v>
      </c>
      <c r="F463" s="145">
        <f t="shared" ref="F463:F518" si="31">IF(OR(G463="n/a",H463="n/a",H463&lt;0%),0%,E463/SUMIFS(E$14:E$518,G$14:G$518,"&lt;&gt;n/a",$H$14:$H$518,"&lt;&gt;n/a",$H$14:$H$518,"&gt;=0"))</f>
        <v>1.2410582074874042E-3</v>
      </c>
      <c r="G463" s="146">
        <v>5.1783999999999997E-2</v>
      </c>
      <c r="H463" s="146">
        <v>3.95E-2</v>
      </c>
      <c r="I463" s="147">
        <f t="shared" si="29"/>
        <v>6.4266958216527728E-5</v>
      </c>
      <c r="J463" s="147">
        <f t="shared" si="30"/>
        <v>4.9021799195752468E-5</v>
      </c>
    </row>
    <row r="464" spans="1:10" x14ac:dyDescent="0.25">
      <c r="A464" s="6" t="s">
        <v>362</v>
      </c>
      <c r="B464" s="7" t="s">
        <v>1031</v>
      </c>
      <c r="C464" s="142">
        <v>100.90300000000001</v>
      </c>
      <c r="D464" s="143">
        <v>57.13</v>
      </c>
      <c r="E464" s="144">
        <f t="shared" si="28"/>
        <v>5764.5883900000008</v>
      </c>
      <c r="F464" s="145">
        <f t="shared" si="31"/>
        <v>0</v>
      </c>
      <c r="G464" s="146" t="s">
        <v>1109</v>
      </c>
      <c r="H464" s="146">
        <v>-7.9500000000000001E-2</v>
      </c>
      <c r="I464" s="147" t="str">
        <f t="shared" si="29"/>
        <v>n/a</v>
      </c>
      <c r="J464" s="147">
        <f t="shared" si="30"/>
        <v>0</v>
      </c>
    </row>
    <row r="465" spans="1:10" x14ac:dyDescent="0.25">
      <c r="A465" s="6" t="s">
        <v>461</v>
      </c>
      <c r="B465" s="7" t="s">
        <v>849</v>
      </c>
      <c r="C465" s="142">
        <v>197.13300000000001</v>
      </c>
      <c r="D465" s="143">
        <v>82</v>
      </c>
      <c r="E465" s="144">
        <f t="shared" si="28"/>
        <v>16164.906000000001</v>
      </c>
      <c r="F465" s="145">
        <f t="shared" si="31"/>
        <v>1.045552168867601E-3</v>
      </c>
      <c r="G465" s="146">
        <v>2.0122000000000001E-2</v>
      </c>
      <c r="H465" s="146">
        <v>8.8000000000000009E-2</v>
      </c>
      <c r="I465" s="147">
        <f t="shared" si="29"/>
        <v>2.1038600741953871E-5</v>
      </c>
      <c r="J465" s="147">
        <f t="shared" si="30"/>
        <v>9.2008590860348906E-5</v>
      </c>
    </row>
    <row r="466" spans="1:10" x14ac:dyDescent="0.25">
      <c r="A466" s="6" t="s">
        <v>343</v>
      </c>
      <c r="B466" s="7" t="s">
        <v>755</v>
      </c>
      <c r="C466" s="142">
        <v>235.47499999999999</v>
      </c>
      <c r="D466" s="143">
        <v>16.63</v>
      </c>
      <c r="E466" s="144">
        <f t="shared" si="28"/>
        <v>3915.9492499999997</v>
      </c>
      <c r="F466" s="145">
        <f t="shared" si="31"/>
        <v>0</v>
      </c>
      <c r="G466" s="146">
        <v>3.6079E-2</v>
      </c>
      <c r="H466" s="146">
        <v>-4.2999999999999997E-2</v>
      </c>
      <c r="I466" s="147">
        <f t="shared" si="29"/>
        <v>0</v>
      </c>
      <c r="J466" s="147">
        <f t="shared" si="30"/>
        <v>0</v>
      </c>
    </row>
    <row r="467" spans="1:10" x14ac:dyDescent="0.25">
      <c r="A467" s="6" t="s">
        <v>578</v>
      </c>
      <c r="B467" s="7" t="s">
        <v>942</v>
      </c>
      <c r="C467" s="142">
        <v>402.38400000000001</v>
      </c>
      <c r="D467" s="143">
        <v>64.45</v>
      </c>
      <c r="E467" s="144">
        <f t="shared" si="28"/>
        <v>25933.648800000003</v>
      </c>
      <c r="F467" s="145">
        <f t="shared" si="31"/>
        <v>1.677398108562503E-3</v>
      </c>
      <c r="G467" s="146">
        <v>2.0480999999999999E-2</v>
      </c>
      <c r="H467" s="146">
        <v>0.1</v>
      </c>
      <c r="I467" s="147">
        <f t="shared" si="29"/>
        <v>3.4354790661468626E-5</v>
      </c>
      <c r="J467" s="147">
        <f t="shared" si="30"/>
        <v>1.6773981085625031E-4</v>
      </c>
    </row>
    <row r="468" spans="1:10" x14ac:dyDescent="0.25">
      <c r="A468" s="6" t="s">
        <v>319</v>
      </c>
      <c r="B468" s="7" t="s">
        <v>737</v>
      </c>
      <c r="C468" s="142">
        <v>427.48399999999998</v>
      </c>
      <c r="D468" s="143">
        <v>56.24</v>
      </c>
      <c r="E468" s="144">
        <f t="shared" si="28"/>
        <v>24041.70016</v>
      </c>
      <c r="F468" s="145">
        <f t="shared" si="31"/>
        <v>1.555026162574193E-3</v>
      </c>
      <c r="G468" s="146">
        <v>1.9915000000000002E-2</v>
      </c>
      <c r="H468" s="146">
        <v>8.5939999999999989E-2</v>
      </c>
      <c r="I468" s="147">
        <f t="shared" si="29"/>
        <v>3.0968346027665057E-5</v>
      </c>
      <c r="J468" s="147">
        <f t="shared" si="30"/>
        <v>1.3363894841162611E-4</v>
      </c>
    </row>
    <row r="469" spans="1:10" x14ac:dyDescent="0.25">
      <c r="A469" s="6" t="s">
        <v>595</v>
      </c>
      <c r="B469" s="7" t="s">
        <v>1084</v>
      </c>
      <c r="C469" s="142">
        <v>131.29599999999999</v>
      </c>
      <c r="D469" s="143">
        <v>83.79</v>
      </c>
      <c r="E469" s="144">
        <f t="shared" si="28"/>
        <v>11001.29184</v>
      </c>
      <c r="F469" s="145">
        <f t="shared" si="31"/>
        <v>0</v>
      </c>
      <c r="G469" s="146" t="s">
        <v>1109</v>
      </c>
      <c r="H469" s="146">
        <v>0.19045000000000001</v>
      </c>
      <c r="I469" s="147" t="str">
        <f t="shared" si="29"/>
        <v>n/a</v>
      </c>
      <c r="J469" s="147">
        <f t="shared" si="30"/>
        <v>0</v>
      </c>
    </row>
    <row r="470" spans="1:10" x14ac:dyDescent="0.25">
      <c r="A470" s="6" t="s">
        <v>327</v>
      </c>
      <c r="B470" s="7" t="s">
        <v>12</v>
      </c>
      <c r="C470" s="142">
        <v>188.892</v>
      </c>
      <c r="D470" s="143">
        <v>89.42</v>
      </c>
      <c r="E470" s="144">
        <f t="shared" si="28"/>
        <v>16890.72264</v>
      </c>
      <c r="F470" s="145">
        <f t="shared" si="31"/>
        <v>1.0924982607379895E-3</v>
      </c>
      <c r="G470" s="146">
        <v>2.1471999999999998E-2</v>
      </c>
      <c r="H470" s="146">
        <v>7.6969999999999997E-2</v>
      </c>
      <c r="I470" s="147">
        <f t="shared" si="29"/>
        <v>2.3458122654566108E-5</v>
      </c>
      <c r="J470" s="147">
        <f t="shared" si="30"/>
        <v>8.4089591129003047E-5</v>
      </c>
    </row>
    <row r="471" spans="1:10" x14ac:dyDescent="0.25">
      <c r="A471" s="6" t="s">
        <v>554</v>
      </c>
      <c r="B471" s="7" t="s">
        <v>924</v>
      </c>
      <c r="C471" s="142">
        <v>94.200999999999993</v>
      </c>
      <c r="D471" s="143">
        <v>60.09</v>
      </c>
      <c r="E471" s="144">
        <f t="shared" si="28"/>
        <v>5660.53809</v>
      </c>
      <c r="F471" s="145">
        <f t="shared" si="31"/>
        <v>3.6612572179245379E-4</v>
      </c>
      <c r="G471" s="146">
        <v>1.5312999999999998E-2</v>
      </c>
      <c r="H471" s="146">
        <v>0.11460000000000001</v>
      </c>
      <c r="I471" s="147">
        <f t="shared" si="29"/>
        <v>5.606483177807844E-6</v>
      </c>
      <c r="J471" s="147">
        <f t="shared" si="30"/>
        <v>4.1958007717415208E-5</v>
      </c>
    </row>
    <row r="472" spans="1:10" x14ac:dyDescent="0.25">
      <c r="A472" s="6" t="s">
        <v>613</v>
      </c>
      <c r="B472" s="7" t="s">
        <v>971</v>
      </c>
      <c r="C472" s="142">
        <v>1951.3869999999999</v>
      </c>
      <c r="D472" s="143">
        <v>77.599999999999994</v>
      </c>
      <c r="E472" s="144">
        <f t="shared" si="28"/>
        <v>151427.63119999997</v>
      </c>
      <c r="F472" s="145">
        <f t="shared" si="31"/>
        <v>9.7943958491093705E-3</v>
      </c>
      <c r="G472" s="146">
        <v>7.2160000000000002E-3</v>
      </c>
      <c r="H472" s="146">
        <v>0.18084</v>
      </c>
      <c r="I472" s="147">
        <f t="shared" si="29"/>
        <v>7.067636044717322E-5</v>
      </c>
      <c r="J472" s="147">
        <f t="shared" si="30"/>
        <v>1.7712185453529386E-3</v>
      </c>
    </row>
    <row r="473" spans="1:10" x14ac:dyDescent="0.25">
      <c r="A473" s="6" t="s">
        <v>634</v>
      </c>
      <c r="B473" s="7" t="s">
        <v>989</v>
      </c>
      <c r="C473" s="142">
        <v>179.36600000000001</v>
      </c>
      <c r="D473" s="143">
        <v>36.43</v>
      </c>
      <c r="E473" s="144">
        <f t="shared" si="28"/>
        <v>6534.3033800000003</v>
      </c>
      <c r="F473" s="145">
        <f t="shared" si="31"/>
        <v>4.2264118770612681E-4</v>
      </c>
      <c r="G473" s="146">
        <v>1.546E-2</v>
      </c>
      <c r="H473" s="146">
        <v>0.113</v>
      </c>
      <c r="I473" s="147">
        <f t="shared" si="29"/>
        <v>6.5340327619367204E-6</v>
      </c>
      <c r="J473" s="147">
        <f t="shared" si="30"/>
        <v>4.7758454210792329E-5</v>
      </c>
    </row>
    <row r="474" spans="1:10" x14ac:dyDescent="0.25">
      <c r="A474" s="6" t="s">
        <v>452</v>
      </c>
      <c r="B474" s="7" t="s">
        <v>841</v>
      </c>
      <c r="C474" s="142">
        <v>536.15700000000004</v>
      </c>
      <c r="D474" s="143">
        <v>51.8</v>
      </c>
      <c r="E474" s="144">
        <f t="shared" si="28"/>
        <v>27772.9326</v>
      </c>
      <c r="F474" s="145">
        <f t="shared" si="31"/>
        <v>1.7963636729928214E-3</v>
      </c>
      <c r="G474" s="146">
        <v>2.4709999999999999E-2</v>
      </c>
      <c r="H474" s="146">
        <v>2.5169999999999998E-2</v>
      </c>
      <c r="I474" s="147">
        <f t="shared" si="29"/>
        <v>4.4388146359652617E-5</v>
      </c>
      <c r="J474" s="147">
        <f t="shared" si="30"/>
        <v>4.5214473649229312E-5</v>
      </c>
    </row>
    <row r="475" spans="1:10" x14ac:dyDescent="0.25">
      <c r="A475" s="6" t="s">
        <v>1112</v>
      </c>
      <c r="B475" s="7" t="s">
        <v>1116</v>
      </c>
      <c r="C475" s="142">
        <v>355.83300000000003</v>
      </c>
      <c r="D475" s="143">
        <v>50.98</v>
      </c>
      <c r="E475" s="144">
        <f t="shared" si="28"/>
        <v>18140.36634</v>
      </c>
      <c r="F475" s="145">
        <f t="shared" si="31"/>
        <v>0</v>
      </c>
      <c r="G475" s="146" t="s">
        <v>1109</v>
      </c>
      <c r="H475" s="146">
        <v>0.08</v>
      </c>
      <c r="I475" s="147" t="str">
        <f t="shared" si="29"/>
        <v>n/a</v>
      </c>
      <c r="J475" s="147">
        <f t="shared" si="30"/>
        <v>0</v>
      </c>
    </row>
    <row r="476" spans="1:10" x14ac:dyDescent="0.25">
      <c r="A476" s="6" t="s">
        <v>592</v>
      </c>
      <c r="B476" s="7" t="s">
        <v>1083</v>
      </c>
      <c r="C476" s="142">
        <v>135.81899999999999</v>
      </c>
      <c r="D476" s="143">
        <v>92.4</v>
      </c>
      <c r="E476" s="144">
        <f t="shared" si="28"/>
        <v>12549.6756</v>
      </c>
      <c r="F476" s="145">
        <f t="shared" si="31"/>
        <v>8.1171771380327299E-4</v>
      </c>
      <c r="G476" s="146">
        <v>8.6580000000000008E-3</v>
      </c>
      <c r="H476" s="146">
        <v>0.15493000000000001</v>
      </c>
      <c r="I476" s="147">
        <f t="shared" si="29"/>
        <v>7.0278519661087384E-6</v>
      </c>
      <c r="J476" s="147">
        <f t="shared" si="30"/>
        <v>1.2575942539954109E-4</v>
      </c>
    </row>
    <row r="477" spans="1:10" x14ac:dyDescent="0.25">
      <c r="A477" s="6" t="s">
        <v>593</v>
      </c>
      <c r="B477" s="7" t="s">
        <v>955</v>
      </c>
      <c r="C477" s="142">
        <v>363.654</v>
      </c>
      <c r="D477" s="143">
        <v>15.83</v>
      </c>
      <c r="E477" s="144">
        <f t="shared" si="28"/>
        <v>5756.64282</v>
      </c>
      <c r="F477" s="145">
        <f t="shared" si="31"/>
        <v>0</v>
      </c>
      <c r="G477" s="146" t="s">
        <v>1109</v>
      </c>
      <c r="H477" s="146">
        <v>-0.254</v>
      </c>
      <c r="I477" s="147" t="str">
        <f t="shared" si="29"/>
        <v>n/a</v>
      </c>
      <c r="J477" s="147">
        <f t="shared" si="30"/>
        <v>0</v>
      </c>
    </row>
    <row r="478" spans="1:10" x14ac:dyDescent="0.25">
      <c r="A478" s="6" t="s">
        <v>349</v>
      </c>
      <c r="B478" s="7" t="s">
        <v>761</v>
      </c>
      <c r="C478" s="142">
        <v>65.744</v>
      </c>
      <c r="D478" s="143">
        <v>220.49</v>
      </c>
      <c r="E478" s="144">
        <f t="shared" si="28"/>
        <v>14495.894560000001</v>
      </c>
      <c r="F478" s="145">
        <f t="shared" si="31"/>
        <v>9.3759988439673315E-4</v>
      </c>
      <c r="G478" s="146">
        <v>2.6124000000000001E-2</v>
      </c>
      <c r="H478" s="146">
        <v>7.0830000000000004E-2</v>
      </c>
      <c r="I478" s="147">
        <f t="shared" si="29"/>
        <v>2.4493859379980258E-5</v>
      </c>
      <c r="J478" s="147">
        <f t="shared" si="30"/>
        <v>6.6410199811820609E-5</v>
      </c>
    </row>
    <row r="479" spans="1:10" x14ac:dyDescent="0.25">
      <c r="A479" s="6" t="s">
        <v>379</v>
      </c>
      <c r="B479" s="7" t="s">
        <v>779</v>
      </c>
      <c r="C479" s="142">
        <v>885.65700000000004</v>
      </c>
      <c r="D479" s="143">
        <v>28.95</v>
      </c>
      <c r="E479" s="144">
        <f t="shared" si="28"/>
        <v>25639.77015</v>
      </c>
      <c r="F479" s="145">
        <f t="shared" si="31"/>
        <v>1.6583899275132979E-3</v>
      </c>
      <c r="G479" s="146">
        <v>2.487E-2</v>
      </c>
      <c r="H479" s="146">
        <v>7.51E-2</v>
      </c>
      <c r="I479" s="147">
        <f t="shared" si="29"/>
        <v>4.1244157497255716E-5</v>
      </c>
      <c r="J479" s="147">
        <f t="shared" si="30"/>
        <v>1.2454508355624867E-4</v>
      </c>
    </row>
    <row r="480" spans="1:10" x14ac:dyDescent="0.25">
      <c r="A480" s="6" t="s">
        <v>1146</v>
      </c>
      <c r="B480" s="7" t="s">
        <v>1147</v>
      </c>
      <c r="C480" s="142">
        <v>249.6</v>
      </c>
      <c r="D480" s="143">
        <v>49.47</v>
      </c>
      <c r="E480" s="144">
        <f t="shared" si="28"/>
        <v>12347.712</v>
      </c>
      <c r="F480" s="145">
        <f t="shared" si="31"/>
        <v>7.9865463258199589E-4</v>
      </c>
      <c r="G480" s="146">
        <v>4.6213999999999998E-2</v>
      </c>
      <c r="H480" s="146">
        <v>4.2950000000000002E-2</v>
      </c>
      <c r="I480" s="147">
        <f t="shared" si="29"/>
        <v>3.6909025190144358E-5</v>
      </c>
      <c r="J480" s="147">
        <f t="shared" si="30"/>
        <v>3.4302216469396727E-5</v>
      </c>
    </row>
    <row r="481" spans="1:10" x14ac:dyDescent="0.25">
      <c r="A481" s="6" t="s">
        <v>555</v>
      </c>
      <c r="B481" s="7" t="s">
        <v>1075</v>
      </c>
      <c r="C481" s="142">
        <v>296.80900000000003</v>
      </c>
      <c r="D481" s="143">
        <v>38.090000000000003</v>
      </c>
      <c r="E481" s="144">
        <f t="shared" si="28"/>
        <v>11305.454810000003</v>
      </c>
      <c r="F481" s="145">
        <f t="shared" si="31"/>
        <v>7.3124104752790727E-4</v>
      </c>
      <c r="G481" s="146">
        <v>6.6158999999999996E-2</v>
      </c>
      <c r="H481" s="146">
        <v>7.6399999999999996E-2</v>
      </c>
      <c r="I481" s="147">
        <f t="shared" si="29"/>
        <v>4.8378176463398815E-5</v>
      </c>
      <c r="J481" s="147">
        <f t="shared" si="30"/>
        <v>5.5866816031132116E-5</v>
      </c>
    </row>
    <row r="482" spans="1:10" x14ac:dyDescent="0.25">
      <c r="A482" s="6" t="s">
        <v>1223</v>
      </c>
      <c r="B482" s="7" t="s">
        <v>1224</v>
      </c>
      <c r="C482" s="142">
        <v>261.84800000000001</v>
      </c>
      <c r="D482" s="143">
        <v>53.77</v>
      </c>
      <c r="E482" s="144">
        <f t="shared" si="28"/>
        <v>14079.566960000002</v>
      </c>
      <c r="F482" s="145">
        <f t="shared" si="31"/>
        <v>9.1067165944204171E-4</v>
      </c>
      <c r="G482" s="146">
        <v>2.7896999999999998E-2</v>
      </c>
      <c r="H482" s="146">
        <v>7.1870000000000003E-2</v>
      </c>
      <c r="I482" s="147">
        <f t="shared" si="29"/>
        <v>2.5405007283454637E-5</v>
      </c>
      <c r="J482" s="147">
        <f t="shared" si="30"/>
        <v>6.5449972164099537E-5</v>
      </c>
    </row>
    <row r="483" spans="1:10" x14ac:dyDescent="0.25">
      <c r="A483" s="6" t="s">
        <v>621</v>
      </c>
      <c r="B483" s="7" t="s">
        <v>1090</v>
      </c>
      <c r="C483" s="142">
        <v>230.40299999999999</v>
      </c>
      <c r="D483" s="143">
        <v>66.86</v>
      </c>
      <c r="E483" s="144">
        <f t="shared" si="28"/>
        <v>15404.744579999999</v>
      </c>
      <c r="F483" s="145">
        <f t="shared" si="31"/>
        <v>9.9638464377525111E-4</v>
      </c>
      <c r="G483" s="146">
        <v>2.9912999999999999E-2</v>
      </c>
      <c r="H483" s="146">
        <v>4.9950000000000001E-2</v>
      </c>
      <c r="I483" s="147">
        <f t="shared" si="29"/>
        <v>2.9804853849249085E-5</v>
      </c>
      <c r="J483" s="147">
        <f t="shared" si="30"/>
        <v>4.9769412956573794E-5</v>
      </c>
    </row>
    <row r="484" spans="1:10" x14ac:dyDescent="0.25">
      <c r="A484" s="6" t="s">
        <v>596</v>
      </c>
      <c r="B484" s="7" t="s">
        <v>1261</v>
      </c>
      <c r="C484" s="142">
        <v>798.52099999999996</v>
      </c>
      <c r="D484" s="143">
        <v>30.88</v>
      </c>
      <c r="E484" s="144">
        <f t="shared" si="28"/>
        <v>24658.328479999996</v>
      </c>
      <c r="F484" s="145">
        <f t="shared" si="31"/>
        <v>1.594909913049524E-3</v>
      </c>
      <c r="G484" s="146">
        <v>9.7149999999999997E-3</v>
      </c>
      <c r="H484" s="146">
        <v>0.16219999999999998</v>
      </c>
      <c r="I484" s="147">
        <f t="shared" si="29"/>
        <v>1.5494549805276127E-5</v>
      </c>
      <c r="J484" s="147">
        <f t="shared" si="30"/>
        <v>2.586943878966328E-4</v>
      </c>
    </row>
    <row r="485" spans="1:10" x14ac:dyDescent="0.25">
      <c r="A485" s="6" t="s">
        <v>296</v>
      </c>
      <c r="B485" s="7" t="s">
        <v>1262</v>
      </c>
      <c r="C485" s="142">
        <v>347.327</v>
      </c>
      <c r="D485" s="143">
        <v>62.72</v>
      </c>
      <c r="E485" s="144">
        <f t="shared" si="28"/>
        <v>21784.349439999998</v>
      </c>
      <c r="F485" s="145">
        <f t="shared" si="31"/>
        <v>1.4090198733207422E-3</v>
      </c>
      <c r="G485" s="146">
        <v>1.5941E-2</v>
      </c>
      <c r="H485" s="146">
        <v>0.12676999999999999</v>
      </c>
      <c r="I485" s="147">
        <f t="shared" si="29"/>
        <v>2.246118580060595E-5</v>
      </c>
      <c r="J485" s="147">
        <f t="shared" si="30"/>
        <v>1.7862144934087048E-4</v>
      </c>
    </row>
    <row r="486" spans="1:10" x14ac:dyDescent="0.25">
      <c r="A486" s="6" t="s">
        <v>371</v>
      </c>
      <c r="B486" s="7" t="s">
        <v>1034</v>
      </c>
      <c r="C486" s="142">
        <v>48.146999999999998</v>
      </c>
      <c r="D486" s="143">
        <v>54.42</v>
      </c>
      <c r="E486" s="144">
        <f t="shared" si="28"/>
        <v>2620.1597400000001</v>
      </c>
      <c r="F486" s="145">
        <f t="shared" si="31"/>
        <v>0</v>
      </c>
      <c r="G486" s="146" t="s">
        <v>1109</v>
      </c>
      <c r="H486" s="146">
        <v>7.3499999999999996E-2</v>
      </c>
      <c r="I486" s="147" t="str">
        <f t="shared" si="29"/>
        <v>n/a</v>
      </c>
      <c r="J486" s="147">
        <f t="shared" si="30"/>
        <v>0</v>
      </c>
    </row>
    <row r="487" spans="1:10" x14ac:dyDescent="0.25">
      <c r="A487" s="6" t="s">
        <v>1225</v>
      </c>
      <c r="B487" s="7" t="s">
        <v>1226</v>
      </c>
      <c r="C487" s="142">
        <v>114.602</v>
      </c>
      <c r="D487" s="143">
        <v>76.400000000000006</v>
      </c>
      <c r="E487" s="144">
        <f t="shared" si="28"/>
        <v>8755.5928000000004</v>
      </c>
      <c r="F487" s="145">
        <f t="shared" si="31"/>
        <v>5.6631501858170721E-4</v>
      </c>
      <c r="G487" s="146">
        <v>1.0995E-2</v>
      </c>
      <c r="H487" s="146">
        <v>0.14349999999999999</v>
      </c>
      <c r="I487" s="147">
        <f t="shared" si="29"/>
        <v>6.2266336293058701E-6</v>
      </c>
      <c r="J487" s="147">
        <f t="shared" si="30"/>
        <v>8.1266205166474973E-5</v>
      </c>
    </row>
    <row r="488" spans="1:10" x14ac:dyDescent="0.25">
      <c r="A488" s="6" t="s">
        <v>437</v>
      </c>
      <c r="B488" s="7" t="s">
        <v>1049</v>
      </c>
      <c r="C488" s="142">
        <v>158.499</v>
      </c>
      <c r="D488" s="143">
        <v>76.63</v>
      </c>
      <c r="E488" s="144">
        <f t="shared" si="28"/>
        <v>12145.778369999998</v>
      </c>
      <c r="F488" s="145">
        <f t="shared" si="31"/>
        <v>7.8559348983153331E-4</v>
      </c>
      <c r="G488" s="146">
        <v>1.5656E-2</v>
      </c>
      <c r="H488" s="146">
        <v>5.4800000000000001E-2</v>
      </c>
      <c r="I488" s="147">
        <f t="shared" si="29"/>
        <v>1.2299251676802485E-5</v>
      </c>
      <c r="J488" s="147">
        <f t="shared" si="30"/>
        <v>4.3050523242768025E-5</v>
      </c>
    </row>
    <row r="489" spans="1:10" x14ac:dyDescent="0.25">
      <c r="A489" s="6" t="s">
        <v>468</v>
      </c>
      <c r="B489" s="7" t="s">
        <v>854</v>
      </c>
      <c r="C489" s="142">
        <v>73.912999999999997</v>
      </c>
      <c r="D489" s="143">
        <v>195.48</v>
      </c>
      <c r="E489" s="144">
        <f t="shared" si="28"/>
        <v>14448.513239999998</v>
      </c>
      <c r="F489" s="145">
        <f t="shared" si="31"/>
        <v>0</v>
      </c>
      <c r="G489" s="146" t="s">
        <v>1109</v>
      </c>
      <c r="H489" s="146">
        <v>0.12050000000000001</v>
      </c>
      <c r="I489" s="147" t="str">
        <f t="shared" si="29"/>
        <v>n/a</v>
      </c>
      <c r="J489" s="147">
        <f t="shared" si="30"/>
        <v>0</v>
      </c>
    </row>
    <row r="490" spans="1:10" x14ac:dyDescent="0.25">
      <c r="A490" s="6" t="s">
        <v>506</v>
      </c>
      <c r="B490" s="7" t="s">
        <v>880</v>
      </c>
      <c r="C490" s="142">
        <v>180.25399999999999</v>
      </c>
      <c r="D490" s="143">
        <v>55.94</v>
      </c>
      <c r="E490" s="144">
        <f t="shared" si="28"/>
        <v>10083.408759999998</v>
      </c>
      <c r="F490" s="145">
        <f t="shared" si="31"/>
        <v>6.5219865173336388E-4</v>
      </c>
      <c r="G490" s="146">
        <v>2.2877999999999999E-2</v>
      </c>
      <c r="H490" s="146">
        <v>0.14924999999999999</v>
      </c>
      <c r="I490" s="147">
        <f t="shared" si="29"/>
        <v>1.4921000754355898E-5</v>
      </c>
      <c r="J490" s="147">
        <f t="shared" si="30"/>
        <v>9.7340648771204551E-5</v>
      </c>
    </row>
    <row r="491" spans="1:10" x14ac:dyDescent="0.25">
      <c r="A491" s="6" t="s">
        <v>610</v>
      </c>
      <c r="B491" s="7" t="s">
        <v>1088</v>
      </c>
      <c r="C491" s="142">
        <v>244.65600000000001</v>
      </c>
      <c r="D491" s="143">
        <v>124.735</v>
      </c>
      <c r="E491" s="144">
        <f t="shared" si="28"/>
        <v>30517.166160000001</v>
      </c>
      <c r="F491" s="145">
        <f t="shared" si="31"/>
        <v>0</v>
      </c>
      <c r="G491" s="146" t="s">
        <v>1109</v>
      </c>
      <c r="H491" s="146">
        <v>0.29994999999999999</v>
      </c>
      <c r="I491" s="147" t="str">
        <f t="shared" si="29"/>
        <v>n/a</v>
      </c>
      <c r="J491" s="147">
        <f t="shared" si="30"/>
        <v>0</v>
      </c>
    </row>
    <row r="492" spans="1:10" x14ac:dyDescent="0.25">
      <c r="A492" s="6" t="s">
        <v>357</v>
      </c>
      <c r="B492" s="7" t="s">
        <v>1028</v>
      </c>
      <c r="C492" s="142">
        <v>2259.7370000000001</v>
      </c>
      <c r="D492" s="143">
        <v>102</v>
      </c>
      <c r="E492" s="144">
        <f t="shared" si="28"/>
        <v>230493.174</v>
      </c>
      <c r="F492" s="145">
        <f t="shared" si="31"/>
        <v>0</v>
      </c>
      <c r="G492" s="146" t="s">
        <v>1109</v>
      </c>
      <c r="H492" s="146">
        <v>0.24295999999999998</v>
      </c>
      <c r="I492" s="147" t="str">
        <f t="shared" si="29"/>
        <v>n/a</v>
      </c>
      <c r="J492" s="147">
        <f t="shared" si="30"/>
        <v>0</v>
      </c>
    </row>
    <row r="493" spans="1:10" x14ac:dyDescent="0.25">
      <c r="A493" s="6" t="s">
        <v>1114</v>
      </c>
      <c r="B493" s="7" t="s">
        <v>1117</v>
      </c>
      <c r="C493" s="142">
        <v>92.828000000000003</v>
      </c>
      <c r="D493" s="143">
        <v>74.89</v>
      </c>
      <c r="E493" s="144">
        <f t="shared" si="28"/>
        <v>6951.8889200000003</v>
      </c>
      <c r="F493" s="145">
        <f t="shared" si="31"/>
        <v>0</v>
      </c>
      <c r="G493" s="146" t="s">
        <v>1109</v>
      </c>
      <c r="H493" s="146">
        <v>0.12643000000000001</v>
      </c>
      <c r="I493" s="147" t="str">
        <f t="shared" si="29"/>
        <v>n/a</v>
      </c>
      <c r="J493" s="147">
        <f t="shared" si="30"/>
        <v>0</v>
      </c>
    </row>
    <row r="494" spans="1:10" x14ac:dyDescent="0.25">
      <c r="A494" s="6" t="s">
        <v>1263</v>
      </c>
      <c r="B494" s="7" t="s">
        <v>1264</v>
      </c>
      <c r="C494" s="142">
        <v>382.00099999999998</v>
      </c>
      <c r="D494" s="143">
        <v>60.365000000000002</v>
      </c>
      <c r="E494" s="144">
        <f t="shared" si="28"/>
        <v>23059.490364999998</v>
      </c>
      <c r="F494" s="145">
        <f t="shared" si="31"/>
        <v>0</v>
      </c>
      <c r="G494" s="146" t="s">
        <v>1109</v>
      </c>
      <c r="H494" s="146">
        <v>0.16914999999999999</v>
      </c>
      <c r="I494" s="147" t="str">
        <f t="shared" si="29"/>
        <v>n/a</v>
      </c>
      <c r="J494" s="147">
        <f t="shared" si="30"/>
        <v>0</v>
      </c>
    </row>
    <row r="495" spans="1:10" x14ac:dyDescent="0.25">
      <c r="A495" s="6" t="s">
        <v>1227</v>
      </c>
      <c r="B495" s="7" t="s">
        <v>1228</v>
      </c>
      <c r="C495" s="142">
        <v>676.96900000000005</v>
      </c>
      <c r="D495" s="143">
        <v>34.47</v>
      </c>
      <c r="E495" s="144">
        <f t="shared" si="28"/>
        <v>23335.121429999999</v>
      </c>
      <c r="F495" s="145">
        <f t="shared" si="31"/>
        <v>0</v>
      </c>
      <c r="G495" s="146">
        <v>8.123E-3</v>
      </c>
      <c r="H495" s="146">
        <v>-5.5E-2</v>
      </c>
      <c r="I495" s="147">
        <f t="shared" si="29"/>
        <v>0</v>
      </c>
      <c r="J495" s="147">
        <f t="shared" si="30"/>
        <v>0</v>
      </c>
    </row>
    <row r="496" spans="1:10" x14ac:dyDescent="0.25">
      <c r="A496" s="6" t="s">
        <v>315</v>
      </c>
      <c r="B496" s="7" t="s">
        <v>734</v>
      </c>
      <c r="C496" s="142">
        <v>786.47400000000005</v>
      </c>
      <c r="D496" s="143">
        <v>50.884999999999998</v>
      </c>
      <c r="E496" s="144">
        <f t="shared" si="28"/>
        <v>40019.729489999998</v>
      </c>
      <c r="F496" s="145">
        <f t="shared" si="31"/>
        <v>2.5884910784983338E-3</v>
      </c>
      <c r="G496" s="146">
        <v>1.0615000000000001E-2</v>
      </c>
      <c r="H496" s="148">
        <v>0.21879999999999999</v>
      </c>
      <c r="I496" s="147">
        <f t="shared" si="29"/>
        <v>2.7476832798259816E-5</v>
      </c>
      <c r="J496" s="147">
        <f t="shared" si="30"/>
        <v>5.6636184797543546E-4</v>
      </c>
    </row>
    <row r="497" spans="1:10" x14ac:dyDescent="0.25">
      <c r="A497" s="6" t="s">
        <v>479</v>
      </c>
      <c r="B497" s="7" t="s">
        <v>1059</v>
      </c>
      <c r="C497" s="142">
        <v>374.03300000000002</v>
      </c>
      <c r="D497" s="143">
        <v>13.19</v>
      </c>
      <c r="E497" s="144">
        <f t="shared" si="28"/>
        <v>4933.4952700000003</v>
      </c>
      <c r="F497" s="145">
        <f t="shared" si="31"/>
        <v>0</v>
      </c>
      <c r="G497" s="146">
        <v>4.8521999999999996E-2</v>
      </c>
      <c r="H497" s="146" t="s">
        <v>1109</v>
      </c>
      <c r="I497" s="147">
        <f t="shared" si="29"/>
        <v>0</v>
      </c>
      <c r="J497" s="147" t="str">
        <f t="shared" si="30"/>
        <v>n/a</v>
      </c>
    </row>
    <row r="498" spans="1:10" x14ac:dyDescent="0.25">
      <c r="A498" s="6" t="s">
        <v>1104</v>
      </c>
      <c r="B498" s="7" t="s">
        <v>1105</v>
      </c>
      <c r="C498" s="142">
        <v>117.343</v>
      </c>
      <c r="D498" s="143">
        <v>65.66</v>
      </c>
      <c r="E498" s="144">
        <f t="shared" si="28"/>
        <v>7704.7413799999995</v>
      </c>
      <c r="F498" s="145">
        <f t="shared" si="31"/>
        <v>0</v>
      </c>
      <c r="G498" s="146" t="s">
        <v>1109</v>
      </c>
      <c r="H498" s="146">
        <v>0.14053000000000002</v>
      </c>
      <c r="I498" s="147" t="str">
        <f t="shared" si="29"/>
        <v>n/a</v>
      </c>
      <c r="J498" s="147">
        <f t="shared" si="30"/>
        <v>0</v>
      </c>
    </row>
    <row r="499" spans="1:10" x14ac:dyDescent="0.25">
      <c r="A499" s="6" t="s">
        <v>485</v>
      </c>
      <c r="B499" s="7" t="s">
        <v>1265</v>
      </c>
      <c r="C499" s="142">
        <v>199.63</v>
      </c>
      <c r="D499" s="143">
        <v>15.49</v>
      </c>
      <c r="E499" s="144">
        <f t="shared" si="28"/>
        <v>3092.2687000000001</v>
      </c>
      <c r="F499" s="145">
        <f t="shared" si="31"/>
        <v>2.0000909661994923E-4</v>
      </c>
      <c r="G499" s="146">
        <v>1.2912E-2</v>
      </c>
      <c r="H499" s="146">
        <v>0.13952999999999999</v>
      </c>
      <c r="I499" s="147">
        <f t="shared" si="29"/>
        <v>2.5825174555567846E-6</v>
      </c>
      <c r="J499" s="147">
        <f t="shared" si="30"/>
        <v>2.7907269251381515E-5</v>
      </c>
    </row>
    <row r="500" spans="1:10" x14ac:dyDescent="0.25">
      <c r="A500" s="6" t="s">
        <v>426</v>
      </c>
      <c r="B500" s="7" t="s">
        <v>1047</v>
      </c>
      <c r="C500" s="142">
        <v>154.05799999999999</v>
      </c>
      <c r="D500" s="143">
        <v>50.76</v>
      </c>
      <c r="E500" s="144">
        <f t="shared" si="28"/>
        <v>7819.9840799999993</v>
      </c>
      <c r="F500" s="145">
        <f t="shared" si="31"/>
        <v>5.0579949647428261E-4</v>
      </c>
      <c r="G500" s="146">
        <v>2.2650999999999998E-2</v>
      </c>
      <c r="H500" s="146">
        <v>0.16399999999999998</v>
      </c>
      <c r="I500" s="147">
        <f t="shared" si="29"/>
        <v>1.1456864394638974E-5</v>
      </c>
      <c r="J500" s="147">
        <f t="shared" si="30"/>
        <v>8.2951117421782339E-5</v>
      </c>
    </row>
    <row r="501" spans="1:10" x14ac:dyDescent="0.25">
      <c r="A501" s="6" t="s">
        <v>449</v>
      </c>
      <c r="B501" s="7" t="s">
        <v>838</v>
      </c>
      <c r="C501" s="142">
        <v>158.321</v>
      </c>
      <c r="D501" s="143">
        <v>84.76</v>
      </c>
      <c r="E501" s="144">
        <f t="shared" si="28"/>
        <v>13419.287960000001</v>
      </c>
      <c r="F501" s="145">
        <f t="shared" si="31"/>
        <v>8.6796456665055063E-4</v>
      </c>
      <c r="G501" s="146">
        <v>3.2091000000000001E-2</v>
      </c>
      <c r="H501" s="146">
        <v>7.3150000000000007E-2</v>
      </c>
      <c r="I501" s="147">
        <f t="shared" si="29"/>
        <v>2.7853850908382823E-5</v>
      </c>
      <c r="J501" s="147">
        <f t="shared" si="30"/>
        <v>6.3491608050487787E-5</v>
      </c>
    </row>
    <row r="502" spans="1:10" x14ac:dyDescent="0.25">
      <c r="A502" s="6" t="s">
        <v>1106</v>
      </c>
      <c r="B502" s="7" t="s">
        <v>1107</v>
      </c>
      <c r="C502" s="142">
        <v>67.001000000000005</v>
      </c>
      <c r="D502" s="143">
        <v>155.19</v>
      </c>
      <c r="E502" s="144">
        <f t="shared" si="28"/>
        <v>10397.885190000001</v>
      </c>
      <c r="F502" s="145">
        <f t="shared" si="31"/>
        <v>6.7253910490050527E-4</v>
      </c>
      <c r="G502" s="146">
        <v>1.031E-2</v>
      </c>
      <c r="H502" s="146">
        <v>0.24057999999999999</v>
      </c>
      <c r="I502" s="147">
        <f t="shared" si="29"/>
        <v>6.9338781715242087E-6</v>
      </c>
      <c r="J502" s="147">
        <f t="shared" si="30"/>
        <v>1.6179945785696354E-4</v>
      </c>
    </row>
    <row r="503" spans="1:10" x14ac:dyDescent="0.25">
      <c r="A503" s="6" t="s">
        <v>1229</v>
      </c>
      <c r="B503" s="7" t="s">
        <v>1230</v>
      </c>
      <c r="C503" s="142">
        <v>1221.69</v>
      </c>
      <c r="D503" s="143">
        <v>36.020000000000003</v>
      </c>
      <c r="E503" s="144">
        <f t="shared" si="28"/>
        <v>44005.273800000003</v>
      </c>
      <c r="F503" s="145">
        <f t="shared" si="31"/>
        <v>0</v>
      </c>
      <c r="G503" s="146" t="s">
        <v>1109</v>
      </c>
      <c r="H503" s="148">
        <v>0.15714</v>
      </c>
      <c r="I503" s="147" t="str">
        <f t="shared" si="29"/>
        <v>n/a</v>
      </c>
      <c r="J503" s="147">
        <f t="shared" si="30"/>
        <v>0</v>
      </c>
    </row>
    <row r="504" spans="1:10" x14ac:dyDescent="0.25">
      <c r="A504" s="6" t="s">
        <v>207</v>
      </c>
      <c r="B504" s="7" t="s">
        <v>994</v>
      </c>
      <c r="C504" s="142">
        <v>226.155</v>
      </c>
      <c r="D504" s="143">
        <v>176.06</v>
      </c>
      <c r="E504" s="144">
        <f t="shared" si="28"/>
        <v>39816.849300000002</v>
      </c>
      <c r="F504" s="145">
        <f t="shared" si="31"/>
        <v>0</v>
      </c>
      <c r="G504" s="146" t="s">
        <v>1109</v>
      </c>
      <c r="H504" s="146">
        <v>0.21731999999999999</v>
      </c>
      <c r="I504" s="147" t="str">
        <f t="shared" si="29"/>
        <v>n/a</v>
      </c>
      <c r="J504" s="147">
        <f t="shared" si="30"/>
        <v>0</v>
      </c>
    </row>
    <row r="505" spans="1:10" x14ac:dyDescent="0.25">
      <c r="A505" s="6" t="s">
        <v>1231</v>
      </c>
      <c r="B505" s="7" t="s">
        <v>1232</v>
      </c>
      <c r="C505" s="142">
        <v>317.61500000000001</v>
      </c>
      <c r="D505" s="143">
        <v>20.78</v>
      </c>
      <c r="E505" s="144">
        <f t="shared" si="28"/>
        <v>6600.0397000000003</v>
      </c>
      <c r="F505" s="145">
        <f t="shared" si="31"/>
        <v>4.2689303748176885E-4</v>
      </c>
      <c r="G505" s="146">
        <v>2.4062E-2</v>
      </c>
      <c r="H505" s="146">
        <v>0.36</v>
      </c>
      <c r="I505" s="147">
        <f t="shared" si="29"/>
        <v>1.0271900267886322E-5</v>
      </c>
      <c r="J505" s="147">
        <f t="shared" si="30"/>
        <v>1.5368149349343678E-4</v>
      </c>
    </row>
    <row r="506" spans="1:10" x14ac:dyDescent="0.25">
      <c r="A506" s="6" t="s">
        <v>1148</v>
      </c>
      <c r="B506" s="7" t="s">
        <v>1149</v>
      </c>
      <c r="C506" s="142">
        <v>226.398</v>
      </c>
      <c r="D506" s="143">
        <v>59.95</v>
      </c>
      <c r="E506" s="144">
        <f t="shared" si="28"/>
        <v>13572.560100000001</v>
      </c>
      <c r="F506" s="145">
        <f t="shared" si="31"/>
        <v>0</v>
      </c>
      <c r="G506" s="146" t="s">
        <v>1109</v>
      </c>
      <c r="H506" s="146">
        <v>9.8670000000000008E-2</v>
      </c>
      <c r="I506" s="147" t="str">
        <f t="shared" si="29"/>
        <v>n/a</v>
      </c>
      <c r="J506" s="147">
        <f t="shared" si="30"/>
        <v>0</v>
      </c>
    </row>
    <row r="507" spans="1:10" x14ac:dyDescent="0.25">
      <c r="A507" s="6" t="s">
        <v>485</v>
      </c>
      <c r="B507" s="7" t="s">
        <v>1062</v>
      </c>
      <c r="C507" s="142">
        <v>381.59300000000002</v>
      </c>
      <c r="D507" s="143">
        <v>15.41</v>
      </c>
      <c r="E507" s="144">
        <f t="shared" si="28"/>
        <v>5880.3481300000003</v>
      </c>
      <c r="F507" s="145">
        <f t="shared" si="31"/>
        <v>3.8034311743093596E-4</v>
      </c>
      <c r="G507" s="146">
        <v>1.2979000000000001E-2</v>
      </c>
      <c r="H507" s="146">
        <v>0.13952999999999999</v>
      </c>
      <c r="I507" s="147">
        <f t="shared" si="29"/>
        <v>4.9364733211361184E-6</v>
      </c>
      <c r="J507" s="147">
        <f t="shared" si="30"/>
        <v>5.306927517513849E-5</v>
      </c>
    </row>
    <row r="508" spans="1:10" x14ac:dyDescent="0.25">
      <c r="A508" s="6" t="s">
        <v>307</v>
      </c>
      <c r="B508" s="7" t="s">
        <v>725</v>
      </c>
      <c r="C508" s="142">
        <v>333.762</v>
      </c>
      <c r="D508" s="143">
        <v>85.47</v>
      </c>
      <c r="E508" s="144">
        <f t="shared" si="28"/>
        <v>28526.638139999999</v>
      </c>
      <c r="F508" s="145">
        <f t="shared" si="31"/>
        <v>1.845113629351029E-3</v>
      </c>
      <c r="G508" s="146">
        <v>4.1417999999999996E-2</v>
      </c>
      <c r="H508" s="146">
        <v>0.22800000000000001</v>
      </c>
      <c r="I508" s="147">
        <f t="shared" si="29"/>
        <v>7.6420916300460912E-5</v>
      </c>
      <c r="J508" s="147">
        <f t="shared" si="30"/>
        <v>4.206859074920346E-4</v>
      </c>
    </row>
    <row r="509" spans="1:10" x14ac:dyDescent="0.25">
      <c r="A509" s="6" t="s">
        <v>314</v>
      </c>
      <c r="B509" s="7" t="s">
        <v>733</v>
      </c>
      <c r="C509" s="142">
        <v>280.08800000000002</v>
      </c>
      <c r="D509" s="143">
        <v>83.22</v>
      </c>
      <c r="E509" s="144">
        <f t="shared" si="28"/>
        <v>23308.923360000001</v>
      </c>
      <c r="F509" s="145">
        <f t="shared" si="31"/>
        <v>1.5076298849505643E-3</v>
      </c>
      <c r="G509" s="146">
        <v>1.2016000000000001E-2</v>
      </c>
      <c r="H509" s="146">
        <v>0.1061</v>
      </c>
      <c r="I509" s="147">
        <f t="shared" si="29"/>
        <v>1.8115680697565983E-5</v>
      </c>
      <c r="J509" s="147">
        <f t="shared" si="30"/>
        <v>1.5995953079325488E-4</v>
      </c>
    </row>
    <row r="510" spans="1:10" x14ac:dyDescent="0.25">
      <c r="A510" s="6" t="s">
        <v>1233</v>
      </c>
      <c r="B510" s="7" t="s">
        <v>1234</v>
      </c>
      <c r="C510" s="142">
        <v>73.216999999999999</v>
      </c>
      <c r="D510" s="143">
        <v>198.51</v>
      </c>
      <c r="E510" s="144">
        <f t="shared" si="28"/>
        <v>14534.30667</v>
      </c>
      <c r="F510" s="145">
        <f t="shared" si="31"/>
        <v>9.4008439404505895E-4</v>
      </c>
      <c r="G510" s="146">
        <v>1.209E-3</v>
      </c>
      <c r="H510" s="146">
        <v>0.13806000000000002</v>
      </c>
      <c r="I510" s="147">
        <f t="shared" si="29"/>
        <v>1.1365620324004763E-6</v>
      </c>
      <c r="J510" s="147">
        <f t="shared" si="30"/>
        <v>1.2978805144186085E-4</v>
      </c>
    </row>
    <row r="511" spans="1:10" x14ac:dyDescent="0.25">
      <c r="A511" s="6" t="s">
        <v>464</v>
      </c>
      <c r="B511" s="7" t="s">
        <v>853</v>
      </c>
      <c r="C511" s="142">
        <v>193.422</v>
      </c>
      <c r="D511" s="143">
        <v>38.658999999999999</v>
      </c>
      <c r="E511" s="144">
        <f t="shared" si="28"/>
        <v>7477.5010979999997</v>
      </c>
      <c r="F511" s="145">
        <f t="shared" si="31"/>
        <v>0</v>
      </c>
      <c r="G511" s="146" t="s">
        <v>1109</v>
      </c>
      <c r="H511" s="146">
        <v>7.775E-2</v>
      </c>
      <c r="I511" s="147" t="str">
        <f t="shared" si="29"/>
        <v>n/a</v>
      </c>
      <c r="J511" s="147">
        <f t="shared" si="30"/>
        <v>0</v>
      </c>
    </row>
    <row r="512" spans="1:10" x14ac:dyDescent="0.25">
      <c r="A512" s="6" t="s">
        <v>209</v>
      </c>
      <c r="B512" s="7" t="s">
        <v>651</v>
      </c>
      <c r="C512" s="142">
        <v>61.433</v>
      </c>
      <c r="D512" s="143">
        <v>297.31</v>
      </c>
      <c r="E512" s="144">
        <f t="shared" si="28"/>
        <v>18264.645230000002</v>
      </c>
      <c r="F512" s="145">
        <f t="shared" si="31"/>
        <v>0</v>
      </c>
      <c r="G512" s="146" t="s">
        <v>1109</v>
      </c>
      <c r="H512" s="146">
        <v>0.14499999999999999</v>
      </c>
      <c r="I512" s="147" t="str">
        <f t="shared" si="29"/>
        <v>n/a</v>
      </c>
      <c r="J512" s="147">
        <f t="shared" si="30"/>
        <v>0</v>
      </c>
    </row>
    <row r="513" spans="1:10" x14ac:dyDescent="0.25">
      <c r="A513" s="6" t="s">
        <v>1249</v>
      </c>
      <c r="B513" s="7" t="s">
        <v>865</v>
      </c>
      <c r="C513" s="142">
        <v>364.05799999999999</v>
      </c>
      <c r="D513" s="143">
        <v>47.5</v>
      </c>
      <c r="E513" s="144">
        <f t="shared" si="28"/>
        <v>17292.755000000001</v>
      </c>
      <c r="F513" s="145">
        <f t="shared" si="31"/>
        <v>1.1185018642203086E-3</v>
      </c>
      <c r="G513" s="146">
        <v>2.3578999999999999E-2</v>
      </c>
      <c r="H513" s="146">
        <v>0.12333</v>
      </c>
      <c r="I513" s="147">
        <f t="shared" si="29"/>
        <v>2.6373155456450657E-5</v>
      </c>
      <c r="J513" s="147">
        <f t="shared" si="30"/>
        <v>1.3794483491429065E-4</v>
      </c>
    </row>
    <row r="514" spans="1:10" x14ac:dyDescent="0.25">
      <c r="A514" s="6" t="s">
        <v>376</v>
      </c>
      <c r="B514" s="7" t="s">
        <v>1036</v>
      </c>
      <c r="C514" s="142">
        <v>190.34200000000001</v>
      </c>
      <c r="D514" s="143">
        <v>35.465000000000003</v>
      </c>
      <c r="E514" s="144">
        <f t="shared" si="28"/>
        <v>6750.4790300000013</v>
      </c>
      <c r="F514" s="145">
        <f t="shared" si="31"/>
        <v>4.3662350963944731E-4</v>
      </c>
      <c r="G514" s="146">
        <v>5.7521000000000003E-2</v>
      </c>
      <c r="H514" s="146">
        <v>8.8000000000000009E-2</v>
      </c>
      <c r="I514" s="147">
        <f t="shared" si="29"/>
        <v>2.511502089797065E-5</v>
      </c>
      <c r="J514" s="147">
        <f t="shared" si="30"/>
        <v>3.8422868848271371E-5</v>
      </c>
    </row>
    <row r="515" spans="1:10" x14ac:dyDescent="0.25">
      <c r="A515" s="6" t="s">
        <v>1098</v>
      </c>
      <c r="B515" s="7" t="s">
        <v>1099</v>
      </c>
      <c r="C515" s="142">
        <v>94.456000000000003</v>
      </c>
      <c r="D515" s="143">
        <v>118.06</v>
      </c>
      <c r="E515" s="144">
        <f t="shared" si="28"/>
        <v>11151.47536</v>
      </c>
      <c r="F515" s="145">
        <f t="shared" si="31"/>
        <v>0</v>
      </c>
      <c r="G515" s="146">
        <v>5.4210000000000005E-3</v>
      </c>
      <c r="H515" s="146">
        <v>-2.7650000000000001E-2</v>
      </c>
      <c r="I515" s="147">
        <f t="shared" si="29"/>
        <v>0</v>
      </c>
      <c r="J515" s="147">
        <f t="shared" si="30"/>
        <v>0</v>
      </c>
    </row>
    <row r="516" spans="1:10" x14ac:dyDescent="0.25">
      <c r="A516" s="6" t="s">
        <v>638</v>
      </c>
      <c r="B516" s="7" t="s">
        <v>991</v>
      </c>
      <c r="C516" s="6">
        <v>498.94400000000002</v>
      </c>
      <c r="D516" s="6">
        <v>43.02</v>
      </c>
      <c r="E516" s="144">
        <f t="shared" ref="E516:E518" si="32">C516*D516</f>
        <v>21464.570880000003</v>
      </c>
      <c r="F516" s="145">
        <f t="shared" si="31"/>
        <v>1.3883364764011837E-3</v>
      </c>
      <c r="G516" s="146">
        <v>7.7210000000000004E-3</v>
      </c>
      <c r="H516" s="146">
        <v>0.125</v>
      </c>
      <c r="I516" s="147">
        <f t="shared" ref="I516:I518" si="33">IF(G516="n/a","n/a",$F516*G516)</f>
        <v>1.071934593429354E-5</v>
      </c>
      <c r="J516" s="147">
        <f t="shared" ref="J516:J518" si="34">IF(H516="n/a","n/a",$F516*H516)</f>
        <v>1.7354205955014796E-4</v>
      </c>
    </row>
    <row r="517" spans="1:10" x14ac:dyDescent="0.25">
      <c r="A517" s="6" t="s">
        <v>1150</v>
      </c>
      <c r="B517" s="7" t="s">
        <v>1151</v>
      </c>
      <c r="C517" s="6">
        <v>57.286000000000001</v>
      </c>
      <c r="D517" s="6">
        <v>296.8</v>
      </c>
      <c r="E517" s="144">
        <f t="shared" si="32"/>
        <v>17002.484800000002</v>
      </c>
      <c r="F517" s="145">
        <f t="shared" si="31"/>
        <v>1.0997270790673586E-3</v>
      </c>
      <c r="G517" s="146">
        <v>2.2772000000000001E-2</v>
      </c>
      <c r="H517" s="146">
        <v>0.40647</v>
      </c>
      <c r="I517" s="147">
        <f t="shared" si="33"/>
        <v>2.5042985044521891E-5</v>
      </c>
      <c r="J517" s="147">
        <f t="shared" si="34"/>
        <v>4.4700606582850921E-4</v>
      </c>
    </row>
    <row r="518" spans="1:10" x14ac:dyDescent="0.25">
      <c r="A518" s="6" t="s">
        <v>320</v>
      </c>
      <c r="B518" s="7" t="s">
        <v>1102</v>
      </c>
      <c r="C518" s="6">
        <v>274.28399999999999</v>
      </c>
      <c r="D518" s="6">
        <v>27.53</v>
      </c>
      <c r="E518" s="144">
        <f t="shared" si="32"/>
        <v>7551.0385200000001</v>
      </c>
      <c r="F518" s="145">
        <f t="shared" si="31"/>
        <v>0</v>
      </c>
      <c r="G518" s="146" t="s">
        <v>1109</v>
      </c>
      <c r="H518" s="146">
        <v>0.10349999999999999</v>
      </c>
      <c r="I518" s="147" t="str">
        <f t="shared" si="33"/>
        <v>n/a</v>
      </c>
      <c r="J518" s="147">
        <f t="shared" si="34"/>
        <v>0</v>
      </c>
    </row>
    <row r="521" spans="1:10" x14ac:dyDescent="0.25">
      <c r="A521" s="2" t="s">
        <v>1152</v>
      </c>
      <c r="G521" s="14">
        <f>AVERAGEIFS(G$14:G$518,$G$14:$G$518,"&lt;&gt;n/a",$H$14:$H$518,"&lt;&gt;n/a",$H$14:$H$518,"&gt;=0")</f>
        <v>2.3445406015037595E-2</v>
      </c>
      <c r="H521" s="14">
        <f>AVERAGEIFS(H$14:H$518,$G$14:$G$518,"&lt;&gt;n/a",$H$14:$H$518,"&lt;&gt;n/a",$H$14:$H$518,"&gt;=0")</f>
        <v>0.1001761904761906</v>
      </c>
      <c r="I521" s="14" t="s">
        <v>1162</v>
      </c>
      <c r="J521" s="14" t="s">
        <v>1162</v>
      </c>
    </row>
    <row r="523" spans="1:10" x14ac:dyDescent="0.25">
      <c r="A523" s="112" t="s">
        <v>104</v>
      </c>
    </row>
    <row r="524" spans="1:10" x14ac:dyDescent="0.25">
      <c r="A524" s="131" t="s">
        <v>159</v>
      </c>
    </row>
    <row r="525" spans="1:10" x14ac:dyDescent="0.25">
      <c r="A525" s="131" t="s">
        <v>158</v>
      </c>
    </row>
    <row r="526" spans="1:10" x14ac:dyDescent="0.25">
      <c r="A526" s="131" t="s">
        <v>157</v>
      </c>
    </row>
    <row r="527" spans="1:10" x14ac:dyDescent="0.25">
      <c r="A527" s="131" t="s">
        <v>156</v>
      </c>
    </row>
    <row r="528" spans="1:10" x14ac:dyDescent="0.25">
      <c r="A528" s="131" t="s">
        <v>180</v>
      </c>
    </row>
    <row r="529" spans="1:1" x14ac:dyDescent="0.25">
      <c r="A529" s="131" t="s">
        <v>181</v>
      </c>
    </row>
    <row r="530" spans="1:1" x14ac:dyDescent="0.25">
      <c r="A530" s="131" t="s">
        <v>155</v>
      </c>
    </row>
    <row r="531" spans="1:1" x14ac:dyDescent="0.25">
      <c r="A531" s="131" t="s">
        <v>184</v>
      </c>
    </row>
    <row r="532" spans="1:1" x14ac:dyDescent="0.25">
      <c r="A532" s="131" t="s">
        <v>182</v>
      </c>
    </row>
    <row r="533" spans="1:1" x14ac:dyDescent="0.25">
      <c r="A533" s="131" t="s">
        <v>183</v>
      </c>
    </row>
    <row r="534" spans="1:1" x14ac:dyDescent="0.25">
      <c r="A534" s="131" t="s">
        <v>154</v>
      </c>
    </row>
    <row r="535" spans="1:1" x14ac:dyDescent="0.25">
      <c r="A535" s="131" t="s">
        <v>153</v>
      </c>
    </row>
  </sheetData>
  <sortState ref="A14:J515">
    <sortCondition ref="A14:A515"/>
  </sortState>
  <printOptions horizontalCentered="1"/>
  <pageMargins left="0.7" right="0.7" top="1.25" bottom="0.75" header="0.3" footer="0.3"/>
  <pageSetup scale="48" fitToHeight="10" orientation="portrait" useFirstPageNumber="1" r:id="rId1"/>
  <headerFooter alignWithMargins="0">
    <oddHeader>&amp;R&amp;K000000Docket No. UG-15____
Cascade Natural Gas Corp.
Exhibit No.___(JSG-2)
Schedule 5
Page &amp;P of 8</oddHeader>
  </headerFooter>
  <rowBreaks count="1" manualBreakCount="1">
    <brk id="469" max="10"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G46"/>
  <sheetViews>
    <sheetView zoomScale="85" zoomScaleNormal="85" zoomScaleSheetLayoutView="100" workbookViewId="0">
      <selection activeCell="E7" sqref="E7"/>
    </sheetView>
  </sheetViews>
  <sheetFormatPr defaultColWidth="8" defaultRowHeight="12.75" x14ac:dyDescent="0.2"/>
  <cols>
    <col min="1" max="1" width="40.875" style="149" customWidth="1"/>
    <col min="2" max="2" width="8" style="149"/>
    <col min="3" max="4" width="12" style="149" customWidth="1"/>
    <col min="5" max="6" width="8.375" style="149" bestFit="1" customWidth="1"/>
    <col min="7" max="16384" width="8" style="149"/>
  </cols>
  <sheetData>
    <row r="1" spans="1:7" ht="20.25" x14ac:dyDescent="0.3">
      <c r="A1" s="24" t="s">
        <v>1290</v>
      </c>
      <c r="B1" s="98"/>
      <c r="C1" s="98"/>
      <c r="D1" s="98"/>
      <c r="E1" s="98"/>
      <c r="F1" s="98"/>
      <c r="G1" s="98"/>
    </row>
    <row r="2" spans="1:7" ht="18.75" x14ac:dyDescent="0.3">
      <c r="A2" s="138" t="s">
        <v>1241</v>
      </c>
      <c r="B2" s="98"/>
      <c r="C2" s="98"/>
      <c r="D2" s="98"/>
      <c r="E2" s="98"/>
      <c r="F2" s="98"/>
      <c r="G2" s="98"/>
    </row>
    <row r="3" spans="1:7" ht="18.75" x14ac:dyDescent="0.3">
      <c r="A3" s="138" t="s">
        <v>1268</v>
      </c>
      <c r="B3" s="98"/>
      <c r="C3" s="98"/>
      <c r="D3" s="98"/>
      <c r="E3" s="98"/>
      <c r="F3" s="98"/>
      <c r="G3" s="98"/>
    </row>
    <row r="5" spans="1:7" ht="16.5" thickBot="1" x14ac:dyDescent="0.3">
      <c r="A5" s="150"/>
      <c r="B5" s="150"/>
      <c r="C5" s="151"/>
    </row>
    <row r="6" spans="1:7" ht="25.5" customHeight="1" x14ac:dyDescent="0.25">
      <c r="A6" s="152"/>
      <c r="B6" s="152"/>
      <c r="C6" s="153" t="s">
        <v>1239</v>
      </c>
    </row>
    <row r="7" spans="1:7" ht="15.75" x14ac:dyDescent="0.25">
      <c r="A7" s="154"/>
      <c r="B7" s="154"/>
      <c r="C7" s="155"/>
    </row>
    <row r="8" spans="1:7" ht="15.75" x14ac:dyDescent="0.25">
      <c r="A8" s="156" t="s">
        <v>116</v>
      </c>
      <c r="B8" s="157" t="s">
        <v>149</v>
      </c>
      <c r="C8" s="158">
        <v>0.85</v>
      </c>
      <c r="D8" s="159"/>
      <c r="E8" s="159"/>
      <c r="F8" s="159"/>
    </row>
    <row r="9" spans="1:7" ht="15.75" x14ac:dyDescent="0.25">
      <c r="A9" s="156" t="s">
        <v>1154</v>
      </c>
      <c r="B9" s="157" t="s">
        <v>1120</v>
      </c>
      <c r="C9" s="160">
        <v>0.7</v>
      </c>
      <c r="D9" s="159"/>
      <c r="E9" s="159"/>
      <c r="F9" s="159"/>
    </row>
    <row r="10" spans="1:7" ht="15.75" x14ac:dyDescent="0.25">
      <c r="A10" s="156" t="s">
        <v>189</v>
      </c>
      <c r="B10" s="157" t="s">
        <v>21</v>
      </c>
      <c r="C10" s="160">
        <v>0.85</v>
      </c>
      <c r="D10" s="159"/>
      <c r="E10" s="159"/>
      <c r="F10" s="159"/>
    </row>
    <row r="11" spans="1:7" ht="15.75" x14ac:dyDescent="0.25">
      <c r="A11" s="156" t="s">
        <v>109</v>
      </c>
      <c r="B11" s="157" t="s">
        <v>10</v>
      </c>
      <c r="C11" s="160">
        <v>0.7</v>
      </c>
      <c r="D11" s="159"/>
      <c r="E11" s="159"/>
      <c r="F11" s="159"/>
    </row>
    <row r="12" spans="1:7" ht="15.75" x14ac:dyDescent="0.25">
      <c r="A12" s="156" t="s">
        <v>150</v>
      </c>
      <c r="B12" s="157" t="s">
        <v>151</v>
      </c>
      <c r="C12" s="160">
        <v>0.85</v>
      </c>
      <c r="D12" s="159"/>
      <c r="E12" s="159"/>
      <c r="F12" s="159"/>
    </row>
    <row r="13" spans="1:7" ht="15.75" x14ac:dyDescent="0.25">
      <c r="A13" s="156" t="s">
        <v>190</v>
      </c>
      <c r="B13" s="157" t="s">
        <v>24</v>
      </c>
      <c r="C13" s="160">
        <v>0.85</v>
      </c>
      <c r="D13" s="159"/>
      <c r="E13" s="159"/>
      <c r="F13" s="159"/>
    </row>
    <row r="14" spans="1:7" ht="15.75" x14ac:dyDescent="0.25">
      <c r="A14" s="156" t="s">
        <v>114</v>
      </c>
      <c r="B14" s="157" t="s">
        <v>148</v>
      </c>
      <c r="C14" s="160">
        <v>0.8</v>
      </c>
      <c r="D14" s="159"/>
      <c r="E14" s="159"/>
      <c r="F14" s="159"/>
    </row>
    <row r="15" spans="1:7" ht="15.75" x14ac:dyDescent="0.25">
      <c r="A15" s="161"/>
      <c r="B15" s="161"/>
      <c r="C15" s="161"/>
      <c r="D15" s="159"/>
      <c r="E15" s="159"/>
      <c r="F15" s="159"/>
    </row>
    <row r="16" spans="1:7" ht="16.5" thickBot="1" x14ac:dyDescent="0.3">
      <c r="A16" s="162" t="s">
        <v>1240</v>
      </c>
      <c r="B16" s="163"/>
      <c r="C16" s="163">
        <f>AVERAGE(C8:C14)</f>
        <v>0.79999999999999993</v>
      </c>
    </row>
    <row r="17" spans="1:3" ht="15.75" x14ac:dyDescent="0.25">
      <c r="A17" s="161"/>
      <c r="B17" s="161"/>
      <c r="C17" s="161"/>
    </row>
    <row r="18" spans="1:3" ht="15.75" x14ac:dyDescent="0.25">
      <c r="A18" s="164" t="s">
        <v>1267</v>
      </c>
      <c r="B18" s="161"/>
      <c r="C18" s="161"/>
    </row>
    <row r="19" spans="1:3" ht="15.75" x14ac:dyDescent="0.25">
      <c r="B19" s="161"/>
      <c r="C19" s="161"/>
    </row>
    <row r="46" spans="5:5" ht="15.75" x14ac:dyDescent="0.25">
      <c r="E46" s="164"/>
    </row>
  </sheetData>
  <printOptions horizontalCentered="1"/>
  <pageMargins left="0.7" right="0.7" top="1.25" bottom="0.75" header="0.3" footer="0.3"/>
  <pageSetup scale="90" orientation="portrait" useFirstPageNumber="1" r:id="rId1"/>
  <headerFooter alignWithMargins="0">
    <oddHeader xml:space="preserve">&amp;RDocket No. UG-15____
Cascade Natural Gas Corp.
Exhibit No.___(JSG-2)
Schedule 6&amp;K000000
Page &amp;P of 1
</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J39"/>
  <sheetViews>
    <sheetView zoomScale="70" zoomScaleNormal="70" zoomScaleSheetLayoutView="80" workbookViewId="0">
      <selection activeCell="G3" sqref="G3"/>
    </sheetView>
  </sheetViews>
  <sheetFormatPr defaultColWidth="9" defaultRowHeight="15.75" x14ac:dyDescent="0.25"/>
  <cols>
    <col min="1" max="1" width="38.5" style="99" customWidth="1"/>
    <col min="2" max="2" width="9" style="99"/>
    <col min="3" max="3" width="34.125" style="99" bestFit="1" customWidth="1"/>
    <col min="4" max="4" width="9.875" style="99" customWidth="1"/>
    <col min="5" max="7" width="12" style="99" customWidth="1"/>
    <col min="8" max="8" width="13.75" style="6" bestFit="1" customWidth="1"/>
    <col min="9" max="9" width="29.625" style="99" bestFit="1" customWidth="1"/>
    <col min="10" max="16384" width="9" style="99"/>
  </cols>
  <sheetData>
    <row r="1" spans="1:10" ht="20.25" x14ac:dyDescent="0.3">
      <c r="A1" s="202" t="s">
        <v>1288</v>
      </c>
      <c r="B1" s="202"/>
      <c r="C1" s="202"/>
      <c r="D1" s="202"/>
      <c r="E1" s="202"/>
      <c r="F1" s="202"/>
      <c r="G1" s="202"/>
    </row>
    <row r="2" spans="1:10" x14ac:dyDescent="0.25">
      <c r="E2" s="165"/>
      <c r="F2" s="166"/>
      <c r="H2" s="167"/>
    </row>
    <row r="3" spans="1:10" ht="18.75" x14ac:dyDescent="0.3">
      <c r="A3" s="25" t="s">
        <v>33</v>
      </c>
      <c r="B3" s="98"/>
      <c r="C3" s="98"/>
      <c r="D3" s="98"/>
      <c r="E3" s="168"/>
      <c r="F3" s="85"/>
      <c r="G3" s="98"/>
    </row>
    <row r="4" spans="1:10" ht="18.75" x14ac:dyDescent="0.3">
      <c r="A4" s="25" t="s">
        <v>1235</v>
      </c>
      <c r="B4" s="98"/>
      <c r="C4" s="98"/>
      <c r="D4" s="98"/>
      <c r="E4" s="85"/>
      <c r="F4" s="85"/>
      <c r="G4" s="98"/>
    </row>
    <row r="5" spans="1:10" ht="16.5" thickBot="1" x14ac:dyDescent="0.3"/>
    <row r="6" spans="1:10" x14ac:dyDescent="0.25">
      <c r="A6" s="169"/>
      <c r="B6" s="169"/>
      <c r="C6" s="169"/>
      <c r="D6" s="170"/>
      <c r="E6" s="170" t="s">
        <v>1236</v>
      </c>
      <c r="F6" s="170" t="s">
        <v>1169</v>
      </c>
      <c r="G6" s="170" t="s">
        <v>1170</v>
      </c>
      <c r="H6" s="171"/>
    </row>
    <row r="7" spans="1:10" x14ac:dyDescent="0.25">
      <c r="A7" s="172" t="s">
        <v>145</v>
      </c>
      <c r="B7" s="172" t="s">
        <v>146</v>
      </c>
      <c r="C7" s="172" t="s">
        <v>1171</v>
      </c>
      <c r="D7" s="172" t="s">
        <v>1172</v>
      </c>
      <c r="E7" s="172" t="s">
        <v>1237</v>
      </c>
      <c r="F7" s="172" t="s">
        <v>1173</v>
      </c>
      <c r="G7" s="172" t="s">
        <v>1174</v>
      </c>
      <c r="I7" s="173" t="s">
        <v>1175</v>
      </c>
      <c r="J7" s="173"/>
    </row>
    <row r="8" spans="1:10" s="6" customFormat="1" x14ac:dyDescent="0.25">
      <c r="E8" s="7" t="s">
        <v>1245</v>
      </c>
      <c r="J8" s="23"/>
    </row>
    <row r="9" spans="1:10" s="6" customFormat="1" x14ac:dyDescent="0.25">
      <c r="E9" s="7"/>
      <c r="J9" s="23"/>
    </row>
    <row r="10" spans="1:10" x14ac:dyDescent="0.25">
      <c r="A10" s="6" t="s">
        <v>116</v>
      </c>
      <c r="B10" s="7" t="s">
        <v>149</v>
      </c>
      <c r="C10" s="174" t="s">
        <v>116</v>
      </c>
      <c r="D10" s="175" t="s">
        <v>1182</v>
      </c>
      <c r="E10" s="175" t="s">
        <v>1179</v>
      </c>
      <c r="F10" s="176">
        <v>113006</v>
      </c>
      <c r="G10" s="177">
        <f t="shared" ref="G10:G31" si="0">F10/$F$33</f>
        <v>1.21558020004591E-2</v>
      </c>
      <c r="H10" s="167"/>
      <c r="I10" s="178" t="s">
        <v>1202</v>
      </c>
      <c r="J10" s="166"/>
    </row>
    <row r="11" spans="1:10" x14ac:dyDescent="0.25">
      <c r="A11" s="6" t="s">
        <v>1162</v>
      </c>
      <c r="B11" s="7" t="s">
        <v>1162</v>
      </c>
      <c r="C11" s="174" t="s">
        <v>116</v>
      </c>
      <c r="D11" s="179" t="s">
        <v>1183</v>
      </c>
      <c r="E11" s="175" t="s">
        <v>1179</v>
      </c>
      <c r="F11" s="176">
        <v>131426</v>
      </c>
      <c r="G11" s="177">
        <f t="shared" si="0"/>
        <v>1.4137200093024598E-2</v>
      </c>
      <c r="H11" s="167"/>
      <c r="I11" s="178" t="s">
        <v>1202</v>
      </c>
      <c r="J11" s="180"/>
    </row>
    <row r="12" spans="1:10" x14ac:dyDescent="0.25">
      <c r="A12" s="6" t="s">
        <v>1162</v>
      </c>
      <c r="B12" s="7" t="s">
        <v>1162</v>
      </c>
      <c r="C12" s="174" t="s">
        <v>116</v>
      </c>
      <c r="D12" s="179" t="s">
        <v>1184</v>
      </c>
      <c r="E12" s="175" t="s">
        <v>1179</v>
      </c>
      <c r="F12" s="176">
        <v>177811</v>
      </c>
      <c r="G12" s="177">
        <f t="shared" si="0"/>
        <v>1.9126730523190211E-2</v>
      </c>
      <c r="H12" s="167"/>
      <c r="I12" s="178" t="s">
        <v>1202</v>
      </c>
      <c r="J12" s="180"/>
    </row>
    <row r="13" spans="1:10" x14ac:dyDescent="0.25">
      <c r="A13" s="6" t="s">
        <v>1162</v>
      </c>
      <c r="B13" s="7" t="s">
        <v>1162</v>
      </c>
      <c r="C13" s="174" t="s">
        <v>116</v>
      </c>
      <c r="D13" s="179" t="s">
        <v>1185</v>
      </c>
      <c r="E13" s="175" t="s">
        <v>1176</v>
      </c>
      <c r="F13" s="176">
        <v>353079</v>
      </c>
      <c r="G13" s="177">
        <f t="shared" si="0"/>
        <v>3.7979916239138614E-2</v>
      </c>
      <c r="H13" s="167"/>
      <c r="I13" s="178" t="s">
        <v>1202</v>
      </c>
      <c r="J13" s="180"/>
    </row>
    <row r="14" spans="1:10" x14ac:dyDescent="0.25">
      <c r="A14" s="6" t="s">
        <v>1162</v>
      </c>
      <c r="B14" s="7" t="s">
        <v>1162</v>
      </c>
      <c r="C14" s="174" t="s">
        <v>116</v>
      </c>
      <c r="D14" s="179" t="s">
        <v>152</v>
      </c>
      <c r="E14" s="175" t="s">
        <v>1176</v>
      </c>
      <c r="F14" s="176">
        <v>265762</v>
      </c>
      <c r="G14" s="177">
        <f t="shared" si="0"/>
        <v>2.8587422360281854E-2</v>
      </c>
      <c r="H14" s="167"/>
      <c r="I14" s="178" t="s">
        <v>1202</v>
      </c>
      <c r="J14" s="180"/>
    </row>
    <row r="15" spans="1:10" x14ac:dyDescent="0.25">
      <c r="A15" s="6" t="s">
        <v>1162</v>
      </c>
      <c r="B15" s="7" t="s">
        <v>1162</v>
      </c>
      <c r="C15" s="174" t="s">
        <v>116</v>
      </c>
      <c r="D15" s="179" t="s">
        <v>1177</v>
      </c>
      <c r="E15" s="175" t="s">
        <v>1179</v>
      </c>
      <c r="F15" s="176">
        <v>137989</v>
      </c>
      <c r="G15" s="177">
        <f t="shared" si="0"/>
        <v>1.484316728528884E-2</v>
      </c>
      <c r="H15" s="181"/>
      <c r="I15" s="178" t="s">
        <v>1202</v>
      </c>
      <c r="J15" s="180"/>
    </row>
    <row r="16" spans="1:10" x14ac:dyDescent="0.25">
      <c r="A16" s="6" t="s">
        <v>1162</v>
      </c>
      <c r="B16" s="7" t="s">
        <v>1162</v>
      </c>
      <c r="C16" s="174" t="s">
        <v>1186</v>
      </c>
      <c r="D16" s="179" t="s">
        <v>1187</v>
      </c>
      <c r="E16" s="179" t="s">
        <v>1179</v>
      </c>
      <c r="F16" s="176">
        <v>1609920</v>
      </c>
      <c r="G16" s="177">
        <f t="shared" si="0"/>
        <v>0.1731754841033141</v>
      </c>
      <c r="H16" s="181"/>
      <c r="I16" s="178" t="s">
        <v>1202</v>
      </c>
      <c r="J16" s="180"/>
    </row>
    <row r="17" spans="1:10" x14ac:dyDescent="0.25">
      <c r="A17" s="6" t="s">
        <v>1162</v>
      </c>
      <c r="B17" s="7" t="s">
        <v>1162</v>
      </c>
      <c r="C17" s="174" t="s">
        <v>1188</v>
      </c>
      <c r="D17" s="179" t="s">
        <v>1187</v>
      </c>
      <c r="E17" s="179" t="s">
        <v>1179</v>
      </c>
      <c r="F17" s="176">
        <v>302815</v>
      </c>
      <c r="G17" s="177">
        <f t="shared" si="0"/>
        <v>3.2573130477753592E-2</v>
      </c>
      <c r="H17" s="167"/>
      <c r="I17" s="178" t="s">
        <v>1202</v>
      </c>
      <c r="J17" s="180"/>
    </row>
    <row r="18" spans="1:10" x14ac:dyDescent="0.25">
      <c r="A18" s="6" t="s">
        <v>1162</v>
      </c>
      <c r="B18" s="7" t="s">
        <v>1162</v>
      </c>
      <c r="C18" s="174" t="s">
        <v>116</v>
      </c>
      <c r="D18" s="179" t="s">
        <v>1181</v>
      </c>
      <c r="E18" s="175" t="s">
        <v>1179</v>
      </c>
      <c r="F18" s="176">
        <v>23261</v>
      </c>
      <c r="G18" s="177">
        <f t="shared" si="0"/>
        <v>2.5021336064693831E-3</v>
      </c>
      <c r="H18" s="167"/>
      <c r="I18" s="178" t="s">
        <v>1202</v>
      </c>
      <c r="J18" s="180"/>
    </row>
    <row r="19" spans="1:10" x14ac:dyDescent="0.25">
      <c r="A19" s="6" t="s">
        <v>1197</v>
      </c>
      <c r="B19" s="7" t="s">
        <v>1120</v>
      </c>
      <c r="C19" s="174" t="s">
        <v>1198</v>
      </c>
      <c r="D19" s="179" t="s">
        <v>1199</v>
      </c>
      <c r="E19" s="175" t="s">
        <v>1179</v>
      </c>
      <c r="F19" s="176">
        <v>415800</v>
      </c>
      <c r="G19" s="177">
        <f t="shared" si="0"/>
        <v>4.4726673555305858E-2</v>
      </c>
      <c r="H19" s="167"/>
      <c r="I19" s="178" t="s">
        <v>1207</v>
      </c>
      <c r="J19" s="180"/>
    </row>
    <row r="20" spans="1:10" x14ac:dyDescent="0.25">
      <c r="A20" s="6"/>
      <c r="B20" s="7"/>
      <c r="C20" s="174" t="s">
        <v>1200</v>
      </c>
      <c r="D20" s="179" t="s">
        <v>108</v>
      </c>
      <c r="E20" s="175" t="s">
        <v>1179</v>
      </c>
      <c r="F20" s="176">
        <v>642200</v>
      </c>
      <c r="G20" s="177">
        <f t="shared" si="0"/>
        <v>6.9080013846121738E-2</v>
      </c>
      <c r="H20" s="167"/>
      <c r="I20" s="178" t="s">
        <v>1207</v>
      </c>
      <c r="J20" s="180"/>
    </row>
    <row r="21" spans="1:10" x14ac:dyDescent="0.25">
      <c r="A21" s="6"/>
      <c r="B21" s="7"/>
      <c r="C21" s="174" t="s">
        <v>1201</v>
      </c>
      <c r="D21" s="179" t="s">
        <v>108</v>
      </c>
      <c r="E21" s="175" t="s">
        <v>1176</v>
      </c>
      <c r="F21" s="176">
        <v>505200</v>
      </c>
      <c r="G21" s="177">
        <f t="shared" si="0"/>
        <v>5.4343231072969019E-2</v>
      </c>
      <c r="H21" s="167"/>
      <c r="I21" s="178" t="s">
        <v>1207</v>
      </c>
      <c r="J21" s="180"/>
    </row>
    <row r="22" spans="1:10" x14ac:dyDescent="0.25">
      <c r="A22" s="182" t="s">
        <v>189</v>
      </c>
      <c r="B22" s="183" t="s">
        <v>21</v>
      </c>
      <c r="C22" s="174" t="s">
        <v>1189</v>
      </c>
      <c r="D22" s="175" t="s">
        <v>1178</v>
      </c>
      <c r="E22" s="175" t="s">
        <v>1176</v>
      </c>
      <c r="F22" s="176">
        <v>504300</v>
      </c>
      <c r="G22" s="177">
        <f t="shared" si="0"/>
        <v>5.4246420091247576E-2</v>
      </c>
      <c r="H22" s="184"/>
      <c r="I22" s="180" t="s">
        <v>1206</v>
      </c>
      <c r="J22" s="180"/>
    </row>
    <row r="23" spans="1:10" x14ac:dyDescent="0.25">
      <c r="A23" s="185" t="s">
        <v>109</v>
      </c>
      <c r="B23" s="183" t="s">
        <v>10</v>
      </c>
      <c r="C23" s="174" t="s">
        <v>109</v>
      </c>
      <c r="D23" s="175" t="s">
        <v>1190</v>
      </c>
      <c r="E23" s="175" t="s">
        <v>1176</v>
      </c>
      <c r="F23" s="186">
        <f>700000*0.89</f>
        <v>623000</v>
      </c>
      <c r="G23" s="177">
        <f t="shared" si="0"/>
        <v>6.7014712902730991E-2</v>
      </c>
      <c r="H23" s="167"/>
      <c r="I23" s="180" t="s">
        <v>1244</v>
      </c>
      <c r="J23" s="180"/>
    </row>
    <row r="24" spans="1:10" x14ac:dyDescent="0.25">
      <c r="A24" s="185" t="s">
        <v>1162</v>
      </c>
      <c r="B24" s="183" t="s">
        <v>1162</v>
      </c>
      <c r="C24" s="174" t="s">
        <v>109</v>
      </c>
      <c r="D24" s="175" t="s">
        <v>1191</v>
      </c>
      <c r="E24" s="175" t="s">
        <v>1179</v>
      </c>
      <c r="F24" s="186">
        <f>700000*0.11</f>
        <v>77000</v>
      </c>
      <c r="G24" s="177">
        <f t="shared" si="0"/>
        <v>8.2827173250566398E-3</v>
      </c>
      <c r="H24" s="181"/>
      <c r="I24" s="180" t="s">
        <v>1244</v>
      </c>
      <c r="J24" s="180"/>
    </row>
    <row r="25" spans="1:10" x14ac:dyDescent="0.25">
      <c r="A25" s="6" t="s">
        <v>150</v>
      </c>
      <c r="B25" s="7" t="s">
        <v>151</v>
      </c>
      <c r="C25" s="174" t="s">
        <v>1192</v>
      </c>
      <c r="D25" s="175" t="s">
        <v>1178</v>
      </c>
      <c r="E25" s="175" t="s">
        <v>1176</v>
      </c>
      <c r="F25" s="176">
        <v>366854</v>
      </c>
      <c r="G25" s="177">
        <f t="shared" si="0"/>
        <v>3.946166209826401E-2</v>
      </c>
      <c r="H25" s="167"/>
      <c r="I25" s="178" t="s">
        <v>1205</v>
      </c>
      <c r="J25" s="180"/>
    </row>
    <row r="26" spans="1:10" x14ac:dyDescent="0.25">
      <c r="A26" s="185" t="s">
        <v>190</v>
      </c>
      <c r="B26" s="183" t="s">
        <v>24</v>
      </c>
      <c r="C26" s="174" t="s">
        <v>190</v>
      </c>
      <c r="D26" s="175" t="s">
        <v>1193</v>
      </c>
      <c r="E26" s="175" t="s">
        <v>1176</v>
      </c>
      <c r="F26" s="176">
        <v>1033000</v>
      </c>
      <c r="G26" s="177">
        <f t="shared" si="0"/>
        <v>0.1111174934647209</v>
      </c>
      <c r="H26" s="167"/>
      <c r="I26" s="178" t="s">
        <v>1203</v>
      </c>
      <c r="J26" s="178"/>
    </row>
    <row r="27" spans="1:10" x14ac:dyDescent="0.25">
      <c r="A27" s="185" t="s">
        <v>1162</v>
      </c>
      <c r="B27" s="183" t="s">
        <v>1162</v>
      </c>
      <c r="C27" s="174" t="s">
        <v>190</v>
      </c>
      <c r="D27" s="175" t="s">
        <v>111</v>
      </c>
      <c r="E27" s="175" t="s">
        <v>1176</v>
      </c>
      <c r="F27" s="176">
        <v>189000</v>
      </c>
      <c r="G27" s="177">
        <f t="shared" si="0"/>
        <v>2.0330306161502661E-2</v>
      </c>
      <c r="H27" s="167"/>
      <c r="I27" s="178" t="s">
        <v>1203</v>
      </c>
      <c r="J27" s="178"/>
    </row>
    <row r="28" spans="1:10" x14ac:dyDescent="0.25">
      <c r="A28" s="185" t="s">
        <v>1162</v>
      </c>
      <c r="B28" s="183" t="s">
        <v>1162</v>
      </c>
      <c r="C28" s="174" t="s">
        <v>190</v>
      </c>
      <c r="D28" s="175" t="s">
        <v>1194</v>
      </c>
      <c r="E28" s="175" t="s">
        <v>1176</v>
      </c>
      <c r="F28" s="176">
        <v>708000</v>
      </c>
      <c r="G28" s="177">
        <f t="shared" si="0"/>
        <v>7.6157972287533779E-2</v>
      </c>
      <c r="H28" s="167"/>
      <c r="I28" s="178" t="s">
        <v>1203</v>
      </c>
      <c r="J28" s="178"/>
    </row>
    <row r="29" spans="1:10" x14ac:dyDescent="0.25">
      <c r="A29" s="6" t="s">
        <v>114</v>
      </c>
      <c r="B29" s="183" t="s">
        <v>148</v>
      </c>
      <c r="C29" s="6" t="s">
        <v>114</v>
      </c>
      <c r="D29" s="175" t="s">
        <v>1195</v>
      </c>
      <c r="E29" s="175" t="s">
        <v>1179</v>
      </c>
      <c r="F29" s="176">
        <v>155993</v>
      </c>
      <c r="G29" s="177">
        <f t="shared" si="0"/>
        <v>1.6779817190747538E-2</v>
      </c>
      <c r="H29" s="167"/>
      <c r="I29" s="178" t="s">
        <v>1204</v>
      </c>
      <c r="J29" s="178"/>
    </row>
    <row r="30" spans="1:10" x14ac:dyDescent="0.25">
      <c r="A30" s="6" t="s">
        <v>1162</v>
      </c>
      <c r="B30" s="183" t="s">
        <v>1162</v>
      </c>
      <c r="C30" s="6" t="s">
        <v>114</v>
      </c>
      <c r="D30" s="175" t="s">
        <v>1180</v>
      </c>
      <c r="E30" s="175" t="s">
        <v>1176</v>
      </c>
      <c r="F30" s="176">
        <v>454273</v>
      </c>
      <c r="G30" s="177">
        <f t="shared" si="0"/>
        <v>4.8865127888382529E-2</v>
      </c>
      <c r="H30" s="167"/>
      <c r="I30" s="178" t="s">
        <v>1204</v>
      </c>
      <c r="J30" s="178"/>
    </row>
    <row r="31" spans="1:10" x14ac:dyDescent="0.25">
      <c r="A31" s="6" t="s">
        <v>1162</v>
      </c>
      <c r="B31" s="183" t="s">
        <v>1162</v>
      </c>
      <c r="C31" s="6" t="s">
        <v>114</v>
      </c>
      <c r="D31" s="175" t="s">
        <v>1181</v>
      </c>
      <c r="E31" s="175" t="s">
        <v>1176</v>
      </c>
      <c r="F31" s="176">
        <v>506777</v>
      </c>
      <c r="G31" s="177">
        <f t="shared" si="0"/>
        <v>5.4512865426496478E-2</v>
      </c>
      <c r="H31" s="167"/>
      <c r="I31" s="178" t="s">
        <v>1204</v>
      </c>
      <c r="J31" s="178"/>
    </row>
    <row r="32" spans="1:10" x14ac:dyDescent="0.25">
      <c r="A32" s="185"/>
      <c r="B32" s="185"/>
      <c r="C32" s="174"/>
      <c r="D32" s="174"/>
      <c r="E32" s="175"/>
      <c r="F32" s="187"/>
      <c r="G32" s="188"/>
    </row>
    <row r="33" spans="1:7" x14ac:dyDescent="0.25">
      <c r="A33" s="189" t="s">
        <v>1196</v>
      </c>
      <c r="C33" s="174"/>
      <c r="D33" s="174"/>
      <c r="E33" s="174"/>
      <c r="F33" s="190">
        <f>SUM(F10:F31)</f>
        <v>9296466</v>
      </c>
      <c r="G33" s="188"/>
    </row>
    <row r="34" spans="1:7" x14ac:dyDescent="0.25">
      <c r="A34" s="189" t="s">
        <v>1238</v>
      </c>
      <c r="C34" s="174"/>
      <c r="D34" s="174"/>
      <c r="E34" s="174"/>
      <c r="G34" s="191">
        <f>SUMIF(E10:E31,"Y",G10:G31)</f>
        <v>0.59261712999326843</v>
      </c>
    </row>
    <row r="35" spans="1:7" x14ac:dyDescent="0.25">
      <c r="A35" s="174"/>
      <c r="B35" s="174"/>
      <c r="C35" s="174"/>
      <c r="D35" s="174"/>
      <c r="E35" s="174"/>
      <c r="F35" s="192"/>
      <c r="G35" s="188"/>
    </row>
    <row r="36" spans="1:7" x14ac:dyDescent="0.25">
      <c r="A36" s="112" t="s">
        <v>104</v>
      </c>
      <c r="C36" s="174"/>
      <c r="D36" s="174"/>
      <c r="E36" s="193"/>
      <c r="F36" s="194"/>
      <c r="G36" s="174"/>
    </row>
    <row r="37" spans="1:7" x14ac:dyDescent="0.25">
      <c r="A37" s="131" t="s">
        <v>1272</v>
      </c>
      <c r="E37" s="195"/>
      <c r="F37" s="196"/>
      <c r="G37" s="174"/>
    </row>
    <row r="38" spans="1:7" x14ac:dyDescent="0.25">
      <c r="G38" s="166"/>
    </row>
    <row r="39" spans="1:7" x14ac:dyDescent="0.25">
      <c r="G39" s="166"/>
    </row>
  </sheetData>
  <mergeCells count="1">
    <mergeCell ref="A1:G1"/>
  </mergeCells>
  <printOptions horizontalCentered="1"/>
  <pageMargins left="0.7" right="0.7" top="1.25" bottom="0.75" header="0.3" footer="0.3"/>
  <pageSetup scale="80" orientation="landscape" useFirstPageNumber="1" r:id="rId1"/>
  <headerFooter>
    <oddHeader>&amp;RDocket No. UG-15____
Cascade Natural Gas Corp.
Exhibit No.___(JSG-2)
Schedule 7
Page &amp;P of 1</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M22"/>
  <sheetViews>
    <sheetView zoomScale="70" zoomScaleNormal="70" zoomScaleSheetLayoutView="75" workbookViewId="0">
      <selection activeCell="J4" sqref="J4"/>
    </sheetView>
  </sheetViews>
  <sheetFormatPr defaultColWidth="9" defaultRowHeight="15.75" x14ac:dyDescent="0.25"/>
  <cols>
    <col min="1" max="1" width="36.125" style="6" customWidth="1"/>
    <col min="2" max="2" width="9" style="6"/>
    <col min="3" max="3" width="12.75" style="6" bestFit="1" customWidth="1"/>
    <col min="4" max="4" width="11.25" style="6" customWidth="1"/>
    <col min="5" max="5" width="14.625" style="6" customWidth="1"/>
    <col min="6" max="8" width="11.25" style="6" customWidth="1"/>
    <col min="9" max="9" width="13.375" style="6" customWidth="1"/>
    <col min="10" max="10" width="11.25" style="6" customWidth="1"/>
    <col min="11" max="11" width="15.75" style="6" customWidth="1"/>
    <col min="12" max="12" width="2.5" style="6" bestFit="1" customWidth="1"/>
    <col min="13" max="16384" width="9" style="6"/>
  </cols>
  <sheetData>
    <row r="1" spans="1:13" ht="20.25" x14ac:dyDescent="0.3">
      <c r="A1" s="24" t="s">
        <v>1288</v>
      </c>
      <c r="B1" s="98"/>
      <c r="C1" s="98"/>
      <c r="D1" s="98"/>
      <c r="E1" s="98"/>
      <c r="F1" s="98"/>
      <c r="G1" s="98"/>
      <c r="H1" s="98"/>
      <c r="I1" s="98"/>
      <c r="J1" s="98"/>
      <c r="K1" s="98"/>
      <c r="M1" s="44"/>
    </row>
    <row r="2" spans="1:13" x14ac:dyDescent="0.25">
      <c r="K2" s="98"/>
      <c r="M2" s="23"/>
    </row>
    <row r="3" spans="1:13" ht="18.75" x14ac:dyDescent="0.3">
      <c r="A3" s="25" t="s">
        <v>33</v>
      </c>
      <c r="B3" s="98"/>
      <c r="C3" s="98"/>
      <c r="D3" s="98"/>
      <c r="E3" s="98"/>
      <c r="F3" s="98"/>
      <c r="G3" s="98"/>
      <c r="H3" s="98"/>
      <c r="I3" s="98"/>
      <c r="J3" s="98"/>
      <c r="K3" s="98"/>
    </row>
    <row r="4" spans="1:13" ht="18.75" x14ac:dyDescent="0.3">
      <c r="A4" s="25" t="s">
        <v>1243</v>
      </c>
      <c r="B4" s="98"/>
      <c r="C4" s="98"/>
      <c r="D4" s="98"/>
      <c r="E4" s="98"/>
      <c r="F4" s="98"/>
      <c r="G4" s="98"/>
      <c r="H4" s="98"/>
      <c r="I4" s="98"/>
      <c r="J4" s="98"/>
      <c r="K4" s="98"/>
    </row>
    <row r="5" spans="1:13" ht="18.75" x14ac:dyDescent="0.3">
      <c r="A5" s="18" t="s">
        <v>142</v>
      </c>
      <c r="B5" s="98"/>
      <c r="C5" s="98"/>
      <c r="D5" s="98"/>
      <c r="E5" s="98"/>
      <c r="F5" s="98"/>
      <c r="G5" s="98"/>
      <c r="H5" s="98"/>
      <c r="I5" s="98"/>
      <c r="J5" s="98"/>
      <c r="K5" s="98"/>
    </row>
    <row r="6" spans="1:13" ht="16.5" thickBot="1" x14ac:dyDescent="0.3">
      <c r="E6" s="197"/>
      <c r="I6" s="44"/>
    </row>
    <row r="7" spans="1:13" ht="31.5" x14ac:dyDescent="0.25">
      <c r="A7" s="100" t="s">
        <v>145</v>
      </c>
      <c r="B7" s="100" t="s">
        <v>146</v>
      </c>
      <c r="C7" s="101" t="s">
        <v>31</v>
      </c>
      <c r="D7" s="100" t="s">
        <v>18</v>
      </c>
      <c r="E7" s="89" t="s">
        <v>22</v>
      </c>
      <c r="F7" s="100" t="s">
        <v>18</v>
      </c>
      <c r="G7" s="101" t="s">
        <v>55</v>
      </c>
      <c r="H7" s="100" t="s">
        <v>18</v>
      </c>
      <c r="I7" s="101" t="s">
        <v>56</v>
      </c>
      <c r="J7" s="100" t="s">
        <v>18</v>
      </c>
      <c r="K7" s="101" t="s">
        <v>57</v>
      </c>
    </row>
    <row r="9" spans="1:13" x14ac:dyDescent="0.25">
      <c r="A9" s="6" t="s">
        <v>116</v>
      </c>
      <c r="B9" s="7" t="s">
        <v>149</v>
      </c>
      <c r="C9" s="198">
        <v>251977</v>
      </c>
      <c r="D9" s="136">
        <f>C9/$K9</f>
        <v>4.2380879096666657E-2</v>
      </c>
      <c r="E9" s="198">
        <v>2455303</v>
      </c>
      <c r="F9" s="136">
        <f t="shared" ref="F9:F11" si="0">E9/$K9</f>
        <v>0.41296586429984855</v>
      </c>
      <c r="G9" s="198">
        <v>0</v>
      </c>
      <c r="H9" s="26">
        <f t="shared" ref="H9:H11" si="1">G9/$K9</f>
        <v>0</v>
      </c>
      <c r="I9" s="199">
        <v>3238255</v>
      </c>
      <c r="J9" s="136">
        <f t="shared" ref="J9:J15" si="2">I9/$K9</f>
        <v>0.54465325660348485</v>
      </c>
      <c r="K9" s="198">
        <f t="shared" ref="K9:K11" si="3">C9+E9+G9+I9</f>
        <v>5945535</v>
      </c>
      <c r="L9" s="6" t="s">
        <v>30</v>
      </c>
    </row>
    <row r="10" spans="1:13" x14ac:dyDescent="0.25">
      <c r="A10" s="6" t="s">
        <v>1154</v>
      </c>
      <c r="B10" s="7" t="s">
        <v>1120</v>
      </c>
      <c r="C10" s="199">
        <v>211400</v>
      </c>
      <c r="D10" s="136">
        <f t="shared" ref="D10:D15" si="4">C10/$K10</f>
        <v>5.8134418655813438E-2</v>
      </c>
      <c r="E10" s="199">
        <v>1816400</v>
      </c>
      <c r="F10" s="136">
        <f t="shared" si="0"/>
        <v>0.49950500494995048</v>
      </c>
      <c r="G10" s="199">
        <v>0</v>
      </c>
      <c r="H10" s="136">
        <f t="shared" si="1"/>
        <v>0</v>
      </c>
      <c r="I10" s="199">
        <v>1608600</v>
      </c>
      <c r="J10" s="136">
        <f t="shared" si="2"/>
        <v>0.44236057639423604</v>
      </c>
      <c r="K10" s="199">
        <f t="shared" si="3"/>
        <v>3636400</v>
      </c>
      <c r="L10" s="6" t="s">
        <v>30</v>
      </c>
    </row>
    <row r="11" spans="1:13" x14ac:dyDescent="0.25">
      <c r="A11" s="6" t="s">
        <v>189</v>
      </c>
      <c r="B11" s="7" t="s">
        <v>21</v>
      </c>
      <c r="C11" s="199">
        <v>0</v>
      </c>
      <c r="D11" s="136">
        <f t="shared" si="4"/>
        <v>0</v>
      </c>
      <c r="E11" s="199">
        <v>883553</v>
      </c>
      <c r="F11" s="136">
        <f t="shared" si="0"/>
        <v>0.44026528939415455</v>
      </c>
      <c r="G11" s="199">
        <v>0</v>
      </c>
      <c r="H11" s="136">
        <f t="shared" si="1"/>
        <v>0</v>
      </c>
      <c r="I11" s="199">
        <v>1123312</v>
      </c>
      <c r="J11" s="136">
        <f t="shared" si="2"/>
        <v>0.55973471060584545</v>
      </c>
      <c r="K11" s="199">
        <f t="shared" si="3"/>
        <v>2006865</v>
      </c>
      <c r="L11" s="6" t="s">
        <v>30</v>
      </c>
    </row>
    <row r="12" spans="1:13" x14ac:dyDescent="0.25">
      <c r="A12" s="6" t="s">
        <v>109</v>
      </c>
      <c r="B12" s="7" t="s">
        <v>10</v>
      </c>
      <c r="C12" s="199">
        <v>190300</v>
      </c>
      <c r="D12" s="136">
        <f t="shared" si="4"/>
        <v>0.11976356921868589</v>
      </c>
      <c r="E12" s="199">
        <v>621700</v>
      </c>
      <c r="F12" s="136">
        <f t="shared" ref="F12:F15" si="5">E12/$K12</f>
        <v>0.39126122429457183</v>
      </c>
      <c r="G12" s="199">
        <v>0</v>
      </c>
      <c r="H12" s="136">
        <f t="shared" ref="H12:H15" si="6">G12/$K12</f>
        <v>0</v>
      </c>
      <c r="I12" s="199">
        <v>776964</v>
      </c>
      <c r="J12" s="136">
        <f t="shared" si="2"/>
        <v>0.48897520648674231</v>
      </c>
      <c r="K12" s="199">
        <f t="shared" ref="K12:K15" si="7">C12+E12+G12+I12</f>
        <v>1588964</v>
      </c>
      <c r="L12" s="6" t="s">
        <v>30</v>
      </c>
    </row>
    <row r="13" spans="1:13" x14ac:dyDescent="0.25">
      <c r="A13" s="6" t="s">
        <v>150</v>
      </c>
      <c r="B13" s="7" t="s">
        <v>151</v>
      </c>
      <c r="C13" s="199">
        <v>366000</v>
      </c>
      <c r="D13" s="136">
        <f t="shared" si="4"/>
        <v>0.16042942486051187</v>
      </c>
      <c r="E13" s="199">
        <v>945400</v>
      </c>
      <c r="F13" s="136">
        <f t="shared" si="5"/>
        <v>0.4143988477134643</v>
      </c>
      <c r="G13" s="199">
        <v>0</v>
      </c>
      <c r="H13" s="136">
        <f t="shared" si="6"/>
        <v>0</v>
      </c>
      <c r="I13" s="199">
        <v>969977</v>
      </c>
      <c r="J13" s="136">
        <f t="shared" si="2"/>
        <v>0.42517172742602383</v>
      </c>
      <c r="K13" s="199">
        <f t="shared" si="7"/>
        <v>2281377</v>
      </c>
      <c r="L13" s="23" t="s">
        <v>30</v>
      </c>
    </row>
    <row r="14" spans="1:13" x14ac:dyDescent="0.25">
      <c r="A14" s="6" t="s">
        <v>190</v>
      </c>
      <c r="B14" s="7" t="s">
        <v>24</v>
      </c>
      <c r="C14" s="199">
        <v>0</v>
      </c>
      <c r="D14" s="136">
        <f t="shared" si="4"/>
        <v>0</v>
      </c>
      <c r="E14" s="199">
        <v>1541733</v>
      </c>
      <c r="F14" s="136">
        <f t="shared" si="5"/>
        <v>0.49836774077803442</v>
      </c>
      <c r="G14" s="199">
        <v>0</v>
      </c>
      <c r="H14" s="136">
        <f t="shared" si="6"/>
        <v>0</v>
      </c>
      <c r="I14" s="199">
        <v>1551832</v>
      </c>
      <c r="J14" s="136">
        <f t="shared" si="2"/>
        <v>0.50163225922196564</v>
      </c>
      <c r="K14" s="199">
        <f t="shared" si="7"/>
        <v>3093565</v>
      </c>
      <c r="L14" s="23" t="s">
        <v>30</v>
      </c>
    </row>
    <row r="15" spans="1:13" x14ac:dyDescent="0.25">
      <c r="A15" s="6" t="s">
        <v>114</v>
      </c>
      <c r="B15" s="7" t="s">
        <v>148</v>
      </c>
      <c r="C15" s="199">
        <v>156000</v>
      </c>
      <c r="D15" s="136">
        <f t="shared" si="4"/>
        <v>6.4519677881372306E-2</v>
      </c>
      <c r="E15" s="199">
        <v>995494</v>
      </c>
      <c r="F15" s="136">
        <f t="shared" si="5"/>
        <v>0.41172405264640283</v>
      </c>
      <c r="G15" s="199">
        <v>0</v>
      </c>
      <c r="H15" s="136">
        <f t="shared" si="6"/>
        <v>0</v>
      </c>
      <c r="I15" s="199">
        <v>1266373</v>
      </c>
      <c r="J15" s="136">
        <f t="shared" si="2"/>
        <v>0.52375626947222487</v>
      </c>
      <c r="K15" s="199">
        <f t="shared" si="7"/>
        <v>2417867</v>
      </c>
      <c r="L15" s="6" t="s">
        <v>30</v>
      </c>
    </row>
    <row r="17" spans="1:13" x14ac:dyDescent="0.25">
      <c r="A17" s="2" t="s">
        <v>1</v>
      </c>
      <c r="D17" s="4">
        <f>MEDIAN(D9:D15)</f>
        <v>5.8134418655813438E-2</v>
      </c>
      <c r="F17" s="4">
        <f>MEDIAN(F9:F15)</f>
        <v>0.4143988477134643</v>
      </c>
      <c r="H17" s="4">
        <f>MEDIAN(H9:H15)</f>
        <v>0</v>
      </c>
      <c r="J17" s="4">
        <f>MEDIAN(J9:J15)</f>
        <v>0.50163225922196564</v>
      </c>
    </row>
    <row r="19" spans="1:13" x14ac:dyDescent="0.25">
      <c r="A19" s="6" t="s">
        <v>1271</v>
      </c>
      <c r="B19" s="23"/>
      <c r="C19" s="199">
        <v>0</v>
      </c>
      <c r="D19" s="26">
        <v>0</v>
      </c>
      <c r="E19" s="199" t="s">
        <v>1162</v>
      </c>
      <c r="F19" s="26">
        <v>0.5</v>
      </c>
      <c r="G19" s="199">
        <v>0</v>
      </c>
      <c r="H19" s="26">
        <v>0</v>
      </c>
      <c r="I19" s="199" t="s">
        <v>1162</v>
      </c>
      <c r="J19" s="26">
        <v>0.5</v>
      </c>
      <c r="K19" s="199" t="s">
        <v>1162</v>
      </c>
      <c r="L19" s="23" t="s">
        <v>107</v>
      </c>
      <c r="M19" s="73"/>
    </row>
    <row r="21" spans="1:13" x14ac:dyDescent="0.25">
      <c r="A21" s="6" t="s">
        <v>1242</v>
      </c>
    </row>
    <row r="22" spans="1:13" s="23" customFormat="1" x14ac:dyDescent="0.25">
      <c r="A22" s="23" t="s">
        <v>1291</v>
      </c>
    </row>
  </sheetData>
  <printOptions horizontalCentered="1"/>
  <pageMargins left="0.7" right="0.7" top="1.25" bottom="0.75" header="0.3" footer="0.3"/>
  <pageSetup scale="70" orientation="landscape" useFirstPageNumber="1" copies="3" r:id="rId1"/>
  <headerFooter alignWithMargins="0">
    <oddHeader>&amp;R&amp;K01+000Docket No. UG-15____
Cascade Natural Gas Corp.&amp;K000000
Exhibit No.___(JSG-2)
Schedule 8
Page &amp;P of 1</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L59"/>
  <sheetViews>
    <sheetView tabSelected="1" showOutlineSymbols="0" zoomScale="70" zoomScaleNormal="70" zoomScaleSheetLayoutView="80" workbookViewId="0">
      <selection activeCell="G3" sqref="G3"/>
    </sheetView>
  </sheetViews>
  <sheetFormatPr defaultColWidth="9" defaultRowHeight="15.75" x14ac:dyDescent="0.25"/>
  <cols>
    <col min="1" max="6" width="12.5" customWidth="1"/>
    <col min="8" max="8" width="9.375" bestFit="1" customWidth="1"/>
    <col min="12" max="12" width="9" customWidth="1"/>
  </cols>
  <sheetData>
    <row r="1" spans="1:12" ht="20.25" x14ac:dyDescent="0.3">
      <c r="A1" s="24" t="s">
        <v>1288</v>
      </c>
      <c r="B1" s="1"/>
      <c r="C1" s="1"/>
      <c r="D1" s="1"/>
      <c r="E1" s="1"/>
      <c r="F1" s="1"/>
    </row>
    <row r="3" spans="1:12" ht="18.75" x14ac:dyDescent="0.3">
      <c r="A3" s="16" t="s">
        <v>69</v>
      </c>
      <c r="B3" s="1"/>
      <c r="C3" s="1"/>
      <c r="D3" s="1"/>
      <c r="E3" s="1"/>
      <c r="F3" s="1"/>
      <c r="H3" s="53"/>
    </row>
    <row r="4" spans="1:12" ht="18.75" x14ac:dyDescent="0.3">
      <c r="A4" s="18" t="s">
        <v>1281</v>
      </c>
      <c r="B4" s="1"/>
      <c r="C4" s="1"/>
      <c r="D4" s="1"/>
      <c r="E4" s="1"/>
      <c r="F4" s="1"/>
    </row>
    <row r="5" spans="1:12" x14ac:dyDescent="0.25">
      <c r="B5" s="19"/>
      <c r="C5" s="19"/>
    </row>
    <row r="6" spans="1:12" s="17" customFormat="1" ht="16.5" thickBot="1" x14ac:dyDescent="0.3">
      <c r="B6" s="20" t="s">
        <v>80</v>
      </c>
      <c r="C6" s="20" t="s">
        <v>81</v>
      </c>
      <c r="D6" s="5" t="s">
        <v>82</v>
      </c>
      <c r="E6" s="5" t="s">
        <v>83</v>
      </c>
      <c r="F6" s="5" t="s">
        <v>84</v>
      </c>
    </row>
    <row r="7" spans="1:12" x14ac:dyDescent="0.25">
      <c r="A7" s="31"/>
      <c r="B7" s="33" t="s">
        <v>70</v>
      </c>
      <c r="C7" s="33"/>
      <c r="D7" s="31"/>
      <c r="E7" s="31"/>
      <c r="F7" s="31"/>
    </row>
    <row r="8" spans="1:12" x14ac:dyDescent="0.25">
      <c r="A8" s="19"/>
      <c r="B8" s="20" t="s">
        <v>71</v>
      </c>
      <c r="C8" s="20" t="s">
        <v>72</v>
      </c>
      <c r="D8" s="20" t="s">
        <v>73</v>
      </c>
      <c r="E8" s="20" t="s">
        <v>74</v>
      </c>
      <c r="F8" s="20" t="s">
        <v>74</v>
      </c>
    </row>
    <row r="9" spans="1:12" x14ac:dyDescent="0.25">
      <c r="A9" s="19"/>
      <c r="B9" s="20" t="s">
        <v>75</v>
      </c>
      <c r="C9" s="20" t="s">
        <v>76</v>
      </c>
      <c r="D9" s="20" t="s">
        <v>72</v>
      </c>
      <c r="E9" s="20" t="s">
        <v>72</v>
      </c>
      <c r="F9" s="20" t="s">
        <v>72</v>
      </c>
    </row>
    <row r="10" spans="1:12" x14ac:dyDescent="0.25">
      <c r="A10" s="10" t="s">
        <v>77</v>
      </c>
      <c r="B10" s="10" t="s">
        <v>106</v>
      </c>
      <c r="C10" s="10" t="s">
        <v>105</v>
      </c>
      <c r="D10" s="10" t="s">
        <v>78</v>
      </c>
      <c r="E10" s="10" t="s">
        <v>185</v>
      </c>
      <c r="F10" s="10" t="s">
        <v>78</v>
      </c>
      <c r="H10" s="29"/>
      <c r="I10" s="29"/>
      <c r="J10" s="29"/>
      <c r="K10" s="29"/>
      <c r="L10" s="29"/>
    </row>
    <row r="12" spans="1:12" x14ac:dyDescent="0.25">
      <c r="A12" s="5">
        <v>1984</v>
      </c>
      <c r="B12" s="36">
        <v>4.3172690763052302E-2</v>
      </c>
      <c r="C12" s="37">
        <v>3.5489592084383625E-2</v>
      </c>
      <c r="D12" s="37">
        <v>7.2999999999999995E-2</v>
      </c>
      <c r="E12" s="38">
        <v>4040.7</v>
      </c>
      <c r="F12" s="21"/>
      <c r="H12" s="17"/>
      <c r="I12" s="43"/>
      <c r="J12" s="29"/>
      <c r="K12" s="29"/>
      <c r="L12" s="29"/>
    </row>
    <row r="13" spans="1:12" x14ac:dyDescent="0.25">
      <c r="A13" s="5">
        <v>1985</v>
      </c>
      <c r="B13" s="36">
        <v>3.5611164581328181E-2</v>
      </c>
      <c r="C13" s="37">
        <v>3.1983557494681403E-2</v>
      </c>
      <c r="D13" s="37">
        <v>4.2000000000000003E-2</v>
      </c>
      <c r="E13" s="38">
        <v>4346.7</v>
      </c>
      <c r="F13" s="21">
        <f t="shared" ref="F13:F34" si="0">E13/E12-1</f>
        <v>7.5729452817581144E-2</v>
      </c>
      <c r="H13" s="53"/>
      <c r="I13" s="43"/>
      <c r="J13" s="29"/>
      <c r="K13" s="29"/>
      <c r="L13" s="29"/>
    </row>
    <row r="14" spans="1:12" x14ac:dyDescent="0.25">
      <c r="A14" s="5">
        <v>1986</v>
      </c>
      <c r="B14" s="36">
        <v>1.8587360594795488E-2</v>
      </c>
      <c r="C14" s="37">
        <v>2.0178197064989467E-2</v>
      </c>
      <c r="D14" s="37">
        <v>3.5000000000000003E-2</v>
      </c>
      <c r="E14" s="38">
        <v>4590.2</v>
      </c>
      <c r="F14" s="21">
        <f t="shared" si="0"/>
        <v>5.6019509052844585E-2</v>
      </c>
      <c r="H14" s="53"/>
      <c r="I14" s="43"/>
      <c r="J14" s="29"/>
      <c r="K14" s="29"/>
      <c r="L14" s="29"/>
    </row>
    <row r="15" spans="1:12" x14ac:dyDescent="0.25">
      <c r="A15" s="5">
        <v>1987</v>
      </c>
      <c r="B15" s="36">
        <v>3.649635036496357E-2</v>
      </c>
      <c r="C15" s="37">
        <v>2.5515883209178858E-2</v>
      </c>
      <c r="D15" s="37">
        <v>3.5000000000000003E-2</v>
      </c>
      <c r="E15" s="38">
        <v>4870.2</v>
      </c>
      <c r="F15" s="21">
        <f t="shared" si="0"/>
        <v>6.0999520718051592E-2</v>
      </c>
      <c r="H15" s="53"/>
      <c r="I15" s="43"/>
      <c r="J15" s="29"/>
      <c r="K15" s="29"/>
      <c r="L15" s="29"/>
    </row>
    <row r="16" spans="1:12" x14ac:dyDescent="0.25">
      <c r="A16" s="5">
        <v>1988</v>
      </c>
      <c r="B16" s="36">
        <v>4.1373239436619746E-2</v>
      </c>
      <c r="C16" s="37">
        <v>3.5017116139266946E-2</v>
      </c>
      <c r="D16" s="37">
        <v>4.2000000000000003E-2</v>
      </c>
      <c r="E16" s="38">
        <v>5252.6</v>
      </c>
      <c r="F16" s="21">
        <f t="shared" si="0"/>
        <v>7.8518336002628253E-2</v>
      </c>
      <c r="H16" s="53"/>
      <c r="I16" s="43"/>
      <c r="J16" s="29"/>
      <c r="K16" s="29"/>
      <c r="L16" s="29"/>
    </row>
    <row r="17" spans="1:12" x14ac:dyDescent="0.25">
      <c r="A17" s="5">
        <v>1989</v>
      </c>
      <c r="B17" s="36">
        <v>4.8182586644125225E-2</v>
      </c>
      <c r="C17" s="37">
        <v>3.8882256138879079E-2</v>
      </c>
      <c r="D17" s="37">
        <v>3.7000000000000005E-2</v>
      </c>
      <c r="E17" s="38">
        <v>5657.7</v>
      </c>
      <c r="F17" s="21">
        <f t="shared" si="0"/>
        <v>7.7123710162586123E-2</v>
      </c>
      <c r="H17" s="53"/>
      <c r="I17" s="43"/>
      <c r="J17" s="29"/>
      <c r="K17" s="29"/>
      <c r="L17" s="29"/>
    </row>
    <row r="18" spans="1:12" x14ac:dyDescent="0.25">
      <c r="A18" s="5">
        <v>1990</v>
      </c>
      <c r="B18" s="36">
        <v>5.4032258064516059E-2</v>
      </c>
      <c r="C18" s="37">
        <v>3.6976643061249925E-2</v>
      </c>
      <c r="D18" s="37">
        <v>1.9E-2</v>
      </c>
      <c r="E18" s="38">
        <v>5979.6</v>
      </c>
      <c r="F18" s="21">
        <f t="shared" si="0"/>
        <v>5.6895911766265517E-2</v>
      </c>
      <c r="H18" s="53"/>
      <c r="I18" s="43"/>
      <c r="J18" s="29"/>
      <c r="K18" s="29"/>
      <c r="L18" s="29"/>
    </row>
    <row r="19" spans="1:12" x14ac:dyDescent="0.25">
      <c r="A19" s="5">
        <v>1991</v>
      </c>
      <c r="B19" s="36">
        <v>4.2081101759755102E-2</v>
      </c>
      <c r="C19" s="37">
        <v>3.329189942042432E-2</v>
      </c>
      <c r="D19" s="37">
        <v>-1E-3</v>
      </c>
      <c r="E19" s="38">
        <v>6174</v>
      </c>
      <c r="F19" s="21">
        <f t="shared" si="0"/>
        <v>3.2510535821794084E-2</v>
      </c>
      <c r="H19" s="53"/>
      <c r="I19" s="43"/>
      <c r="J19" s="29"/>
      <c r="K19" s="29"/>
      <c r="L19" s="29"/>
    </row>
    <row r="20" spans="1:12" x14ac:dyDescent="0.25">
      <c r="A20" s="5">
        <v>1992</v>
      </c>
      <c r="B20" s="36">
        <v>3.0102790014684411E-2</v>
      </c>
      <c r="C20" s="37">
        <v>2.2798423096991316E-2</v>
      </c>
      <c r="D20" s="37">
        <v>3.6000000000000004E-2</v>
      </c>
      <c r="E20" s="38">
        <v>6539.3</v>
      </c>
      <c r="F20" s="21">
        <f t="shared" si="0"/>
        <v>5.9167476514415229E-2</v>
      </c>
      <c r="H20" s="53"/>
      <c r="I20" s="43"/>
      <c r="J20" s="29"/>
      <c r="K20" s="29"/>
      <c r="L20" s="29"/>
    </row>
    <row r="21" spans="1:12" x14ac:dyDescent="0.25">
      <c r="A21" s="5">
        <v>1993</v>
      </c>
      <c r="B21" s="36">
        <v>2.9935851746258013E-2</v>
      </c>
      <c r="C21" s="37">
        <v>2.3792316739644992E-2</v>
      </c>
      <c r="D21" s="37">
        <v>2.7000000000000003E-2</v>
      </c>
      <c r="E21" s="38">
        <v>6878.7</v>
      </c>
      <c r="F21" s="21">
        <f t="shared" si="0"/>
        <v>5.190157967978215E-2</v>
      </c>
      <c r="H21" s="53"/>
      <c r="I21" s="43"/>
      <c r="J21" s="29"/>
      <c r="K21" s="29"/>
      <c r="L21" s="29"/>
    </row>
    <row r="22" spans="1:12" x14ac:dyDescent="0.25">
      <c r="A22" s="5">
        <v>1994</v>
      </c>
      <c r="B22" s="36">
        <v>2.5605536332179879E-2</v>
      </c>
      <c r="C22" s="37">
        <v>2.1273945299523644E-2</v>
      </c>
      <c r="D22" s="37">
        <v>0.04</v>
      </c>
      <c r="E22" s="38">
        <v>7308.8</v>
      </c>
      <c r="F22" s="21">
        <f t="shared" si="0"/>
        <v>6.2526349455565677E-2</v>
      </c>
      <c r="H22" s="53"/>
      <c r="I22" s="43"/>
      <c r="J22" s="29"/>
      <c r="K22" s="29"/>
      <c r="L22" s="29"/>
    </row>
    <row r="23" spans="1:12" x14ac:dyDescent="0.25">
      <c r="A23" s="5">
        <v>1995</v>
      </c>
      <c r="B23" s="36">
        <v>2.8340080971660075E-2</v>
      </c>
      <c r="C23" s="37">
        <v>2.0857897946737092E-2</v>
      </c>
      <c r="D23" s="37">
        <v>2.7000000000000003E-2</v>
      </c>
      <c r="E23" s="38">
        <v>7664.1</v>
      </c>
      <c r="F23" s="21">
        <f t="shared" si="0"/>
        <v>4.8612631348511348E-2</v>
      </c>
      <c r="H23" s="53"/>
      <c r="I23" s="43"/>
      <c r="J23" s="29"/>
      <c r="K23" s="29"/>
      <c r="L23" s="29"/>
    </row>
    <row r="24" spans="1:12" x14ac:dyDescent="0.25">
      <c r="A24" s="5">
        <v>1996</v>
      </c>
      <c r="B24" s="36">
        <v>2.9527559055118058E-2</v>
      </c>
      <c r="C24" s="37">
        <v>1.8254474005628962E-2</v>
      </c>
      <c r="D24" s="37">
        <v>3.7999999999999999E-2</v>
      </c>
      <c r="E24" s="38">
        <v>8100.2</v>
      </c>
      <c r="F24" s="21">
        <f t="shared" si="0"/>
        <v>5.6901658381284026E-2</v>
      </c>
      <c r="H24" s="53"/>
      <c r="I24" s="43"/>
      <c r="J24" s="29"/>
      <c r="K24" s="29"/>
      <c r="L24" s="29"/>
    </row>
    <row r="25" spans="1:12" x14ac:dyDescent="0.25">
      <c r="A25" s="5">
        <v>1997</v>
      </c>
      <c r="B25" s="36">
        <v>2.2944550669216079E-2</v>
      </c>
      <c r="C25" s="37">
        <v>1.7118867260329296E-2</v>
      </c>
      <c r="D25" s="37">
        <v>4.4999999999999998E-2</v>
      </c>
      <c r="E25" s="38">
        <v>8608.5</v>
      </c>
      <c r="F25" s="21">
        <f t="shared" si="0"/>
        <v>6.2751536999086532E-2</v>
      </c>
      <c r="H25" s="53"/>
      <c r="I25" s="43"/>
      <c r="J25" s="29"/>
      <c r="K25" s="29"/>
      <c r="L25" s="29"/>
    </row>
    <row r="26" spans="1:12" x14ac:dyDescent="0.25">
      <c r="A26" s="5">
        <v>1998</v>
      </c>
      <c r="B26" s="36">
        <v>1.5576323987538832E-2</v>
      </c>
      <c r="C26" s="37">
        <v>1.0857304004512125E-2</v>
      </c>
      <c r="D26" s="37">
        <v>4.4999999999999998E-2</v>
      </c>
      <c r="E26" s="38">
        <v>9089.2000000000007</v>
      </c>
      <c r="F26" s="21">
        <f t="shared" si="0"/>
        <v>5.5840157983388705E-2</v>
      </c>
      <c r="H26" s="53"/>
      <c r="I26" s="43"/>
      <c r="J26" s="29"/>
      <c r="K26" s="29"/>
      <c r="L26" s="29"/>
    </row>
    <row r="27" spans="1:12" x14ac:dyDescent="0.25">
      <c r="A27" s="5">
        <v>1999</v>
      </c>
      <c r="B27" s="36">
        <v>2.208588957055202E-2</v>
      </c>
      <c r="C27" s="37">
        <v>1.5293118096856517E-2</v>
      </c>
      <c r="D27" s="37">
        <v>4.7E-2</v>
      </c>
      <c r="E27" s="38">
        <v>9660.6</v>
      </c>
      <c r="F27" s="21">
        <f t="shared" si="0"/>
        <v>6.2865818773929494E-2</v>
      </c>
      <c r="H27" s="53"/>
      <c r="I27" s="43"/>
      <c r="J27" s="29"/>
      <c r="K27" s="29"/>
      <c r="L27" s="29"/>
    </row>
    <row r="28" spans="1:12" x14ac:dyDescent="0.25">
      <c r="A28" s="5">
        <v>2000</v>
      </c>
      <c r="B28" s="36">
        <v>3.3613445378151141E-2</v>
      </c>
      <c r="C28" s="37">
        <v>2.2756510335352642E-2</v>
      </c>
      <c r="D28" s="37">
        <v>4.0999999999999995E-2</v>
      </c>
      <c r="E28" s="38">
        <v>10284.799999999999</v>
      </c>
      <c r="F28" s="21">
        <f t="shared" si="0"/>
        <v>6.4612963998095241E-2</v>
      </c>
      <c r="H28" s="53"/>
      <c r="I28" s="43"/>
      <c r="J28" s="29"/>
      <c r="K28" s="29"/>
      <c r="L28" s="29"/>
    </row>
    <row r="29" spans="1:12" x14ac:dyDescent="0.25">
      <c r="A29" s="5">
        <v>2001</v>
      </c>
      <c r="B29" s="36">
        <v>2.8455284552845628E-2</v>
      </c>
      <c r="C29" s="37">
        <v>2.2799711797965472E-2</v>
      </c>
      <c r="D29" s="37">
        <v>0.01</v>
      </c>
      <c r="E29" s="38">
        <v>10621.8</v>
      </c>
      <c r="F29" s="21">
        <f t="shared" si="0"/>
        <v>3.2766801493466113E-2</v>
      </c>
      <c r="H29" s="53"/>
      <c r="I29" s="43"/>
      <c r="J29" s="29"/>
      <c r="K29" s="29"/>
      <c r="L29" s="29"/>
    </row>
    <row r="30" spans="1:12" x14ac:dyDescent="0.25">
      <c r="A30" s="5">
        <v>2002</v>
      </c>
      <c r="B30" s="36">
        <v>1.5810276679842028E-2</v>
      </c>
      <c r="C30" s="37">
        <v>1.5342550803543631E-2</v>
      </c>
      <c r="D30" s="37">
        <v>1.8000000000000002E-2</v>
      </c>
      <c r="E30" s="38">
        <v>10977.5</v>
      </c>
      <c r="F30" s="21">
        <f t="shared" si="0"/>
        <v>3.3487732775989043E-2</v>
      </c>
      <c r="H30" s="53"/>
      <c r="I30" s="43"/>
      <c r="J30" s="29"/>
      <c r="K30" s="29"/>
      <c r="L30" s="29"/>
    </row>
    <row r="31" spans="1:12" x14ac:dyDescent="0.25">
      <c r="A31" s="5">
        <v>2003</v>
      </c>
      <c r="B31" s="36">
        <v>2.2790439132851503E-2</v>
      </c>
      <c r="C31" s="37">
        <v>1.9943790496125269E-2</v>
      </c>
      <c r="D31" s="37">
        <v>2.7999999999999997E-2</v>
      </c>
      <c r="E31" s="38">
        <v>11510.7</v>
      </c>
      <c r="F31" s="21">
        <f t="shared" si="0"/>
        <v>4.8572079253017542E-2</v>
      </c>
      <c r="H31" s="53"/>
      <c r="I31" s="43"/>
      <c r="J31" s="29"/>
      <c r="K31" s="29"/>
      <c r="L31" s="29"/>
    </row>
    <row r="32" spans="1:12" x14ac:dyDescent="0.25">
      <c r="A32" s="5">
        <v>2004</v>
      </c>
      <c r="B32" s="36">
        <v>2.6630434782608736E-2</v>
      </c>
      <c r="C32" s="37">
        <v>2.7497550008647176E-2</v>
      </c>
      <c r="D32" s="37">
        <v>3.7999999999999999E-2</v>
      </c>
      <c r="E32" s="38">
        <v>12274.9</v>
      </c>
      <c r="F32" s="21">
        <f t="shared" si="0"/>
        <v>6.6390401973815516E-2</v>
      </c>
      <c r="H32" s="53"/>
      <c r="I32" s="43"/>
      <c r="J32" s="29"/>
      <c r="K32" s="29"/>
      <c r="L32" s="29"/>
    </row>
    <row r="33" spans="1:12" x14ac:dyDescent="0.25">
      <c r="A33" s="5">
        <v>2005</v>
      </c>
      <c r="B33" s="36">
        <v>3.3880359978824881E-2</v>
      </c>
      <c r="C33" s="37">
        <v>3.2181328545780818E-2</v>
      </c>
      <c r="D33" s="37">
        <v>3.3000000000000002E-2</v>
      </c>
      <c r="E33" s="38">
        <v>13093.7</v>
      </c>
      <c r="F33" s="21">
        <f t="shared" si="0"/>
        <v>6.6705227741163053E-2</v>
      </c>
      <c r="H33" s="53"/>
      <c r="I33" s="43"/>
      <c r="J33" s="29"/>
      <c r="K33" s="29"/>
      <c r="L33" s="29"/>
    </row>
    <row r="34" spans="1:12" x14ac:dyDescent="0.25">
      <c r="A34" s="5">
        <v>2006</v>
      </c>
      <c r="B34" s="36">
        <v>3.2258064516129004E-2</v>
      </c>
      <c r="C34" s="37">
        <v>3.0721398443275039E-2</v>
      </c>
      <c r="D34" s="37">
        <v>2.7000000000000003E-2</v>
      </c>
      <c r="E34" s="38">
        <v>13855.9</v>
      </c>
      <c r="F34" s="21">
        <f t="shared" si="0"/>
        <v>5.8211200806494556E-2</v>
      </c>
      <c r="H34" s="53"/>
      <c r="I34" s="43"/>
      <c r="J34" s="29"/>
      <c r="K34" s="29"/>
      <c r="L34" s="29"/>
    </row>
    <row r="35" spans="1:12" x14ac:dyDescent="0.25">
      <c r="A35" s="5">
        <v>2007</v>
      </c>
      <c r="B35" s="36">
        <v>2.84821428571429E-2</v>
      </c>
      <c r="C35" s="37">
        <v>2.6609994304638729E-2</v>
      </c>
      <c r="D35" s="37">
        <v>1.8000000000000002E-2</v>
      </c>
      <c r="E35" s="38">
        <v>14477.6</v>
      </c>
      <c r="F35" s="21">
        <f>E35/E34-1</f>
        <v>4.4868972784156913E-2</v>
      </c>
      <c r="H35" s="53"/>
      <c r="I35" s="43"/>
      <c r="J35" s="29"/>
      <c r="K35" s="29"/>
      <c r="L35" s="29"/>
    </row>
    <row r="36" spans="1:12" x14ac:dyDescent="0.25">
      <c r="A36" s="5">
        <v>2008</v>
      </c>
      <c r="B36" s="36">
        <v>3.8395501152684863E-2</v>
      </c>
      <c r="C36" s="37">
        <v>1.9612274880055791E-2</v>
      </c>
      <c r="D36" s="37">
        <v>-3.0000000000000001E-3</v>
      </c>
      <c r="E36" s="38">
        <v>14718.6</v>
      </c>
      <c r="F36" s="21">
        <f>E36/E35-1</f>
        <v>1.6646405481571591E-2</v>
      </c>
      <c r="H36" s="53"/>
      <c r="I36" s="43"/>
      <c r="J36" s="29"/>
      <c r="K36" s="29"/>
      <c r="L36" s="29"/>
    </row>
    <row r="37" spans="1:12" x14ac:dyDescent="0.25">
      <c r="A37" s="5">
        <v>2009</v>
      </c>
      <c r="B37" s="36">
        <v>-3.5577767146764971E-3</v>
      </c>
      <c r="C37" s="37">
        <v>7.5972835177235964E-3</v>
      </c>
      <c r="D37" s="37">
        <v>-2.7999999999999997E-2</v>
      </c>
      <c r="E37" s="38">
        <v>14418.7</v>
      </c>
      <c r="F37" s="21">
        <f>E37/E36-1</f>
        <v>-2.0375579199108595E-2</v>
      </c>
      <c r="H37" s="53"/>
      <c r="I37" s="43"/>
      <c r="J37" s="29"/>
      <c r="K37" s="29"/>
      <c r="L37" s="29"/>
    </row>
    <row r="38" spans="1:12" x14ac:dyDescent="0.25">
      <c r="A38" s="5">
        <v>2010</v>
      </c>
      <c r="B38" s="36">
        <v>1.6402765024214894E-2</v>
      </c>
      <c r="C38" s="37">
        <v>1.2210000000000054E-2</v>
      </c>
      <c r="D38" s="37">
        <v>2.5000000000000001E-2</v>
      </c>
      <c r="E38" s="38">
        <v>14964.4</v>
      </c>
      <c r="F38" s="21">
        <f t="shared" ref="F38:F39" si="1">E38/E37-1</f>
        <v>3.7846685207404196E-2</v>
      </c>
      <c r="H38" s="53"/>
      <c r="I38" s="43"/>
      <c r="J38" s="29"/>
      <c r="K38" s="29"/>
      <c r="L38" s="29"/>
    </row>
    <row r="39" spans="1:12" x14ac:dyDescent="0.25">
      <c r="A39" s="5">
        <v>2011</v>
      </c>
      <c r="B39" s="36">
        <v>3.1565285981582702E-2</v>
      </c>
      <c r="C39" s="37">
        <v>2.0647889271989017E-2</v>
      </c>
      <c r="D39" s="37">
        <v>1.6E-2</v>
      </c>
      <c r="E39" s="38">
        <v>15517.9</v>
      </c>
      <c r="F39" s="21">
        <f t="shared" si="1"/>
        <v>3.6987784341503849E-2</v>
      </c>
      <c r="H39" s="53"/>
      <c r="I39" s="43"/>
      <c r="J39" s="29"/>
      <c r="K39" s="29"/>
      <c r="L39" s="29"/>
    </row>
    <row r="40" spans="1:12" s="17" customFormat="1" x14ac:dyDescent="0.25">
      <c r="A40" s="5">
        <v>2012</v>
      </c>
      <c r="B40" s="36">
        <v>2.0694499397614363E-2</v>
      </c>
      <c r="C40" s="37">
        <v>1.8420110152839397E-2</v>
      </c>
      <c r="D40" s="37">
        <v>2.2000000000000002E-2</v>
      </c>
      <c r="E40" s="38">
        <v>16155.3</v>
      </c>
      <c r="F40" s="21">
        <f>E40/E39-1</f>
        <v>4.1075145477158514E-2</v>
      </c>
      <c r="H40" s="53"/>
      <c r="I40" s="43"/>
      <c r="J40" s="29"/>
      <c r="K40" s="29"/>
      <c r="L40" s="29"/>
    </row>
    <row r="41" spans="1:12" s="53" customFormat="1" x14ac:dyDescent="0.25">
      <c r="A41" s="56">
        <v>2013</v>
      </c>
      <c r="B41" s="36">
        <v>1.46475953204352E-2</v>
      </c>
      <c r="C41" s="37">
        <v>1.6300112152375146E-2</v>
      </c>
      <c r="D41" s="37">
        <v>1.4999999999999999E-2</v>
      </c>
      <c r="E41" s="38">
        <v>16663.2</v>
      </c>
      <c r="F41" s="21">
        <f>E41/E40-1</f>
        <v>3.1438599097509901E-2</v>
      </c>
      <c r="I41" s="43"/>
      <c r="J41" s="29"/>
      <c r="K41" s="29"/>
      <c r="L41" s="29"/>
    </row>
    <row r="42" spans="1:12" s="53" customFormat="1" x14ac:dyDescent="0.25">
      <c r="A42" s="56">
        <v>2014</v>
      </c>
      <c r="B42" s="36">
        <v>1.6E-2</v>
      </c>
      <c r="C42" s="37">
        <v>1.6431463868548324E-2</v>
      </c>
      <c r="D42" s="37">
        <v>2.4E-2</v>
      </c>
      <c r="E42" s="38">
        <v>17348.099999999999</v>
      </c>
      <c r="F42" s="21">
        <f>E42/E41-1</f>
        <v>4.1102549330260585E-2</v>
      </c>
      <c r="H42" s="200"/>
      <c r="I42" s="43"/>
      <c r="J42" s="29"/>
      <c r="K42" s="29"/>
      <c r="L42" s="29"/>
    </row>
    <row r="43" spans="1:12" s="17" customFormat="1" x14ac:dyDescent="0.25">
      <c r="F43" s="21"/>
      <c r="H43" s="29"/>
      <c r="I43" s="29"/>
      <c r="J43" s="29"/>
      <c r="K43" s="29"/>
      <c r="L43" s="29"/>
    </row>
    <row r="44" spans="1:12" x14ac:dyDescent="0.25">
      <c r="A44" s="29" t="s">
        <v>133</v>
      </c>
    </row>
    <row r="45" spans="1:12" x14ac:dyDescent="0.25">
      <c r="A45" s="69" t="s">
        <v>1281</v>
      </c>
      <c r="B45" s="39">
        <f>AVERAGE(B$13:B$42)</f>
        <v>2.7885032061118739E-2</v>
      </c>
      <c r="C45" s="39">
        <f>AVERAGE(C$13:C$42)</f>
        <v>2.2705462251925136E-2</v>
      </c>
      <c r="D45" s="39">
        <f>AVERAGE(D$13:D$42)</f>
        <v>2.6600000000000009E-2</v>
      </c>
      <c r="E45" s="42">
        <f>((E$42/E$13)^(1/30))-1</f>
        <v>4.7216335937447118E-2</v>
      </c>
      <c r="F45" s="39">
        <f>AVERAGE(F$13:F$42)</f>
        <v>4.9956705201340414E-2</v>
      </c>
    </row>
    <row r="46" spans="1:12" x14ac:dyDescent="0.25">
      <c r="A46" s="70" t="s">
        <v>1282</v>
      </c>
      <c r="B46" s="40">
        <f>AVERAGE(B$23:B$42)</f>
        <v>2.3727136114716822E-2</v>
      </c>
      <c r="C46" s="40">
        <f>AVERAGE(C$23:C$42)</f>
        <v>1.9572681494646204E-2</v>
      </c>
      <c r="D46" s="40">
        <f>AVERAGE(D$23:D$42)</f>
        <v>2.4300000000000006E-2</v>
      </c>
      <c r="E46" s="40">
        <f>((E$42/E$23)^(1/20))-1</f>
        <v>4.1692500909126906E-2</v>
      </c>
      <c r="F46" s="40">
        <f>AVERAGE(F$23:F$42)</f>
        <v>4.4365438702434909E-2</v>
      </c>
    </row>
    <row r="47" spans="1:12" x14ac:dyDescent="0.25">
      <c r="A47" s="71" t="s">
        <v>1283</v>
      </c>
      <c r="B47" s="41">
        <f>AVERAGE(B$33:B$42)</f>
        <v>2.2876843751395232E-2</v>
      </c>
      <c r="C47" s="41">
        <f>AVERAGE(C$33:C$42)</f>
        <v>2.0073185513722593E-2</v>
      </c>
      <c r="D47" s="41">
        <f>AVERAGE(D$33:D$42)</f>
        <v>1.49E-2</v>
      </c>
      <c r="E47" s="41">
        <f>((E$42/E$33)^(1/10))-1</f>
        <v>2.8534711504399679E-2</v>
      </c>
      <c r="F47" s="41">
        <f>AVERAGE(F$33:F$42)</f>
        <v>3.5450699106811458E-2</v>
      </c>
    </row>
    <row r="48" spans="1:12" x14ac:dyDescent="0.25">
      <c r="A48" s="29"/>
    </row>
    <row r="49" spans="1:2" x14ac:dyDescent="0.25">
      <c r="A49" s="62" t="s">
        <v>104</v>
      </c>
      <c r="B49" s="15"/>
    </row>
    <row r="50" spans="1:2" x14ac:dyDescent="0.25">
      <c r="A50" s="29" t="s">
        <v>128</v>
      </c>
    </row>
    <row r="51" spans="1:2" x14ac:dyDescent="0.25">
      <c r="A51" s="29" t="s">
        <v>129</v>
      </c>
    </row>
    <row r="52" spans="1:2" x14ac:dyDescent="0.25">
      <c r="A52" s="29" t="s">
        <v>130</v>
      </c>
    </row>
    <row r="53" spans="1:2" s="17" customFormat="1" x14ac:dyDescent="0.25">
      <c r="A53" s="29" t="s">
        <v>1277</v>
      </c>
    </row>
    <row r="54" spans="1:2" x14ac:dyDescent="0.25">
      <c r="A54" s="29" t="s">
        <v>131</v>
      </c>
    </row>
    <row r="55" spans="1:2" x14ac:dyDescent="0.25">
      <c r="A55" s="29" t="s">
        <v>1278</v>
      </c>
    </row>
    <row r="56" spans="1:2" x14ac:dyDescent="0.25">
      <c r="A56" s="29" t="s">
        <v>132</v>
      </c>
    </row>
    <row r="57" spans="1:2" x14ac:dyDescent="0.25">
      <c r="A57" s="29" t="s">
        <v>1279</v>
      </c>
    </row>
    <row r="58" spans="1:2" x14ac:dyDescent="0.25">
      <c r="A58" s="17" t="s">
        <v>134</v>
      </c>
    </row>
    <row r="59" spans="1:2" x14ac:dyDescent="0.25">
      <c r="A59" s="17" t="s">
        <v>135</v>
      </c>
    </row>
  </sheetData>
  <printOptions horizontalCentered="1"/>
  <pageMargins left="0.7" right="0.7" top="1.25" bottom="0.75" header="0.3" footer="0.3"/>
  <pageSetup scale="72" orientation="portrait" useFirstPageNumber="1" r:id="rId1"/>
  <headerFooter alignWithMargins="0">
    <oddHeader>&amp;RDocket No. UG-15____
Cascade Natural Gas Corp.
Exhibit No.___(JSG-2)
Schedule 1
Page &amp;P of 3</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R125"/>
  <sheetViews>
    <sheetView showOutlineSymbols="0" zoomScale="90" zoomScaleNormal="90" zoomScalePageLayoutView="90" workbookViewId="0">
      <selection activeCell="J5" sqref="J5"/>
    </sheetView>
  </sheetViews>
  <sheetFormatPr defaultColWidth="8" defaultRowHeight="15.75" x14ac:dyDescent="0.25"/>
  <cols>
    <col min="1" max="1" width="8" style="53" customWidth="1"/>
    <col min="2" max="2" width="9" style="53" customWidth="1"/>
    <col min="3" max="8" width="10.25" style="53" customWidth="1"/>
    <col min="9" max="16384" width="8" style="53"/>
  </cols>
  <sheetData>
    <row r="1" spans="1:18" ht="20.25" x14ac:dyDescent="0.3">
      <c r="A1" s="24" t="s">
        <v>1288</v>
      </c>
      <c r="B1" s="57"/>
      <c r="C1" s="57"/>
      <c r="D1" s="57"/>
      <c r="E1" s="57"/>
      <c r="F1" s="57"/>
      <c r="G1" s="57"/>
      <c r="H1" s="57"/>
      <c r="J1" s="73"/>
    </row>
    <row r="3" spans="1:18" ht="18.75" x14ac:dyDescent="0.3">
      <c r="A3" s="25" t="s">
        <v>79</v>
      </c>
      <c r="B3" s="57"/>
      <c r="C3" s="57"/>
      <c r="D3" s="57"/>
      <c r="E3" s="57"/>
      <c r="F3" s="57"/>
      <c r="G3" s="57"/>
      <c r="H3" s="57"/>
    </row>
    <row r="4" spans="1:18" ht="18.75" x14ac:dyDescent="0.3">
      <c r="A4" s="34" t="s">
        <v>1269</v>
      </c>
      <c r="B4" s="48"/>
      <c r="C4" s="48"/>
      <c r="D4" s="48"/>
      <c r="E4" s="48"/>
      <c r="F4" s="48"/>
      <c r="G4" s="57"/>
      <c r="H4" s="57"/>
    </row>
    <row r="6" spans="1:18" ht="16.5" thickBot="1" x14ac:dyDescent="0.3">
      <c r="C6" s="56" t="s">
        <v>80</v>
      </c>
      <c r="D6" s="56" t="s">
        <v>81</v>
      </c>
      <c r="E6" s="56" t="s">
        <v>82</v>
      </c>
      <c r="F6" s="56" t="s">
        <v>83</v>
      </c>
      <c r="G6" s="56" t="s">
        <v>84</v>
      </c>
      <c r="H6" s="56" t="s">
        <v>85</v>
      </c>
    </row>
    <row r="7" spans="1:18" x14ac:dyDescent="0.25">
      <c r="A7" s="31"/>
      <c r="B7" s="31"/>
      <c r="C7" s="32" t="s">
        <v>138</v>
      </c>
      <c r="D7" s="32"/>
      <c r="E7" s="32"/>
      <c r="F7" s="32"/>
      <c r="G7" s="32"/>
      <c r="H7" s="32"/>
    </row>
    <row r="8" spans="1:18" x14ac:dyDescent="0.25">
      <c r="C8" s="56" t="s">
        <v>139</v>
      </c>
    </row>
    <row r="9" spans="1:18" x14ac:dyDescent="0.25">
      <c r="A9" s="19"/>
      <c r="B9" s="19"/>
      <c r="C9" s="20" t="s">
        <v>140</v>
      </c>
      <c r="D9" s="20" t="s">
        <v>7</v>
      </c>
      <c r="E9" s="11" t="s">
        <v>86</v>
      </c>
      <c r="F9" s="11"/>
      <c r="G9" s="11" t="s">
        <v>87</v>
      </c>
      <c r="H9" s="11"/>
    </row>
    <row r="10" spans="1:18" x14ac:dyDescent="0.25">
      <c r="A10" s="55"/>
      <c r="B10" s="55"/>
      <c r="C10" s="10" t="s">
        <v>141</v>
      </c>
      <c r="D10" s="10" t="s">
        <v>88</v>
      </c>
      <c r="E10" s="10" t="s">
        <v>89</v>
      </c>
      <c r="F10" s="10" t="s">
        <v>90</v>
      </c>
      <c r="G10" s="10" t="s">
        <v>89</v>
      </c>
      <c r="H10" s="10" t="s">
        <v>90</v>
      </c>
    </row>
    <row r="12" spans="1:18" x14ac:dyDescent="0.25">
      <c r="A12" s="56">
        <v>2010</v>
      </c>
      <c r="B12" s="56" t="s">
        <v>91</v>
      </c>
      <c r="C12" s="35">
        <v>4.6047368421052628</v>
      </c>
      <c r="D12" s="35">
        <v>5.762631578947369</v>
      </c>
      <c r="E12" s="35">
        <v>5.7726315789473688</v>
      </c>
      <c r="F12" s="35">
        <v>6.1557894736842114</v>
      </c>
      <c r="G12" s="22">
        <f t="shared" ref="G12:G23" si="0">E12-C12</f>
        <v>1.167894736842106</v>
      </c>
      <c r="H12" s="22">
        <f t="shared" ref="H12:H23" si="1">F12-C12</f>
        <v>1.5510526315789486</v>
      </c>
      <c r="I12" s="52"/>
      <c r="J12" s="52"/>
      <c r="K12" s="52"/>
      <c r="L12" s="52"/>
      <c r="O12" s="52"/>
      <c r="P12" s="52"/>
      <c r="Q12" s="52"/>
      <c r="R12" s="52"/>
    </row>
    <row r="13" spans="1:18" x14ac:dyDescent="0.25">
      <c r="B13" s="56" t="s">
        <v>92</v>
      </c>
      <c r="C13" s="35">
        <v>4.6194736842105257</v>
      </c>
      <c r="D13" s="35">
        <v>5.8615789473684208</v>
      </c>
      <c r="E13" s="35">
        <v>5.8705263157894736</v>
      </c>
      <c r="F13" s="35">
        <v>6.2463157894736838</v>
      </c>
      <c r="G13" s="22">
        <f t="shared" si="0"/>
        <v>1.2510526315789479</v>
      </c>
      <c r="H13" s="22">
        <f t="shared" si="1"/>
        <v>1.6268421052631581</v>
      </c>
      <c r="I13" s="52"/>
      <c r="J13" s="52"/>
      <c r="K13" s="52"/>
      <c r="L13" s="52"/>
      <c r="O13" s="52"/>
      <c r="P13" s="52"/>
      <c r="Q13" s="52"/>
      <c r="R13" s="52"/>
    </row>
    <row r="14" spans="1:18" x14ac:dyDescent="0.25">
      <c r="B14" s="56" t="s">
        <v>93</v>
      </c>
      <c r="C14" s="35">
        <v>4.6447826086956523</v>
      </c>
      <c r="D14" s="35">
        <v>5.8100000000000014</v>
      </c>
      <c r="E14" s="35">
        <v>5.8439130434782607</v>
      </c>
      <c r="F14" s="35">
        <v>6.2234782608695642</v>
      </c>
      <c r="G14" s="22">
        <f t="shared" si="0"/>
        <v>1.1991304347826084</v>
      </c>
      <c r="H14" s="22">
        <f t="shared" si="1"/>
        <v>1.5786956521739119</v>
      </c>
      <c r="I14" s="52"/>
      <c r="J14" s="52"/>
      <c r="K14" s="52"/>
      <c r="L14" s="52"/>
      <c r="O14" s="52"/>
      <c r="P14" s="52"/>
      <c r="Q14" s="52"/>
      <c r="R14" s="52"/>
    </row>
    <row r="15" spans="1:18" x14ac:dyDescent="0.25">
      <c r="B15" s="56" t="s">
        <v>94</v>
      </c>
      <c r="C15" s="35">
        <v>4.6931818181818192</v>
      </c>
      <c r="D15" s="35">
        <v>5.7963636363636377</v>
      </c>
      <c r="E15" s="35">
        <v>5.8136363636363635</v>
      </c>
      <c r="F15" s="35">
        <v>6.1868181818181816</v>
      </c>
      <c r="G15" s="22">
        <f t="shared" si="0"/>
        <v>1.1204545454545443</v>
      </c>
      <c r="H15" s="22">
        <f t="shared" si="1"/>
        <v>1.4936363636363623</v>
      </c>
      <c r="I15" s="52"/>
      <c r="J15" s="52"/>
      <c r="K15" s="52"/>
      <c r="L15" s="52"/>
      <c r="O15" s="52"/>
      <c r="P15" s="52"/>
      <c r="Q15" s="52"/>
      <c r="R15" s="52"/>
    </row>
    <row r="16" spans="1:18" x14ac:dyDescent="0.25">
      <c r="B16" s="56" t="s">
        <v>95</v>
      </c>
      <c r="C16" s="35">
        <v>4.2859999999999996</v>
      </c>
      <c r="D16" s="35">
        <v>5.5150000000000006</v>
      </c>
      <c r="E16" s="35">
        <v>5.4969999999999981</v>
      </c>
      <c r="F16" s="35">
        <v>5.9700000000000015</v>
      </c>
      <c r="G16" s="22">
        <f t="shared" si="0"/>
        <v>1.2109999999999985</v>
      </c>
      <c r="H16" s="22">
        <f t="shared" si="1"/>
        <v>1.6840000000000019</v>
      </c>
      <c r="I16" s="52"/>
      <c r="J16" s="52"/>
      <c r="K16" s="52"/>
      <c r="L16" s="52"/>
      <c r="O16" s="52"/>
      <c r="P16" s="52"/>
      <c r="Q16" s="52"/>
      <c r="R16" s="52"/>
    </row>
    <row r="17" spans="1:18" x14ac:dyDescent="0.25">
      <c r="B17" s="56" t="s">
        <v>96</v>
      </c>
      <c r="C17" s="35">
        <v>4.127727272727272</v>
      </c>
      <c r="D17" s="35">
        <v>5.5245454545454535</v>
      </c>
      <c r="E17" s="35">
        <v>5.462727272727272</v>
      </c>
      <c r="F17" s="35">
        <v>6.1804545454545439</v>
      </c>
      <c r="G17" s="22">
        <f>E17-C17</f>
        <v>1.335</v>
      </c>
      <c r="H17" s="22">
        <f>F17-C17</f>
        <v>2.0527272727272718</v>
      </c>
      <c r="I17" s="52"/>
      <c r="J17" s="52"/>
      <c r="K17" s="52"/>
      <c r="L17" s="52"/>
      <c r="O17" s="52"/>
      <c r="P17" s="52"/>
      <c r="Q17" s="52"/>
      <c r="R17" s="52"/>
    </row>
    <row r="18" spans="1:18" x14ac:dyDescent="0.25">
      <c r="B18" s="56" t="s">
        <v>97</v>
      </c>
      <c r="C18" s="35">
        <v>3.9942857142857142</v>
      </c>
      <c r="D18" s="35">
        <v>5.32</v>
      </c>
      <c r="E18" s="35">
        <v>5.2580952380952386</v>
      </c>
      <c r="F18" s="35">
        <v>5.9790476190476198</v>
      </c>
      <c r="G18" s="22">
        <f t="shared" si="0"/>
        <v>1.2638095238095244</v>
      </c>
      <c r="H18" s="22">
        <f t="shared" si="1"/>
        <v>1.9847619047619056</v>
      </c>
      <c r="I18" s="52"/>
      <c r="J18" s="52"/>
      <c r="K18" s="52"/>
      <c r="L18" s="52"/>
      <c r="O18" s="52"/>
      <c r="P18" s="52"/>
      <c r="Q18" s="52"/>
      <c r="R18" s="52"/>
    </row>
    <row r="19" spans="1:18" x14ac:dyDescent="0.25">
      <c r="B19" s="56" t="s">
        <v>98</v>
      </c>
      <c r="C19" s="35">
        <v>3.8031818181818178</v>
      </c>
      <c r="D19" s="35">
        <v>5.0450000000000008</v>
      </c>
      <c r="E19" s="35">
        <v>5.0077272727272719</v>
      </c>
      <c r="F19" s="35">
        <v>5.5472727272727269</v>
      </c>
      <c r="G19" s="22">
        <f t="shared" si="0"/>
        <v>1.2045454545454541</v>
      </c>
      <c r="H19" s="22">
        <f t="shared" si="1"/>
        <v>1.7440909090909091</v>
      </c>
      <c r="I19" s="52"/>
      <c r="J19" s="52"/>
      <c r="K19" s="52"/>
      <c r="L19" s="52"/>
      <c r="O19" s="52"/>
      <c r="P19" s="52"/>
      <c r="Q19" s="52"/>
      <c r="R19" s="52"/>
    </row>
    <row r="20" spans="1:18" x14ac:dyDescent="0.25">
      <c r="B20" s="56" t="s">
        <v>99</v>
      </c>
      <c r="C20" s="35">
        <v>3.773333333333333</v>
      </c>
      <c r="D20" s="35">
        <v>5.050476190476191</v>
      </c>
      <c r="E20" s="35">
        <v>5.0095238095238086</v>
      </c>
      <c r="F20" s="35">
        <v>5.5319047619047623</v>
      </c>
      <c r="G20" s="22">
        <f t="shared" si="0"/>
        <v>1.2361904761904756</v>
      </c>
      <c r="H20" s="22">
        <f t="shared" si="1"/>
        <v>1.7585714285714293</v>
      </c>
      <c r="I20" s="52"/>
      <c r="J20" s="52"/>
      <c r="K20" s="52"/>
      <c r="L20" s="52"/>
      <c r="O20" s="52"/>
      <c r="P20" s="52"/>
      <c r="Q20" s="52"/>
      <c r="R20" s="52"/>
    </row>
    <row r="21" spans="1:18" x14ac:dyDescent="0.25">
      <c r="B21" s="56" t="s">
        <v>100</v>
      </c>
      <c r="C21" s="35">
        <v>3.8724999999999996</v>
      </c>
      <c r="D21" s="35">
        <v>5.1450000000000005</v>
      </c>
      <c r="E21" s="35">
        <v>5.1029999999999998</v>
      </c>
      <c r="F21" s="35">
        <v>5.62</v>
      </c>
      <c r="G21" s="22">
        <f t="shared" si="0"/>
        <v>1.2305000000000001</v>
      </c>
      <c r="H21" s="22">
        <f t="shared" si="1"/>
        <v>1.7475000000000005</v>
      </c>
      <c r="I21" s="52"/>
      <c r="J21" s="52"/>
      <c r="K21" s="52"/>
      <c r="L21" s="52"/>
      <c r="O21" s="52"/>
      <c r="P21" s="52"/>
      <c r="Q21" s="52"/>
      <c r="R21" s="52"/>
    </row>
    <row r="22" spans="1:18" x14ac:dyDescent="0.25">
      <c r="B22" s="56" t="s">
        <v>101</v>
      </c>
      <c r="C22" s="35">
        <v>4.1859999999999999</v>
      </c>
      <c r="D22" s="35">
        <v>5.3728571428571437</v>
      </c>
      <c r="E22" s="35">
        <v>5.3671428571428557</v>
      </c>
      <c r="F22" s="35">
        <v>5.854285714285715</v>
      </c>
      <c r="G22" s="22">
        <f t="shared" si="0"/>
        <v>1.1811428571428557</v>
      </c>
      <c r="H22" s="22">
        <f t="shared" si="1"/>
        <v>1.668285714285715</v>
      </c>
      <c r="I22" s="52"/>
      <c r="J22" s="52"/>
      <c r="K22" s="52"/>
      <c r="L22" s="52"/>
      <c r="O22" s="52"/>
      <c r="P22" s="52"/>
      <c r="Q22" s="52"/>
      <c r="R22" s="52"/>
    </row>
    <row r="23" spans="1:18" x14ac:dyDescent="0.25">
      <c r="B23" s="56" t="s">
        <v>102</v>
      </c>
      <c r="C23" s="35">
        <v>4.4177272727272729</v>
      </c>
      <c r="D23" s="35">
        <v>5.5486363636363629</v>
      </c>
      <c r="E23" s="35">
        <v>5.5590909090909104</v>
      </c>
      <c r="F23" s="35">
        <v>6.036363636363637</v>
      </c>
      <c r="G23" s="22">
        <f t="shared" si="0"/>
        <v>1.1413636363636375</v>
      </c>
      <c r="H23" s="22">
        <f t="shared" si="1"/>
        <v>1.6186363636363641</v>
      </c>
      <c r="I23" s="52"/>
      <c r="J23" s="52"/>
      <c r="K23" s="52"/>
      <c r="L23" s="52"/>
      <c r="O23" s="52"/>
      <c r="P23" s="52"/>
      <c r="Q23" s="52"/>
      <c r="R23" s="52"/>
    </row>
    <row r="24" spans="1:18" x14ac:dyDescent="0.25">
      <c r="C24" s="35"/>
      <c r="I24" s="52"/>
      <c r="J24" s="52"/>
      <c r="K24" s="52"/>
      <c r="L24" s="52"/>
      <c r="O24" s="52"/>
      <c r="P24" s="52"/>
      <c r="Q24" s="52"/>
      <c r="R24" s="52"/>
    </row>
    <row r="25" spans="1:18" x14ac:dyDescent="0.25">
      <c r="A25" s="56">
        <v>2011</v>
      </c>
      <c r="B25" s="56" t="s">
        <v>91</v>
      </c>
      <c r="C25" s="35">
        <v>4.5230000000000015</v>
      </c>
      <c r="D25" s="35">
        <v>5.5559999999999992</v>
      </c>
      <c r="E25" s="35">
        <v>5.5695000000000006</v>
      </c>
      <c r="F25" s="35">
        <v>6.0580000000000016</v>
      </c>
      <c r="G25" s="22">
        <f t="shared" ref="G25:G36" si="2">E25-C25</f>
        <v>1.0464999999999991</v>
      </c>
      <c r="H25" s="22">
        <f t="shared" ref="H25:H36" si="3">F25-C25</f>
        <v>1.5350000000000001</v>
      </c>
      <c r="I25" s="52"/>
      <c r="J25" s="52"/>
      <c r="K25" s="52"/>
      <c r="L25" s="52"/>
      <c r="O25" s="52"/>
      <c r="P25" s="52"/>
      <c r="Q25" s="52"/>
      <c r="R25" s="52"/>
    </row>
    <row r="26" spans="1:18" x14ac:dyDescent="0.25">
      <c r="B26" s="56" t="s">
        <v>92</v>
      </c>
      <c r="C26" s="35">
        <v>4.6521052631578952</v>
      </c>
      <c r="D26" s="35">
        <v>5.66</v>
      </c>
      <c r="E26" s="35">
        <v>5.6789473684210527</v>
      </c>
      <c r="F26" s="35">
        <v>6.1042105263157893</v>
      </c>
      <c r="G26" s="22">
        <f t="shared" si="2"/>
        <v>1.0268421052631576</v>
      </c>
      <c r="H26" s="22">
        <f t="shared" si="3"/>
        <v>1.4521052631578941</v>
      </c>
      <c r="I26" s="52"/>
      <c r="J26" s="52"/>
      <c r="K26" s="52"/>
      <c r="L26" s="52"/>
      <c r="O26" s="52"/>
      <c r="P26" s="52"/>
      <c r="Q26" s="52"/>
      <c r="R26" s="52"/>
    </row>
    <row r="27" spans="1:18" x14ac:dyDescent="0.25">
      <c r="B27" s="56" t="s">
        <v>93</v>
      </c>
      <c r="C27" s="35">
        <v>4.5139130434782615</v>
      </c>
      <c r="D27" s="35">
        <v>5.5543478260869561</v>
      </c>
      <c r="E27" s="35">
        <v>5.5639130434782604</v>
      </c>
      <c r="F27" s="35">
        <v>5.9704347826086952</v>
      </c>
      <c r="G27" s="22">
        <f t="shared" si="2"/>
        <v>1.0499999999999989</v>
      </c>
      <c r="H27" s="22">
        <f t="shared" si="3"/>
        <v>1.4565217391304337</v>
      </c>
      <c r="I27" s="52"/>
      <c r="J27" s="52"/>
      <c r="K27" s="52"/>
      <c r="L27" s="52"/>
      <c r="O27" s="52"/>
      <c r="P27" s="52"/>
      <c r="Q27" s="52"/>
      <c r="R27" s="52"/>
    </row>
    <row r="28" spans="1:18" x14ac:dyDescent="0.25">
      <c r="B28" s="56" t="s">
        <v>94</v>
      </c>
      <c r="C28" s="35">
        <v>4.5015000000000001</v>
      </c>
      <c r="D28" s="35">
        <v>5.5569999999999995</v>
      </c>
      <c r="E28" s="35">
        <v>5.5540000000000003</v>
      </c>
      <c r="F28" s="35">
        <v>5.9809999999999999</v>
      </c>
      <c r="G28" s="22">
        <f t="shared" si="2"/>
        <v>1.0525000000000002</v>
      </c>
      <c r="H28" s="22">
        <f t="shared" si="3"/>
        <v>1.4794999999999998</v>
      </c>
      <c r="I28" s="52"/>
      <c r="J28" s="52"/>
      <c r="K28" s="52"/>
      <c r="L28" s="52"/>
      <c r="O28" s="52"/>
      <c r="P28" s="52"/>
      <c r="Q28" s="52"/>
      <c r="R28" s="52"/>
    </row>
    <row r="29" spans="1:18" x14ac:dyDescent="0.25">
      <c r="B29" s="56" t="s">
        <v>95</v>
      </c>
      <c r="C29" s="35">
        <v>4.293333333333333</v>
      </c>
      <c r="D29" s="35">
        <v>5.3295238095238107</v>
      </c>
      <c r="E29" s="35">
        <v>5.3204761904761897</v>
      </c>
      <c r="F29" s="35">
        <v>5.7419047619047614</v>
      </c>
      <c r="G29" s="22">
        <f t="shared" si="2"/>
        <v>1.0271428571428567</v>
      </c>
      <c r="H29" s="22">
        <f t="shared" si="3"/>
        <v>1.4485714285714284</v>
      </c>
      <c r="I29" s="52"/>
      <c r="J29" s="52"/>
      <c r="K29" s="52"/>
      <c r="L29" s="52"/>
      <c r="O29" s="52"/>
      <c r="P29" s="52"/>
      <c r="Q29" s="52"/>
      <c r="R29" s="52"/>
    </row>
    <row r="30" spans="1:18" x14ac:dyDescent="0.25">
      <c r="B30" s="56" t="s">
        <v>96</v>
      </c>
      <c r="C30" s="35">
        <v>4.2327272727272724</v>
      </c>
      <c r="D30" s="35">
        <v>5.3031818181818187</v>
      </c>
      <c r="E30" s="35">
        <v>5.2631818181818186</v>
      </c>
      <c r="F30" s="35">
        <v>5.6731818181818179</v>
      </c>
      <c r="G30" s="22">
        <f t="shared" si="2"/>
        <v>1.0304545454545462</v>
      </c>
      <c r="H30" s="22">
        <f t="shared" si="3"/>
        <v>1.4404545454545454</v>
      </c>
      <c r="I30" s="52"/>
      <c r="J30" s="52"/>
      <c r="K30" s="52"/>
      <c r="L30" s="52"/>
      <c r="O30" s="52"/>
      <c r="P30" s="52"/>
      <c r="Q30" s="52"/>
      <c r="R30" s="52"/>
    </row>
    <row r="31" spans="1:18" x14ac:dyDescent="0.25">
      <c r="B31" s="56" t="s">
        <v>97</v>
      </c>
      <c r="C31" s="35">
        <v>4.2705000000000002</v>
      </c>
      <c r="D31" s="35">
        <v>5.2965</v>
      </c>
      <c r="E31" s="35">
        <v>5.2649999999999988</v>
      </c>
      <c r="F31" s="35">
        <v>5.6995000000000013</v>
      </c>
      <c r="G31" s="22">
        <f t="shared" si="2"/>
        <v>0.99449999999999861</v>
      </c>
      <c r="H31" s="22">
        <f t="shared" si="3"/>
        <v>1.4290000000000012</v>
      </c>
      <c r="I31" s="52"/>
      <c r="J31" s="52"/>
      <c r="K31" s="52"/>
      <c r="L31" s="52"/>
      <c r="O31" s="52"/>
      <c r="P31" s="52"/>
      <c r="Q31" s="52"/>
      <c r="R31" s="52"/>
    </row>
    <row r="32" spans="1:18" x14ac:dyDescent="0.25">
      <c r="B32" s="56" t="s">
        <v>98</v>
      </c>
      <c r="C32" s="35">
        <v>3.6513043478260867</v>
      </c>
      <c r="D32" s="35">
        <v>4.7895652173913046</v>
      </c>
      <c r="E32" s="35">
        <v>4.6891304347826077</v>
      </c>
      <c r="F32" s="35">
        <v>5.223478260869566</v>
      </c>
      <c r="G32" s="22">
        <f t="shared" si="2"/>
        <v>1.037826086956521</v>
      </c>
      <c r="H32" s="22">
        <f t="shared" si="3"/>
        <v>1.5721739130434793</v>
      </c>
      <c r="I32" s="52"/>
      <c r="J32" s="52"/>
      <c r="K32" s="52"/>
      <c r="L32" s="52"/>
      <c r="O32" s="52"/>
      <c r="P32" s="52"/>
      <c r="Q32" s="52"/>
      <c r="R32" s="52"/>
    </row>
    <row r="33" spans="1:18" x14ac:dyDescent="0.25">
      <c r="B33" s="56" t="s">
        <v>99</v>
      </c>
      <c r="C33" s="35">
        <v>3.182380952380953</v>
      </c>
      <c r="D33" s="35">
        <v>4.5995238095238093</v>
      </c>
      <c r="E33" s="35">
        <v>4.484285714285714</v>
      </c>
      <c r="F33" s="35">
        <v>5.1114285714285712</v>
      </c>
      <c r="G33" s="22">
        <f t="shared" si="2"/>
        <v>1.301904761904761</v>
      </c>
      <c r="H33" s="22">
        <f t="shared" si="3"/>
        <v>1.9290476190476182</v>
      </c>
      <c r="I33" s="52"/>
      <c r="J33" s="52"/>
      <c r="K33" s="52"/>
      <c r="L33" s="52"/>
      <c r="O33" s="52"/>
      <c r="P33" s="52"/>
      <c r="Q33" s="52"/>
      <c r="R33" s="52"/>
    </row>
    <row r="34" spans="1:18" x14ac:dyDescent="0.25">
      <c r="B34" s="56" t="s">
        <v>100</v>
      </c>
      <c r="C34" s="35">
        <v>3.1280000000000001</v>
      </c>
      <c r="D34" s="35">
        <v>4.601</v>
      </c>
      <c r="E34" s="35">
        <v>4.5179999999999998</v>
      </c>
      <c r="F34" s="35">
        <v>5.2409999999999997</v>
      </c>
      <c r="G34" s="22">
        <f t="shared" si="2"/>
        <v>1.3899999999999997</v>
      </c>
      <c r="H34" s="22">
        <f t="shared" si="3"/>
        <v>2.1129999999999995</v>
      </c>
      <c r="I34" s="52"/>
      <c r="J34" s="52"/>
      <c r="K34" s="52"/>
      <c r="L34" s="52"/>
      <c r="O34" s="52"/>
      <c r="P34" s="52"/>
      <c r="Q34" s="52"/>
      <c r="R34" s="52"/>
    </row>
    <row r="35" spans="1:18" x14ac:dyDescent="0.25">
      <c r="B35" s="56" t="s">
        <v>101</v>
      </c>
      <c r="C35" s="35">
        <v>3.0155000000000003</v>
      </c>
      <c r="D35" s="35">
        <v>4.3919999999999986</v>
      </c>
      <c r="E35" s="35">
        <v>4.2494999999999994</v>
      </c>
      <c r="F35" s="35">
        <v>4.9320000000000004</v>
      </c>
      <c r="G35" s="22">
        <f t="shared" si="2"/>
        <v>1.2339999999999991</v>
      </c>
      <c r="H35" s="22">
        <f t="shared" si="3"/>
        <v>1.9165000000000001</v>
      </c>
      <c r="I35" s="52"/>
      <c r="J35" s="52"/>
      <c r="K35" s="52"/>
      <c r="L35" s="52"/>
      <c r="O35" s="52"/>
      <c r="P35" s="52"/>
      <c r="Q35" s="52"/>
      <c r="R35" s="52"/>
    </row>
    <row r="36" spans="1:18" x14ac:dyDescent="0.25">
      <c r="B36" s="56" t="s">
        <v>102</v>
      </c>
      <c r="C36" s="35">
        <v>2.9823809523809524</v>
      </c>
      <c r="D36" s="35">
        <v>4.4719047619047618</v>
      </c>
      <c r="E36" s="35">
        <v>4.3323809523809524</v>
      </c>
      <c r="F36" s="35">
        <v>5.07</v>
      </c>
      <c r="G36" s="22">
        <f t="shared" si="2"/>
        <v>1.35</v>
      </c>
      <c r="H36" s="22">
        <f t="shared" si="3"/>
        <v>2.0876190476190479</v>
      </c>
      <c r="I36" s="52"/>
      <c r="J36" s="52"/>
      <c r="K36" s="52"/>
      <c r="L36" s="52"/>
      <c r="O36" s="52"/>
      <c r="P36" s="52"/>
      <c r="Q36" s="52"/>
      <c r="R36" s="52"/>
    </row>
    <row r="37" spans="1:18" x14ac:dyDescent="0.25">
      <c r="C37" s="35"/>
      <c r="I37" s="52"/>
      <c r="J37" s="52"/>
      <c r="K37" s="52"/>
      <c r="L37" s="52"/>
      <c r="O37" s="52"/>
      <c r="P37" s="52"/>
      <c r="Q37" s="52"/>
      <c r="R37" s="52"/>
    </row>
    <row r="38" spans="1:18" x14ac:dyDescent="0.25">
      <c r="A38" s="56">
        <v>2012</v>
      </c>
      <c r="B38" s="56" t="s">
        <v>91</v>
      </c>
      <c r="C38" s="35">
        <v>3.0259999999999998</v>
      </c>
      <c r="D38" s="35">
        <v>4.4480000000000004</v>
      </c>
      <c r="E38" s="35">
        <v>4.3374999999999995</v>
      </c>
      <c r="F38" s="35">
        <v>5.0610000000000008</v>
      </c>
      <c r="G38" s="22">
        <f t="shared" ref="G38:G49" si="4">E38-C38</f>
        <v>1.3114999999999997</v>
      </c>
      <c r="H38" s="22">
        <f t="shared" ref="H38:H49" si="5">F38-C38</f>
        <v>2.035000000000001</v>
      </c>
      <c r="I38" s="52"/>
      <c r="J38" s="52"/>
      <c r="K38" s="52"/>
      <c r="L38" s="52"/>
      <c r="O38" s="52"/>
      <c r="P38" s="52"/>
      <c r="Q38" s="52"/>
      <c r="R38" s="52"/>
    </row>
    <row r="39" spans="1:18" x14ac:dyDescent="0.25">
      <c r="B39" s="56" t="s">
        <v>92</v>
      </c>
      <c r="C39" s="35">
        <v>3.109</v>
      </c>
      <c r="D39" s="35">
        <v>4.4225000000000012</v>
      </c>
      <c r="E39" s="35">
        <v>4.3594999999999988</v>
      </c>
      <c r="F39" s="35">
        <v>5.0214999999999987</v>
      </c>
      <c r="G39" s="22">
        <f t="shared" si="4"/>
        <v>1.2504999999999988</v>
      </c>
      <c r="H39" s="22">
        <f t="shared" si="5"/>
        <v>1.9124999999999988</v>
      </c>
      <c r="I39" s="52"/>
      <c r="J39" s="52"/>
      <c r="K39" s="52"/>
      <c r="L39" s="52"/>
      <c r="O39" s="52"/>
      <c r="P39" s="52"/>
      <c r="Q39" s="52"/>
      <c r="R39" s="52"/>
    </row>
    <row r="40" spans="1:18" x14ac:dyDescent="0.25">
      <c r="B40" s="56" t="s">
        <v>93</v>
      </c>
      <c r="C40" s="35">
        <v>3.2813636363636358</v>
      </c>
      <c r="D40" s="35">
        <v>4.5445454545454558</v>
      </c>
      <c r="E40" s="35">
        <v>4.4763636363636365</v>
      </c>
      <c r="F40" s="35">
        <v>5.129999999999999</v>
      </c>
      <c r="G40" s="22">
        <f t="shared" si="4"/>
        <v>1.1950000000000007</v>
      </c>
      <c r="H40" s="22">
        <f t="shared" si="5"/>
        <v>1.8486363636363632</v>
      </c>
      <c r="I40" s="52"/>
      <c r="J40" s="52"/>
      <c r="K40" s="52"/>
      <c r="L40" s="52"/>
      <c r="O40" s="52"/>
      <c r="P40" s="52"/>
      <c r="Q40" s="52"/>
      <c r="R40" s="52"/>
    </row>
    <row r="41" spans="1:18" x14ac:dyDescent="0.25">
      <c r="B41" s="56" t="s">
        <v>94</v>
      </c>
      <c r="C41" s="35">
        <v>3.1842857142857137</v>
      </c>
      <c r="D41" s="35">
        <v>4.4914285714285702</v>
      </c>
      <c r="E41" s="35">
        <v>4.3980952380952365</v>
      </c>
      <c r="F41" s="35">
        <v>5.1109523809523809</v>
      </c>
      <c r="G41" s="22">
        <f t="shared" si="4"/>
        <v>1.2138095238095228</v>
      </c>
      <c r="H41" s="22">
        <f t="shared" si="5"/>
        <v>1.9266666666666672</v>
      </c>
      <c r="I41" s="52"/>
      <c r="J41" s="52"/>
      <c r="K41" s="52"/>
      <c r="L41" s="52"/>
      <c r="O41" s="52"/>
      <c r="P41" s="52"/>
      <c r="Q41" s="52"/>
      <c r="R41" s="52"/>
    </row>
    <row r="42" spans="1:18" x14ac:dyDescent="0.25">
      <c r="B42" s="56" t="s">
        <v>95</v>
      </c>
      <c r="C42" s="35">
        <v>2.9309090909090911</v>
      </c>
      <c r="D42" s="35">
        <v>4.331363636363637</v>
      </c>
      <c r="E42" s="35">
        <v>4.2018181818181821</v>
      </c>
      <c r="F42" s="35">
        <v>4.9654545454545449</v>
      </c>
      <c r="G42" s="22">
        <f t="shared" si="4"/>
        <v>1.270909090909091</v>
      </c>
      <c r="H42" s="22">
        <f t="shared" si="5"/>
        <v>2.0345454545454538</v>
      </c>
      <c r="I42" s="52"/>
      <c r="J42" s="52"/>
      <c r="K42" s="52"/>
      <c r="L42" s="52"/>
      <c r="O42" s="52"/>
      <c r="P42" s="52"/>
      <c r="Q42" s="52"/>
      <c r="R42" s="52"/>
    </row>
    <row r="43" spans="1:18" x14ac:dyDescent="0.25">
      <c r="B43" s="56" t="s">
        <v>96</v>
      </c>
      <c r="C43" s="35">
        <v>2.6980952380952381</v>
      </c>
      <c r="D43" s="35">
        <v>4.2238095238095239</v>
      </c>
      <c r="E43" s="35">
        <v>4.0823809523809516</v>
      </c>
      <c r="F43" s="35">
        <v>4.9090476190476178</v>
      </c>
      <c r="G43" s="22">
        <f t="shared" si="4"/>
        <v>1.3842857142857135</v>
      </c>
      <c r="H43" s="22">
        <f t="shared" si="5"/>
        <v>2.2109523809523797</v>
      </c>
      <c r="I43" s="52"/>
      <c r="J43" s="52"/>
      <c r="K43" s="52"/>
      <c r="L43" s="52"/>
      <c r="O43" s="52"/>
      <c r="P43" s="52"/>
      <c r="Q43" s="52"/>
      <c r="R43" s="52"/>
    </row>
    <row r="44" spans="1:18" x14ac:dyDescent="0.25">
      <c r="B44" s="56" t="s">
        <v>97</v>
      </c>
      <c r="C44" s="35">
        <v>2.5900000000000003</v>
      </c>
      <c r="D44" s="35">
        <v>4.0271428571428576</v>
      </c>
      <c r="E44" s="35">
        <v>3.9280952380952372</v>
      </c>
      <c r="F44" s="35">
        <v>4.8499999999999996</v>
      </c>
      <c r="G44" s="22">
        <f t="shared" si="4"/>
        <v>1.3380952380952369</v>
      </c>
      <c r="H44" s="22">
        <f t="shared" si="5"/>
        <v>2.2599999999999993</v>
      </c>
      <c r="I44" s="52"/>
      <c r="J44" s="52"/>
      <c r="K44" s="52"/>
      <c r="L44" s="52"/>
      <c r="O44" s="52"/>
      <c r="P44" s="52"/>
      <c r="Q44" s="52"/>
      <c r="R44" s="52"/>
    </row>
    <row r="45" spans="1:18" x14ac:dyDescent="0.25">
      <c r="B45" s="56" t="s">
        <v>98</v>
      </c>
      <c r="C45" s="35">
        <v>2.7708695652173914</v>
      </c>
      <c r="D45" s="35">
        <v>4.0856521739130445</v>
      </c>
      <c r="E45" s="35">
        <v>3.9965217391304351</v>
      </c>
      <c r="F45" s="35">
        <v>4.8782608695652181</v>
      </c>
      <c r="G45" s="22">
        <f t="shared" si="4"/>
        <v>1.2256521739130437</v>
      </c>
      <c r="H45" s="22">
        <f t="shared" si="5"/>
        <v>2.1073913043478267</v>
      </c>
      <c r="I45" s="52"/>
      <c r="J45" s="52"/>
      <c r="K45" s="52"/>
      <c r="L45" s="52"/>
      <c r="O45" s="52"/>
      <c r="P45" s="52"/>
      <c r="Q45" s="52"/>
      <c r="R45" s="52"/>
    </row>
    <row r="46" spans="1:18" x14ac:dyDescent="0.25">
      <c r="B46" s="56" t="s">
        <v>99</v>
      </c>
      <c r="C46" s="35">
        <v>2.8815789473684212</v>
      </c>
      <c r="D46" s="35">
        <v>4.0915789473684212</v>
      </c>
      <c r="E46" s="35">
        <v>4.0231578947368423</v>
      </c>
      <c r="F46" s="35">
        <v>4.8073684210526322</v>
      </c>
      <c r="G46" s="22">
        <f t="shared" si="4"/>
        <v>1.141578947368421</v>
      </c>
      <c r="H46" s="22">
        <f t="shared" si="5"/>
        <v>1.9257894736842109</v>
      </c>
      <c r="I46" s="52"/>
      <c r="J46" s="52"/>
      <c r="K46" s="52"/>
      <c r="L46" s="52"/>
      <c r="O46" s="52"/>
      <c r="P46" s="52"/>
      <c r="Q46" s="52"/>
      <c r="R46" s="52"/>
    </row>
    <row r="47" spans="1:18" ht="17.25" x14ac:dyDescent="0.3">
      <c r="B47" s="56" t="s">
        <v>100</v>
      </c>
      <c r="C47" s="35">
        <v>2.9004761904761902</v>
      </c>
      <c r="D47" s="35">
        <v>3.9714285714285724</v>
      </c>
      <c r="E47" s="84">
        <v>3.9133333333333331</v>
      </c>
      <c r="F47" s="35">
        <v>4.5433333333333321</v>
      </c>
      <c r="G47" s="22">
        <f t="shared" si="4"/>
        <v>1.0128571428571429</v>
      </c>
      <c r="H47" s="22">
        <f t="shared" si="5"/>
        <v>1.6428571428571419</v>
      </c>
      <c r="I47" s="52"/>
      <c r="J47" s="52"/>
      <c r="K47" s="52"/>
      <c r="L47" s="52"/>
      <c r="O47" s="52"/>
      <c r="P47" s="52"/>
      <c r="Q47" s="52"/>
      <c r="R47" s="52"/>
    </row>
    <row r="48" spans="1:18" x14ac:dyDescent="0.25">
      <c r="B48" s="56" t="s">
        <v>101</v>
      </c>
      <c r="C48" s="35">
        <v>2.8034999999999997</v>
      </c>
      <c r="D48" s="49">
        <v>3.9200000000000004</v>
      </c>
      <c r="E48" s="49">
        <v>3.8364999999999996</v>
      </c>
      <c r="F48" s="49">
        <v>4.4155000000000006</v>
      </c>
      <c r="G48" s="22">
        <f t="shared" si="4"/>
        <v>1.0329999999999999</v>
      </c>
      <c r="H48" s="22">
        <f t="shared" si="5"/>
        <v>1.612000000000001</v>
      </c>
      <c r="I48" s="52"/>
      <c r="J48" s="52"/>
      <c r="K48" s="52"/>
      <c r="L48" s="52"/>
      <c r="O48" s="52"/>
      <c r="P48" s="52"/>
      <c r="Q48" s="52"/>
      <c r="R48" s="52"/>
    </row>
    <row r="49" spans="1:18" x14ac:dyDescent="0.25">
      <c r="B49" s="56" t="s">
        <v>102</v>
      </c>
      <c r="C49" s="35">
        <v>2.8835000000000002</v>
      </c>
      <c r="D49" s="49">
        <v>4.0484999999999998</v>
      </c>
      <c r="E49" s="49">
        <v>4.0004999999999997</v>
      </c>
      <c r="F49" s="49">
        <v>4.5549999999999997</v>
      </c>
      <c r="G49" s="22">
        <f t="shared" si="4"/>
        <v>1.1169999999999995</v>
      </c>
      <c r="H49" s="22">
        <f t="shared" si="5"/>
        <v>1.6714999999999995</v>
      </c>
      <c r="I49" s="52"/>
      <c r="J49" s="52"/>
      <c r="K49" s="52"/>
      <c r="L49" s="52"/>
      <c r="O49" s="52"/>
      <c r="P49" s="52"/>
      <c r="Q49" s="52"/>
      <c r="R49" s="52"/>
    </row>
    <row r="50" spans="1:18" x14ac:dyDescent="0.25">
      <c r="B50" s="56"/>
      <c r="C50" s="35"/>
      <c r="D50" s="49"/>
      <c r="E50" s="49"/>
      <c r="F50" s="49"/>
      <c r="G50" s="22"/>
      <c r="H50" s="22"/>
      <c r="I50" s="52"/>
      <c r="J50" s="52"/>
      <c r="K50" s="52"/>
      <c r="L50" s="52"/>
      <c r="O50" s="52"/>
      <c r="P50" s="52"/>
      <c r="Q50" s="52"/>
      <c r="R50" s="52"/>
    </row>
    <row r="51" spans="1:18" x14ac:dyDescent="0.25">
      <c r="A51" s="56">
        <v>2013</v>
      </c>
      <c r="B51" s="56" t="s">
        <v>91</v>
      </c>
      <c r="C51" s="35">
        <v>3.0804761904761913</v>
      </c>
      <c r="D51" s="49">
        <v>4.190952380952381</v>
      </c>
      <c r="E51" s="49">
        <v>4.1476190476190471</v>
      </c>
      <c r="F51" s="49">
        <v>4.6585714285714275</v>
      </c>
      <c r="G51" s="22">
        <f t="shared" ref="G51:G62" si="6">E51-C51</f>
        <v>1.0671428571428558</v>
      </c>
      <c r="H51" s="22">
        <f t="shared" ref="H51:H62" si="7">F51-C51</f>
        <v>1.5780952380952362</v>
      </c>
      <c r="I51" s="52"/>
      <c r="J51" s="52"/>
      <c r="K51" s="52"/>
      <c r="L51" s="52"/>
      <c r="O51" s="52"/>
      <c r="P51" s="52"/>
      <c r="Q51" s="52"/>
      <c r="R51" s="52"/>
    </row>
    <row r="52" spans="1:18" x14ac:dyDescent="0.25">
      <c r="B52" s="56" t="s">
        <v>92</v>
      </c>
      <c r="C52" s="35">
        <v>3.1652631578947368</v>
      </c>
      <c r="D52" s="49">
        <v>4.2731578947368423</v>
      </c>
      <c r="E52" s="49">
        <v>4.1847368421052638</v>
      </c>
      <c r="F52" s="49">
        <v>4.7447368421052625</v>
      </c>
      <c r="G52" s="22">
        <f t="shared" si="6"/>
        <v>1.019473684210527</v>
      </c>
      <c r="H52" s="22">
        <f t="shared" si="7"/>
        <v>1.5794736842105257</v>
      </c>
      <c r="I52" s="52"/>
      <c r="J52" s="52"/>
      <c r="K52" s="52"/>
      <c r="L52" s="52"/>
      <c r="O52" s="52"/>
      <c r="P52" s="52"/>
      <c r="Q52" s="52"/>
      <c r="R52" s="52"/>
    </row>
    <row r="53" spans="1:18" x14ac:dyDescent="0.25">
      <c r="B53" s="56" t="s">
        <v>93</v>
      </c>
      <c r="C53" s="35">
        <v>3.1625000000000005</v>
      </c>
      <c r="D53" s="49">
        <v>4.2919999999999998</v>
      </c>
      <c r="E53" s="49">
        <v>4.2</v>
      </c>
      <c r="F53" s="49">
        <v>4.7189999999999994</v>
      </c>
      <c r="G53" s="22">
        <f t="shared" si="6"/>
        <v>1.0374999999999996</v>
      </c>
      <c r="H53" s="22">
        <f t="shared" si="7"/>
        <v>1.5564999999999989</v>
      </c>
      <c r="I53" s="52"/>
      <c r="J53" s="52"/>
      <c r="K53" s="52"/>
      <c r="L53" s="52"/>
      <c r="O53" s="52"/>
      <c r="P53" s="52"/>
      <c r="Q53" s="52"/>
      <c r="R53" s="52"/>
    </row>
    <row r="54" spans="1:18" x14ac:dyDescent="0.25">
      <c r="B54" s="56" t="s">
        <v>94</v>
      </c>
      <c r="C54" s="35">
        <v>2.9327272727272726</v>
      </c>
      <c r="D54" s="49">
        <v>4.0745454545454542</v>
      </c>
      <c r="E54" s="49">
        <v>4.0022727272727261</v>
      </c>
      <c r="F54" s="49">
        <v>4.4863636363636372</v>
      </c>
      <c r="G54" s="22">
        <f t="shared" si="6"/>
        <v>1.0695454545454535</v>
      </c>
      <c r="H54" s="22">
        <f t="shared" si="7"/>
        <v>1.5536363636363646</v>
      </c>
      <c r="I54" s="52"/>
      <c r="J54" s="52"/>
      <c r="K54" s="52"/>
      <c r="L54" s="52"/>
      <c r="O54" s="52"/>
      <c r="P54" s="52"/>
      <c r="Q54" s="52"/>
      <c r="R54" s="52"/>
    </row>
    <row r="55" spans="1:18" x14ac:dyDescent="0.25">
      <c r="B55" s="56" t="s">
        <v>95</v>
      </c>
      <c r="C55" s="35">
        <v>3.1127272727272728</v>
      </c>
      <c r="D55" s="49">
        <v>4.2322727272727283</v>
      </c>
      <c r="E55" s="49">
        <v>4.167272727272727</v>
      </c>
      <c r="F55" s="49">
        <v>4.6477272727272725</v>
      </c>
      <c r="G55" s="22">
        <f t="shared" si="6"/>
        <v>1.0545454545454542</v>
      </c>
      <c r="H55" s="22">
        <f t="shared" si="7"/>
        <v>1.5349999999999997</v>
      </c>
      <c r="I55" s="52"/>
      <c r="J55" s="52"/>
      <c r="K55" s="52"/>
      <c r="L55" s="52"/>
      <c r="O55" s="52"/>
      <c r="P55" s="52"/>
      <c r="Q55" s="52"/>
      <c r="R55" s="52"/>
    </row>
    <row r="56" spans="1:18" x14ac:dyDescent="0.25">
      <c r="B56" s="56" t="s">
        <v>96</v>
      </c>
      <c r="C56" s="35">
        <v>3.4000000000000008</v>
      </c>
      <c r="D56" s="35">
        <v>4.629999999999999</v>
      </c>
      <c r="E56" s="35">
        <v>4.5290000000000008</v>
      </c>
      <c r="F56" s="35">
        <v>5.0845000000000002</v>
      </c>
      <c r="G56" s="22">
        <f t="shared" si="6"/>
        <v>1.129</v>
      </c>
      <c r="H56" s="22">
        <f t="shared" si="7"/>
        <v>1.6844999999999994</v>
      </c>
      <c r="I56" s="52"/>
      <c r="J56" s="52"/>
      <c r="K56" s="52"/>
      <c r="L56" s="52"/>
      <c r="O56" s="52"/>
      <c r="P56" s="52"/>
      <c r="Q56" s="52"/>
      <c r="R56" s="52"/>
    </row>
    <row r="57" spans="1:18" x14ac:dyDescent="0.25">
      <c r="B57" s="56" t="s">
        <v>97</v>
      </c>
      <c r="C57" s="35">
        <v>3.605</v>
      </c>
      <c r="D57" s="35">
        <v>4.7595454545454556</v>
      </c>
      <c r="E57" s="35">
        <v>4.6827272727272726</v>
      </c>
      <c r="F57" s="35">
        <v>5.209090909090909</v>
      </c>
      <c r="G57" s="22">
        <f t="shared" si="6"/>
        <v>1.0777272727272726</v>
      </c>
      <c r="H57" s="22">
        <f t="shared" si="7"/>
        <v>1.604090909090909</v>
      </c>
      <c r="I57" s="52"/>
      <c r="J57" s="52"/>
      <c r="K57" s="52"/>
      <c r="L57" s="52"/>
      <c r="O57" s="52"/>
      <c r="P57" s="52"/>
      <c r="Q57" s="52"/>
      <c r="R57" s="52"/>
    </row>
    <row r="58" spans="1:18" x14ac:dyDescent="0.25">
      <c r="B58" s="56" t="s">
        <v>98</v>
      </c>
      <c r="C58" s="35">
        <v>3.7577272727272728</v>
      </c>
      <c r="D58" s="35">
        <v>4.8854545454545448</v>
      </c>
      <c r="E58" s="35">
        <v>4.7300000000000004</v>
      </c>
      <c r="F58" s="35">
        <v>5.2759090909090904</v>
      </c>
      <c r="G58" s="22">
        <f t="shared" si="6"/>
        <v>0.97227272727272762</v>
      </c>
      <c r="H58" s="22">
        <f t="shared" si="7"/>
        <v>1.5181818181818176</v>
      </c>
      <c r="I58" s="52"/>
      <c r="J58" s="52"/>
      <c r="K58" s="52"/>
      <c r="L58" s="52"/>
      <c r="O58" s="52"/>
      <c r="P58" s="52"/>
      <c r="Q58" s="52"/>
      <c r="R58" s="52"/>
    </row>
    <row r="59" spans="1:18" x14ac:dyDescent="0.25">
      <c r="B59" s="56" t="s">
        <v>99</v>
      </c>
      <c r="C59" s="35">
        <v>3.7870000000000004</v>
      </c>
      <c r="D59" s="35">
        <v>4.9465000000000003</v>
      </c>
      <c r="E59" s="35">
        <v>4.8030000000000008</v>
      </c>
      <c r="F59" s="35">
        <v>5.3079999999999998</v>
      </c>
      <c r="G59" s="22">
        <f t="shared" si="6"/>
        <v>1.0160000000000005</v>
      </c>
      <c r="H59" s="22">
        <f t="shared" si="7"/>
        <v>1.5209999999999995</v>
      </c>
      <c r="I59" s="52"/>
      <c r="J59" s="52"/>
      <c r="K59" s="52"/>
      <c r="L59" s="52"/>
      <c r="O59" s="52"/>
      <c r="P59" s="52"/>
      <c r="Q59" s="52"/>
      <c r="R59" s="52"/>
    </row>
    <row r="60" spans="1:18" x14ac:dyDescent="0.25">
      <c r="B60" s="56" t="s">
        <v>100</v>
      </c>
      <c r="C60" s="35">
        <v>3.6759090909090903</v>
      </c>
      <c r="D60" s="35">
        <v>4.8199999999999994</v>
      </c>
      <c r="E60" s="35">
        <v>4.6959090909090913</v>
      </c>
      <c r="F60" s="35">
        <v>5.1700000000000008</v>
      </c>
      <c r="G60" s="22">
        <f t="shared" si="6"/>
        <v>1.0200000000000009</v>
      </c>
      <c r="H60" s="22">
        <f t="shared" si="7"/>
        <v>1.4940909090909105</v>
      </c>
      <c r="I60" s="52"/>
      <c r="J60" s="52"/>
      <c r="K60" s="52"/>
      <c r="L60" s="52"/>
      <c r="O60" s="52"/>
      <c r="P60" s="52"/>
      <c r="Q60" s="52"/>
      <c r="R60" s="52"/>
    </row>
    <row r="61" spans="1:18" x14ac:dyDescent="0.25">
      <c r="B61" s="56" t="s">
        <v>101</v>
      </c>
      <c r="C61" s="35">
        <v>3.7999999999999985</v>
      </c>
      <c r="D61" s="49">
        <v>4.9073684210526318</v>
      </c>
      <c r="E61" s="49">
        <v>4.774210526315791</v>
      </c>
      <c r="F61" s="49">
        <v>5.2436842105263155</v>
      </c>
      <c r="G61" s="22">
        <f t="shared" si="6"/>
        <v>0.97421052631579252</v>
      </c>
      <c r="H61" s="22">
        <f t="shared" si="7"/>
        <v>1.443684210526317</v>
      </c>
      <c r="I61" s="52"/>
      <c r="J61" s="52"/>
      <c r="K61" s="52"/>
      <c r="L61" s="52"/>
      <c r="O61" s="52"/>
      <c r="P61" s="52"/>
      <c r="Q61" s="52"/>
      <c r="R61" s="52"/>
    </row>
    <row r="62" spans="1:18" x14ac:dyDescent="0.25">
      <c r="B62" s="56" t="s">
        <v>102</v>
      </c>
      <c r="C62" s="35">
        <v>3.8890476190476191</v>
      </c>
      <c r="D62" s="49">
        <v>4.9176190476190476</v>
      </c>
      <c r="E62" s="49">
        <v>4.8090476190476199</v>
      </c>
      <c r="F62" s="49">
        <v>5.2523809523809524</v>
      </c>
      <c r="G62" s="22">
        <f t="shared" si="6"/>
        <v>0.92000000000000082</v>
      </c>
      <c r="H62" s="22">
        <f t="shared" si="7"/>
        <v>1.3633333333333333</v>
      </c>
      <c r="I62" s="52"/>
      <c r="J62" s="52"/>
      <c r="K62" s="52"/>
      <c r="L62" s="52"/>
      <c r="O62" s="52"/>
      <c r="P62" s="52"/>
      <c r="Q62" s="52"/>
      <c r="R62" s="52"/>
    </row>
    <row r="63" spans="1:18" x14ac:dyDescent="0.25">
      <c r="J63" s="52"/>
      <c r="O63" s="52"/>
      <c r="P63" s="52"/>
      <c r="Q63" s="52"/>
      <c r="R63" s="52"/>
    </row>
    <row r="64" spans="1:18" x14ac:dyDescent="0.25">
      <c r="A64" s="56">
        <v>2014</v>
      </c>
      <c r="B64" s="56" t="s">
        <v>91</v>
      </c>
      <c r="C64" s="35">
        <v>3.7690476190476199</v>
      </c>
      <c r="D64" s="49">
        <v>4.7561904761904765</v>
      </c>
      <c r="E64" s="49">
        <v>4.6309523809523814</v>
      </c>
      <c r="F64" s="49">
        <v>5.093809523809524</v>
      </c>
      <c r="G64" s="22">
        <f t="shared" ref="G64:G75" si="8">E64-C64</f>
        <v>0.86190476190476151</v>
      </c>
      <c r="H64" s="22">
        <f t="shared" ref="H64:H75" si="9">F64-C64</f>
        <v>1.3247619047619041</v>
      </c>
      <c r="I64" s="52"/>
      <c r="J64" s="52"/>
      <c r="K64" s="52"/>
      <c r="L64" s="52"/>
      <c r="O64" s="52"/>
      <c r="P64" s="52"/>
      <c r="Q64" s="52"/>
      <c r="R64" s="52"/>
    </row>
    <row r="65" spans="1:18" x14ac:dyDescent="0.25">
      <c r="B65" s="56" t="s">
        <v>92</v>
      </c>
      <c r="C65" s="35">
        <v>3.6626315789473685</v>
      </c>
      <c r="D65" s="49">
        <v>4.6778947368421049</v>
      </c>
      <c r="E65" s="49">
        <v>4.5347368421052634</v>
      </c>
      <c r="F65" s="49">
        <v>5.0089473684210519</v>
      </c>
      <c r="G65" s="22">
        <f t="shared" si="8"/>
        <v>0.87210526315789494</v>
      </c>
      <c r="H65" s="22">
        <f t="shared" si="9"/>
        <v>1.3463157894736835</v>
      </c>
      <c r="I65" s="52"/>
      <c r="J65" s="52"/>
      <c r="K65" s="52"/>
      <c r="L65" s="52"/>
      <c r="O65" s="52"/>
      <c r="P65" s="52"/>
      <c r="Q65" s="52"/>
      <c r="R65" s="52"/>
    </row>
    <row r="66" spans="1:18" x14ac:dyDescent="0.25">
      <c r="B66" s="56" t="s">
        <v>93</v>
      </c>
      <c r="C66" s="35">
        <v>3.6209523809523807</v>
      </c>
      <c r="D66" s="49">
        <v>4.6452380952380965</v>
      </c>
      <c r="E66" s="49">
        <v>4.5090476190476183</v>
      </c>
      <c r="F66" s="49">
        <v>4.9952380952380953</v>
      </c>
      <c r="G66" s="22">
        <f t="shared" si="8"/>
        <v>0.8880952380952376</v>
      </c>
      <c r="H66" s="22">
        <f t="shared" si="9"/>
        <v>1.3742857142857146</v>
      </c>
      <c r="I66" s="52"/>
      <c r="J66" s="52"/>
      <c r="K66" s="52"/>
      <c r="L66" s="52"/>
      <c r="O66" s="52"/>
      <c r="P66" s="52"/>
      <c r="Q66" s="52"/>
      <c r="R66" s="52"/>
    </row>
    <row r="67" spans="1:18" x14ac:dyDescent="0.25">
      <c r="B67" s="56" t="s">
        <v>94</v>
      </c>
      <c r="C67" s="35">
        <v>3.5176190476190476</v>
      </c>
      <c r="D67" s="49">
        <v>4.5176190476190463</v>
      </c>
      <c r="E67" s="49">
        <v>4.408095238095239</v>
      </c>
      <c r="F67" s="49">
        <v>4.8480952380952385</v>
      </c>
      <c r="G67" s="22">
        <f t="shared" si="8"/>
        <v>0.89047619047619131</v>
      </c>
      <c r="H67" s="22">
        <f t="shared" si="9"/>
        <v>1.3304761904761908</v>
      </c>
      <c r="I67" s="52"/>
      <c r="J67" s="52"/>
      <c r="K67" s="52"/>
      <c r="L67" s="52"/>
      <c r="O67" s="52"/>
      <c r="P67" s="52"/>
      <c r="Q67" s="52"/>
      <c r="R67" s="52"/>
    </row>
    <row r="68" spans="1:18" x14ac:dyDescent="0.25">
      <c r="B68" s="56" t="s">
        <v>95</v>
      </c>
      <c r="C68" s="35">
        <v>3.3899999999999997</v>
      </c>
      <c r="D68" s="49">
        <v>4.3847619047619046</v>
      </c>
      <c r="E68" s="49">
        <v>4.2557142857142871</v>
      </c>
      <c r="F68" s="49">
        <v>4.6880952380952392</v>
      </c>
      <c r="G68" s="22">
        <f t="shared" si="8"/>
        <v>0.86571428571428743</v>
      </c>
      <c r="H68" s="22">
        <f t="shared" si="9"/>
        <v>1.2980952380952395</v>
      </c>
      <c r="I68" s="52"/>
      <c r="J68" s="52"/>
      <c r="K68" s="52"/>
      <c r="L68" s="52"/>
      <c r="O68" s="52"/>
      <c r="P68" s="52"/>
      <c r="Q68" s="52"/>
      <c r="R68" s="52"/>
    </row>
    <row r="69" spans="1:18" x14ac:dyDescent="0.25">
      <c r="B69" s="56" t="s">
        <v>96</v>
      </c>
      <c r="C69" s="49">
        <v>3.4199999999999995</v>
      </c>
      <c r="D69" s="49">
        <v>4.4385714285714286</v>
      </c>
      <c r="E69" s="49">
        <v>4.2938095238095233</v>
      </c>
      <c r="F69" s="49">
        <v>4.7261904761904754</v>
      </c>
      <c r="G69" s="22">
        <f t="shared" si="8"/>
        <v>0.87380952380952381</v>
      </c>
      <c r="H69" s="22">
        <f t="shared" si="9"/>
        <v>1.3061904761904759</v>
      </c>
      <c r="I69" s="52"/>
      <c r="J69" s="52"/>
      <c r="K69" s="52"/>
      <c r="L69" s="52"/>
      <c r="O69" s="52"/>
      <c r="P69" s="52"/>
      <c r="Q69" s="52"/>
      <c r="R69" s="52"/>
    </row>
    <row r="70" spans="1:18" x14ac:dyDescent="0.25">
      <c r="B70" s="56" t="s">
        <v>97</v>
      </c>
      <c r="C70" s="49">
        <v>3.3318181818181816</v>
      </c>
      <c r="D70" s="49">
        <v>4.370454545454546</v>
      </c>
      <c r="E70" s="49">
        <v>4.2263636363636357</v>
      </c>
      <c r="F70" s="49">
        <v>4.6627272727272722</v>
      </c>
      <c r="G70" s="22">
        <f t="shared" si="8"/>
        <v>0.89454545454545409</v>
      </c>
      <c r="H70" s="22">
        <f t="shared" si="9"/>
        <v>1.3309090909090906</v>
      </c>
      <c r="I70" s="52"/>
      <c r="J70" s="52"/>
      <c r="K70" s="52"/>
      <c r="L70" s="52"/>
      <c r="O70" s="52"/>
      <c r="P70" s="52"/>
      <c r="Q70" s="52"/>
      <c r="R70" s="52"/>
    </row>
    <row r="71" spans="1:18" x14ac:dyDescent="0.25">
      <c r="B71" s="56" t="s">
        <v>98</v>
      </c>
      <c r="C71" s="49">
        <v>3.2009523809523817</v>
      </c>
      <c r="D71" s="49">
        <v>4.2947619047619048</v>
      </c>
      <c r="E71" s="49">
        <v>4.1309523809523805</v>
      </c>
      <c r="F71" s="49">
        <v>4.6542857142857148</v>
      </c>
      <c r="G71" s="22">
        <f t="shared" si="8"/>
        <v>0.92999999999999883</v>
      </c>
      <c r="H71" s="22">
        <f t="shared" si="9"/>
        <v>1.4533333333333331</v>
      </c>
      <c r="I71" s="52"/>
      <c r="J71" s="45"/>
      <c r="K71" s="45"/>
      <c r="L71" s="45"/>
      <c r="M71" s="45"/>
      <c r="N71" s="45"/>
      <c r="O71" s="52"/>
      <c r="P71" s="52"/>
      <c r="Q71" s="52"/>
      <c r="R71" s="52"/>
    </row>
    <row r="72" spans="1:18" x14ac:dyDescent="0.25">
      <c r="B72" s="56" t="s">
        <v>99</v>
      </c>
      <c r="C72" s="49">
        <v>3.26</v>
      </c>
      <c r="D72" s="49">
        <v>4.3871428571428561</v>
      </c>
      <c r="E72" s="49">
        <v>4.2376190476190487</v>
      </c>
      <c r="F72" s="49">
        <v>4.7857142857142865</v>
      </c>
      <c r="G72" s="22">
        <f t="shared" si="8"/>
        <v>0.97761904761904894</v>
      </c>
      <c r="H72" s="22">
        <f t="shared" si="9"/>
        <v>1.5257142857142867</v>
      </c>
      <c r="I72" s="52"/>
      <c r="J72" s="52"/>
      <c r="K72" s="52"/>
      <c r="L72" s="52"/>
      <c r="M72" s="52"/>
      <c r="N72" s="52"/>
      <c r="O72" s="52"/>
      <c r="P72" s="52"/>
      <c r="Q72" s="52"/>
      <c r="R72" s="52"/>
    </row>
    <row r="73" spans="1:18" x14ac:dyDescent="0.25">
      <c r="B73" s="50" t="s">
        <v>100</v>
      </c>
      <c r="C73" s="49">
        <v>3.0399999999999991</v>
      </c>
      <c r="D73" s="49">
        <v>4.2222727272727285</v>
      </c>
      <c r="E73" s="49">
        <v>4.0595454545454537</v>
      </c>
      <c r="F73" s="49">
        <v>4.6695454545454531</v>
      </c>
      <c r="G73" s="51">
        <f t="shared" si="8"/>
        <v>1.0195454545454545</v>
      </c>
      <c r="H73" s="22">
        <f t="shared" si="9"/>
        <v>1.629545454545454</v>
      </c>
      <c r="I73" s="52"/>
      <c r="J73" s="52"/>
      <c r="K73" s="52"/>
      <c r="L73" s="52"/>
      <c r="O73" s="52"/>
      <c r="P73" s="52"/>
      <c r="Q73" s="52"/>
      <c r="R73" s="52"/>
    </row>
    <row r="74" spans="1:18" x14ac:dyDescent="0.25">
      <c r="B74" s="50" t="s">
        <v>101</v>
      </c>
      <c r="C74" s="49">
        <v>3.0383333333333331</v>
      </c>
      <c r="D74" s="49">
        <v>4.2789473684210533</v>
      </c>
      <c r="E74" s="49">
        <v>4.09</v>
      </c>
      <c r="F74" s="49">
        <v>4.7473684210526308</v>
      </c>
      <c r="G74" s="51">
        <f t="shared" si="8"/>
        <v>1.0516666666666667</v>
      </c>
      <c r="H74" s="22">
        <f t="shared" si="9"/>
        <v>1.7090350877192977</v>
      </c>
      <c r="I74" s="52"/>
      <c r="J74" s="52"/>
      <c r="K74" s="52"/>
      <c r="L74" s="52"/>
      <c r="O74" s="52"/>
      <c r="P74" s="52"/>
      <c r="Q74" s="52"/>
      <c r="R74" s="52"/>
    </row>
    <row r="75" spans="1:18" x14ac:dyDescent="0.25">
      <c r="B75" s="56" t="s">
        <v>102</v>
      </c>
      <c r="C75" s="49">
        <v>2.8331818181818185</v>
      </c>
      <c r="D75" s="49">
        <v>4.1677272727272729</v>
      </c>
      <c r="E75" s="49">
        <v>3.9459090909090908</v>
      </c>
      <c r="F75" s="49">
        <v>4.6968181818181822</v>
      </c>
      <c r="G75" s="22">
        <f t="shared" si="8"/>
        <v>1.1127272727272723</v>
      </c>
      <c r="H75" s="22">
        <f t="shared" si="9"/>
        <v>1.8636363636363638</v>
      </c>
      <c r="O75" s="52"/>
      <c r="P75" s="52"/>
      <c r="Q75" s="52"/>
      <c r="R75" s="52"/>
    </row>
    <row r="76" spans="1:18" x14ac:dyDescent="0.25">
      <c r="B76" s="50"/>
      <c r="C76" s="49"/>
      <c r="D76" s="49"/>
      <c r="E76" s="49"/>
      <c r="F76" s="49"/>
      <c r="G76" s="51"/>
      <c r="H76" s="22"/>
      <c r="I76" s="52"/>
      <c r="J76" s="52"/>
      <c r="K76" s="52"/>
      <c r="L76" s="52"/>
      <c r="O76" s="52"/>
      <c r="P76" s="52"/>
      <c r="Q76" s="52"/>
      <c r="R76" s="52"/>
    </row>
    <row r="77" spans="1:18" x14ac:dyDescent="0.25">
      <c r="A77" s="50">
        <v>2015</v>
      </c>
      <c r="B77" s="56" t="s">
        <v>91</v>
      </c>
      <c r="C77" s="49">
        <v>2.4550000000000001</v>
      </c>
      <c r="D77" s="49">
        <v>3.8369999999999997</v>
      </c>
      <c r="E77" s="49">
        <v>3.5800000000000005</v>
      </c>
      <c r="F77" s="49">
        <v>4.3935000000000004</v>
      </c>
      <c r="G77" s="22">
        <f t="shared" ref="G77:G80" si="10">E77-C77</f>
        <v>1.1250000000000004</v>
      </c>
      <c r="H77" s="22">
        <f t="shared" ref="H77:H80" si="11">F77-C77</f>
        <v>1.9385000000000003</v>
      </c>
      <c r="I77" s="52"/>
      <c r="J77" s="49"/>
      <c r="K77" s="49"/>
      <c r="L77" s="49"/>
      <c r="M77" s="49"/>
      <c r="O77" s="52"/>
      <c r="P77" s="52"/>
      <c r="Q77" s="52"/>
      <c r="R77" s="52"/>
    </row>
    <row r="78" spans="1:18" x14ac:dyDescent="0.25">
      <c r="B78" s="56" t="s">
        <v>92</v>
      </c>
      <c r="C78" s="49">
        <v>2.5663157894736841</v>
      </c>
      <c r="D78" s="49">
        <v>3.931052631578948</v>
      </c>
      <c r="E78" s="49">
        <v>3.6721052631578943</v>
      </c>
      <c r="F78" s="49">
        <v>4.438421052631579</v>
      </c>
      <c r="G78" s="22">
        <f t="shared" si="10"/>
        <v>1.1057894736842102</v>
      </c>
      <c r="H78" s="22">
        <f t="shared" si="11"/>
        <v>1.8721052631578949</v>
      </c>
      <c r="I78" s="52"/>
      <c r="J78" s="49"/>
      <c r="K78" s="49"/>
      <c r="L78" s="49"/>
      <c r="M78" s="49"/>
      <c r="O78" s="52"/>
      <c r="P78" s="52"/>
      <c r="Q78" s="52"/>
      <c r="R78" s="52"/>
    </row>
    <row r="79" spans="1:18" x14ac:dyDescent="0.25">
      <c r="B79" s="56" t="s">
        <v>93</v>
      </c>
      <c r="C79" s="49">
        <v>2.626363636363636</v>
      </c>
      <c r="D79" s="49">
        <v>3.975454545454546</v>
      </c>
      <c r="E79" s="49">
        <v>3.7445454545454542</v>
      </c>
      <c r="F79" s="49">
        <v>4.5109090909090916</v>
      </c>
      <c r="G79" s="22">
        <f t="shared" si="10"/>
        <v>1.1181818181818182</v>
      </c>
      <c r="H79" s="22">
        <f t="shared" si="11"/>
        <v>1.8845454545454556</v>
      </c>
      <c r="I79" s="52"/>
      <c r="J79" s="49"/>
      <c r="K79" s="49"/>
      <c r="L79" s="49"/>
      <c r="M79" s="49"/>
      <c r="O79" s="52"/>
      <c r="P79" s="52"/>
      <c r="Q79" s="52"/>
      <c r="R79" s="52"/>
    </row>
    <row r="80" spans="1:18" x14ac:dyDescent="0.25">
      <c r="B80" s="56" t="s">
        <v>94</v>
      </c>
      <c r="C80" s="49">
        <v>2.5859090909090905</v>
      </c>
      <c r="D80" s="49">
        <v>3.9254545454545453</v>
      </c>
      <c r="E80" s="49">
        <v>3.7504545454545455</v>
      </c>
      <c r="F80" s="49">
        <v>4.5104545454545457</v>
      </c>
      <c r="G80" s="22">
        <f t="shared" si="10"/>
        <v>1.164545454545455</v>
      </c>
      <c r="H80" s="22">
        <f t="shared" si="11"/>
        <v>1.9245454545454552</v>
      </c>
      <c r="I80" s="52"/>
      <c r="J80" s="49"/>
      <c r="K80" s="49"/>
      <c r="L80" s="49"/>
      <c r="M80" s="49"/>
      <c r="O80" s="52"/>
      <c r="P80" s="52"/>
      <c r="Q80" s="52"/>
      <c r="R80" s="52"/>
    </row>
    <row r="81" spans="1:18" x14ac:dyDescent="0.25">
      <c r="B81" s="56" t="s">
        <v>95</v>
      </c>
      <c r="C81" s="49">
        <v>2.9550000000000005</v>
      </c>
      <c r="D81" s="49">
        <v>4.3455000000000004</v>
      </c>
      <c r="E81" s="49">
        <v>4.1715</v>
      </c>
      <c r="F81" s="49">
        <v>4.9069999999999991</v>
      </c>
      <c r="G81" s="22">
        <f t="shared" ref="G81:G83" si="12">E81-C81</f>
        <v>1.2164999999999995</v>
      </c>
      <c r="H81" s="22">
        <f t="shared" ref="H81:H83" si="13">F81-C81</f>
        <v>1.9519999999999986</v>
      </c>
      <c r="I81" s="52"/>
      <c r="J81" s="49"/>
      <c r="K81" s="49"/>
      <c r="L81" s="49"/>
      <c r="M81" s="49"/>
      <c r="O81" s="52"/>
      <c r="P81" s="52"/>
      <c r="Q81" s="52"/>
      <c r="R81" s="52"/>
    </row>
    <row r="82" spans="1:18" x14ac:dyDescent="0.25">
      <c r="B82" s="56" t="s">
        <v>96</v>
      </c>
      <c r="C82" s="49">
        <v>3.1118181818181814</v>
      </c>
      <c r="D82" s="49">
        <v>4.5618181818181816</v>
      </c>
      <c r="E82" s="49">
        <v>4.3890909090909087</v>
      </c>
      <c r="F82" s="49">
        <v>5.125454545454545</v>
      </c>
      <c r="G82" s="22">
        <f t="shared" si="12"/>
        <v>1.2772727272727273</v>
      </c>
      <c r="H82" s="22">
        <f t="shared" si="13"/>
        <v>2.0136363636363637</v>
      </c>
      <c r="I82" s="52"/>
      <c r="J82" s="49"/>
      <c r="K82" s="49"/>
      <c r="L82" s="49"/>
      <c r="M82" s="49"/>
      <c r="O82" s="52"/>
      <c r="P82" s="52"/>
      <c r="Q82" s="52"/>
      <c r="R82" s="52"/>
    </row>
    <row r="83" spans="1:18" x14ac:dyDescent="0.25">
      <c r="B83" s="56" t="s">
        <v>97</v>
      </c>
      <c r="C83" s="49">
        <v>3.066363636363636</v>
      </c>
      <c r="D83" s="49">
        <v>4.5736363636363633</v>
      </c>
      <c r="E83" s="49">
        <v>4.3977272727272725</v>
      </c>
      <c r="F83" s="49">
        <v>5.2218181818181826</v>
      </c>
      <c r="G83" s="22">
        <f t="shared" si="12"/>
        <v>1.3313636363636365</v>
      </c>
      <c r="H83" s="22">
        <f t="shared" si="13"/>
        <v>2.1554545454545466</v>
      </c>
      <c r="I83" s="52"/>
      <c r="J83" s="49"/>
      <c r="K83" s="49"/>
      <c r="L83" s="49"/>
      <c r="M83" s="49"/>
      <c r="O83" s="52"/>
      <c r="P83" s="52"/>
      <c r="Q83" s="52"/>
      <c r="R83" s="52"/>
    </row>
    <row r="84" spans="1:18" x14ac:dyDescent="0.25">
      <c r="B84" s="56" t="s">
        <v>98</v>
      </c>
      <c r="C84" s="49">
        <v>2.8557142857142854</v>
      </c>
      <c r="D84" s="49">
        <v>4.4819047619047625</v>
      </c>
      <c r="E84" s="49">
        <v>4.2476190476190467</v>
      </c>
      <c r="F84" s="49">
        <v>5.225714285714286</v>
      </c>
      <c r="G84" s="22">
        <f t="shared" ref="G84:G86" si="14">E84-C84</f>
        <v>1.3919047619047613</v>
      </c>
      <c r="H84" s="22">
        <f t="shared" ref="H84:H86" si="15">F84-C84</f>
        <v>2.3700000000000006</v>
      </c>
      <c r="I84" s="52"/>
      <c r="J84" s="49"/>
      <c r="K84" s="49"/>
      <c r="L84" s="49"/>
      <c r="M84" s="49"/>
      <c r="O84" s="52"/>
      <c r="P84" s="52"/>
      <c r="Q84" s="52"/>
      <c r="R84" s="52"/>
    </row>
    <row r="85" spans="1:18" x14ac:dyDescent="0.25">
      <c r="B85" s="56" t="s">
        <v>99</v>
      </c>
      <c r="C85" s="49">
        <v>2.9528571428571433</v>
      </c>
      <c r="D85" s="49">
        <v>4.5895238095238096</v>
      </c>
      <c r="E85" s="49">
        <v>4.3866666666666658</v>
      </c>
      <c r="F85" s="49">
        <v>5.4214285714285708</v>
      </c>
      <c r="G85" s="22">
        <f t="shared" si="14"/>
        <v>1.4338095238095225</v>
      </c>
      <c r="H85" s="22">
        <f t="shared" si="15"/>
        <v>2.4685714285714275</v>
      </c>
      <c r="I85" s="52"/>
      <c r="J85" s="49"/>
      <c r="K85" s="49"/>
      <c r="L85" s="49"/>
      <c r="M85" s="49"/>
      <c r="O85" s="52"/>
      <c r="P85" s="52"/>
      <c r="Q85" s="52"/>
      <c r="R85" s="52"/>
    </row>
    <row r="86" spans="1:18" x14ac:dyDescent="0.25">
      <c r="B86" s="56" t="s">
        <v>100</v>
      </c>
      <c r="C86" s="49">
        <v>2.8880952380952376</v>
      </c>
      <c r="D86" s="49">
        <v>4.5190476190476199</v>
      </c>
      <c r="E86" s="49">
        <v>4.2919047619047621</v>
      </c>
      <c r="F86" s="49">
        <v>5.4661904761904756</v>
      </c>
      <c r="G86" s="22">
        <f t="shared" si="14"/>
        <v>1.4038095238095245</v>
      </c>
      <c r="H86" s="22">
        <f t="shared" si="15"/>
        <v>2.578095238095238</v>
      </c>
      <c r="I86" s="52"/>
      <c r="J86" s="49"/>
      <c r="K86" s="49"/>
      <c r="L86" s="49"/>
      <c r="M86" s="49"/>
      <c r="O86" s="52"/>
      <c r="P86" s="52"/>
      <c r="Q86" s="52"/>
      <c r="R86" s="52"/>
    </row>
    <row r="87" spans="1:18" x14ac:dyDescent="0.25">
      <c r="B87" s="50"/>
      <c r="C87" s="49"/>
      <c r="D87" s="49"/>
      <c r="E87" s="49"/>
      <c r="F87" s="49"/>
      <c r="G87" s="51"/>
      <c r="H87" s="22"/>
      <c r="I87" s="52"/>
      <c r="J87" s="52"/>
      <c r="K87" s="52"/>
      <c r="L87" s="52"/>
      <c r="O87" s="52"/>
      <c r="P87" s="52"/>
      <c r="Q87" s="52"/>
      <c r="R87" s="52"/>
    </row>
    <row r="88" spans="1:18" x14ac:dyDescent="0.25">
      <c r="A88" s="50">
        <v>2015</v>
      </c>
      <c r="B88" s="56" t="s">
        <v>103</v>
      </c>
      <c r="C88" s="49">
        <f t="shared" ref="C88:E88" si="16">AVERAGE(C77:C86)</f>
        <v>2.80634370015949</v>
      </c>
      <c r="D88" s="49">
        <f t="shared" si="16"/>
        <v>4.2740392458418786</v>
      </c>
      <c r="E88" s="49">
        <f t="shared" si="16"/>
        <v>4.0631613921166547</v>
      </c>
      <c r="F88" s="49">
        <f>AVERAGE(F77:F86)</f>
        <v>4.9220890749601276</v>
      </c>
      <c r="G88" s="22">
        <f>AVERAGE(G77:G86)</f>
        <v>1.2568176919571656</v>
      </c>
      <c r="H88" s="22">
        <f>AVERAGE(H77:H86)</f>
        <v>2.1157453748006381</v>
      </c>
      <c r="I88" s="52"/>
      <c r="J88" s="52"/>
      <c r="K88" s="52"/>
      <c r="L88" s="52"/>
      <c r="O88" s="52"/>
      <c r="P88" s="52"/>
      <c r="Q88" s="52"/>
      <c r="R88" s="52"/>
    </row>
    <row r="89" spans="1:18" x14ac:dyDescent="0.25">
      <c r="B89" s="50"/>
      <c r="C89" s="49"/>
      <c r="D89" s="49"/>
      <c r="E89" s="49"/>
      <c r="F89" s="49"/>
      <c r="G89" s="51"/>
      <c r="H89" s="22"/>
      <c r="I89" s="52"/>
      <c r="J89" s="52"/>
      <c r="K89" s="52"/>
      <c r="L89" s="52"/>
      <c r="O89" s="52"/>
      <c r="P89" s="52"/>
      <c r="Q89" s="52"/>
      <c r="R89" s="52"/>
    </row>
    <row r="90" spans="1:18" x14ac:dyDescent="0.25">
      <c r="O90" s="52"/>
      <c r="P90" s="52"/>
      <c r="Q90" s="52"/>
      <c r="R90" s="52"/>
    </row>
    <row r="91" spans="1:18" x14ac:dyDescent="0.25">
      <c r="A91" s="55" t="s">
        <v>104</v>
      </c>
      <c r="B91" s="55"/>
      <c r="C91" s="55"/>
      <c r="O91" s="52"/>
      <c r="P91" s="52"/>
      <c r="Q91" s="52"/>
      <c r="R91" s="52"/>
    </row>
    <row r="92" spans="1:18" x14ac:dyDescent="0.25">
      <c r="A92" s="53" t="s">
        <v>175</v>
      </c>
      <c r="O92" s="52"/>
      <c r="P92" s="52"/>
      <c r="Q92" s="52"/>
      <c r="R92" s="52"/>
    </row>
    <row r="93" spans="1:18" x14ac:dyDescent="0.25">
      <c r="A93" s="53" t="s">
        <v>176</v>
      </c>
      <c r="O93" s="52"/>
      <c r="P93" s="52"/>
      <c r="Q93" s="52"/>
      <c r="R93" s="52"/>
    </row>
    <row r="94" spans="1:18" x14ac:dyDescent="0.25">
      <c r="A94" s="53" t="s">
        <v>177</v>
      </c>
      <c r="O94" s="52"/>
      <c r="P94" s="52"/>
      <c r="Q94" s="52"/>
      <c r="R94" s="52"/>
    </row>
    <row r="95" spans="1:18" x14ac:dyDescent="0.25">
      <c r="A95" s="53" t="s">
        <v>178</v>
      </c>
      <c r="O95" s="52"/>
      <c r="P95" s="52"/>
      <c r="Q95" s="52"/>
      <c r="R95" s="52"/>
    </row>
    <row r="96" spans="1:18" x14ac:dyDescent="0.25">
      <c r="A96" s="53" t="s">
        <v>136</v>
      </c>
      <c r="O96" s="52"/>
      <c r="P96" s="52"/>
      <c r="Q96" s="52"/>
      <c r="R96" s="52"/>
    </row>
    <row r="97" spans="1:18" x14ac:dyDescent="0.25">
      <c r="A97" s="53" t="s">
        <v>137</v>
      </c>
      <c r="O97" s="52"/>
      <c r="P97" s="52"/>
      <c r="Q97" s="52"/>
      <c r="R97" s="52"/>
    </row>
    <row r="98" spans="1:18" x14ac:dyDescent="0.25">
      <c r="O98" s="52"/>
      <c r="P98" s="52"/>
      <c r="Q98" s="52"/>
      <c r="R98" s="52"/>
    </row>
    <row r="99" spans="1:18" x14ac:dyDescent="0.25">
      <c r="O99" s="52"/>
      <c r="P99" s="52"/>
      <c r="Q99" s="52"/>
      <c r="R99" s="52"/>
    </row>
    <row r="100" spans="1:18" x14ac:dyDescent="0.25">
      <c r="O100" s="52"/>
      <c r="P100" s="52"/>
      <c r="Q100" s="52"/>
      <c r="R100" s="52"/>
    </row>
    <row r="101" spans="1:18" x14ac:dyDescent="0.25">
      <c r="O101" s="52"/>
      <c r="P101" s="52"/>
      <c r="Q101" s="52"/>
      <c r="R101" s="52"/>
    </row>
    <row r="102" spans="1:18" x14ac:dyDescent="0.25">
      <c r="O102" s="52"/>
      <c r="P102" s="52"/>
      <c r="Q102" s="52"/>
      <c r="R102" s="52"/>
    </row>
    <row r="103" spans="1:18" x14ac:dyDescent="0.25">
      <c r="O103" s="52"/>
      <c r="P103" s="52"/>
      <c r="Q103" s="52"/>
      <c r="R103" s="52"/>
    </row>
    <row r="104" spans="1:18" x14ac:dyDescent="0.25">
      <c r="O104" s="52"/>
      <c r="P104" s="52"/>
      <c r="Q104" s="52"/>
      <c r="R104" s="52"/>
    </row>
    <row r="105" spans="1:18" x14ac:dyDescent="0.25">
      <c r="O105" s="52"/>
      <c r="P105" s="52"/>
      <c r="Q105" s="52"/>
      <c r="R105" s="52"/>
    </row>
    <row r="106" spans="1:18" x14ac:dyDescent="0.25">
      <c r="O106" s="52"/>
      <c r="P106" s="52"/>
      <c r="Q106" s="52"/>
      <c r="R106" s="52"/>
    </row>
    <row r="107" spans="1:18" x14ac:dyDescent="0.25">
      <c r="O107" s="52"/>
      <c r="P107" s="52"/>
      <c r="Q107" s="52"/>
      <c r="R107" s="52"/>
    </row>
    <row r="108" spans="1:18" x14ac:dyDescent="0.25">
      <c r="O108" s="52"/>
      <c r="P108" s="52"/>
      <c r="Q108" s="52"/>
      <c r="R108" s="52"/>
    </row>
    <row r="109" spans="1:18" x14ac:dyDescent="0.25">
      <c r="O109" s="52"/>
      <c r="P109" s="52"/>
      <c r="Q109" s="52"/>
      <c r="R109" s="52"/>
    </row>
    <row r="110" spans="1:18" x14ac:dyDescent="0.25">
      <c r="O110" s="52"/>
      <c r="P110" s="52"/>
      <c r="Q110" s="52"/>
      <c r="R110" s="52"/>
    </row>
    <row r="111" spans="1:18" x14ac:dyDescent="0.25">
      <c r="O111" s="52"/>
      <c r="P111" s="52"/>
      <c r="Q111" s="52"/>
      <c r="R111" s="52"/>
    </row>
    <row r="112" spans="1:18" x14ac:dyDescent="0.25">
      <c r="O112" s="52"/>
      <c r="P112" s="52"/>
      <c r="Q112" s="52"/>
      <c r="R112" s="52"/>
    </row>
    <row r="113" spans="15:18" x14ac:dyDescent="0.25">
      <c r="O113" s="52"/>
      <c r="P113" s="52"/>
      <c r="Q113" s="52"/>
      <c r="R113" s="52"/>
    </row>
    <row r="114" spans="15:18" x14ac:dyDescent="0.25">
      <c r="O114" s="52"/>
      <c r="P114" s="52"/>
      <c r="Q114" s="52"/>
      <c r="R114" s="52"/>
    </row>
    <row r="115" spans="15:18" x14ac:dyDescent="0.25">
      <c r="O115" s="52"/>
      <c r="P115" s="52"/>
      <c r="Q115" s="52"/>
      <c r="R115" s="52"/>
    </row>
    <row r="116" spans="15:18" x14ac:dyDescent="0.25">
      <c r="O116" s="52"/>
      <c r="P116" s="52"/>
      <c r="Q116" s="52"/>
      <c r="R116" s="52"/>
    </row>
    <row r="117" spans="15:18" x14ac:dyDescent="0.25">
      <c r="O117" s="52"/>
      <c r="P117" s="52"/>
      <c r="Q117" s="52"/>
      <c r="R117" s="52"/>
    </row>
    <row r="118" spans="15:18" x14ac:dyDescent="0.25">
      <c r="O118" s="52"/>
      <c r="P118" s="52"/>
      <c r="Q118" s="52"/>
      <c r="R118" s="52"/>
    </row>
    <row r="119" spans="15:18" x14ac:dyDescent="0.25">
      <c r="O119" s="52"/>
      <c r="P119" s="52"/>
      <c r="Q119" s="52"/>
      <c r="R119" s="52"/>
    </row>
    <row r="120" spans="15:18" x14ac:dyDescent="0.25">
      <c r="O120" s="52"/>
      <c r="P120" s="52"/>
      <c r="Q120" s="52"/>
      <c r="R120" s="52"/>
    </row>
    <row r="121" spans="15:18" x14ac:dyDescent="0.25">
      <c r="O121" s="52"/>
      <c r="P121" s="52"/>
      <c r="Q121" s="52"/>
      <c r="R121" s="52"/>
    </row>
    <row r="122" spans="15:18" x14ac:dyDescent="0.25">
      <c r="O122" s="52"/>
      <c r="P122" s="52"/>
      <c r="Q122" s="52"/>
      <c r="R122" s="52"/>
    </row>
    <row r="123" spans="15:18" x14ac:dyDescent="0.25">
      <c r="O123" s="52"/>
      <c r="P123" s="52"/>
      <c r="Q123" s="52"/>
      <c r="R123" s="52"/>
    </row>
    <row r="124" spans="15:18" x14ac:dyDescent="0.25">
      <c r="O124" s="52"/>
      <c r="P124" s="52"/>
      <c r="Q124" s="52"/>
      <c r="R124" s="52"/>
    </row>
    <row r="125" spans="15:18" x14ac:dyDescent="0.25">
      <c r="O125" s="52"/>
      <c r="P125" s="52"/>
      <c r="Q125" s="52"/>
      <c r="R125" s="52"/>
    </row>
  </sheetData>
  <printOptions horizontalCentered="1"/>
  <pageMargins left="0.7" right="0.7" top="1.25" bottom="0.75" header="0.3" footer="0.3"/>
  <pageSetup scale="72" firstPageNumber="2" fitToHeight="2" orientation="portrait" useFirstPageNumber="1" r:id="rId1"/>
  <headerFooter alignWithMargins="0">
    <oddHeader>&amp;R&amp;K000000Docket No. UG-15____
Cascade Natural Gas Corp.
Exhibit No.___(JSG-2)
Schedule 1
Page &amp;P of 3</oddHeader>
  </headerFooter>
  <rowBreaks count="1" manualBreakCount="1">
    <brk id="50" max="7"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T45"/>
  <sheetViews>
    <sheetView zoomScale="70" zoomScaleNormal="70" workbookViewId="0">
      <selection activeCell="E3" sqref="E3"/>
    </sheetView>
  </sheetViews>
  <sheetFormatPr defaultColWidth="9" defaultRowHeight="15.75" x14ac:dyDescent="0.25"/>
  <cols>
    <col min="1" max="1" width="38.625" style="23" customWidth="1"/>
    <col min="2" max="6" width="11.25" style="23" customWidth="1"/>
    <col min="7" max="7" width="0" style="23" hidden="1" customWidth="1"/>
    <col min="8" max="8" width="9.75" style="23" hidden="1" customWidth="1"/>
    <col min="9" max="11" width="0" style="23" hidden="1" customWidth="1"/>
    <col min="12" max="12" width="14.75" style="23" hidden="1" customWidth="1"/>
    <col min="13" max="13" width="0" style="23" hidden="1" customWidth="1"/>
    <col min="14" max="14" width="13.125" style="23" hidden="1" customWidth="1"/>
    <col min="15" max="16" width="0" style="23" hidden="1" customWidth="1"/>
    <col min="17" max="19" width="9" style="23"/>
    <col min="20" max="20" width="16.875" style="23" bestFit="1" customWidth="1"/>
    <col min="21" max="16384" width="9" style="23"/>
  </cols>
  <sheetData>
    <row r="1" spans="1:17" ht="20.25" x14ac:dyDescent="0.3">
      <c r="A1" s="24" t="s">
        <v>1288</v>
      </c>
      <c r="B1" s="85"/>
      <c r="C1" s="85"/>
      <c r="D1" s="85"/>
      <c r="E1" s="85"/>
      <c r="F1" s="85"/>
      <c r="I1" s="86" t="s">
        <v>1166</v>
      </c>
      <c r="J1" s="86" t="s">
        <v>1168</v>
      </c>
    </row>
    <row r="2" spans="1:17" x14ac:dyDescent="0.25">
      <c r="J2" s="23" t="s">
        <v>1167</v>
      </c>
      <c r="Q2" s="44"/>
    </row>
    <row r="3" spans="1:17" ht="18.75" x14ac:dyDescent="0.3">
      <c r="A3" s="30" t="s">
        <v>143</v>
      </c>
      <c r="B3" s="85"/>
      <c r="C3" s="85"/>
      <c r="D3" s="85"/>
      <c r="E3" s="85"/>
      <c r="F3" s="85"/>
      <c r="Q3" s="44"/>
    </row>
    <row r="4" spans="1:17" ht="18.75" x14ac:dyDescent="0.3">
      <c r="A4" s="30" t="s">
        <v>126</v>
      </c>
      <c r="B4" s="85"/>
      <c r="C4" s="85"/>
      <c r="D4" s="85"/>
      <c r="E4" s="85"/>
      <c r="F4" s="85"/>
      <c r="Q4" s="87"/>
    </row>
    <row r="5" spans="1:17" ht="18.75" x14ac:dyDescent="0.3">
      <c r="A5" s="34" t="s">
        <v>1286</v>
      </c>
      <c r="B5" s="85"/>
      <c r="C5" s="85"/>
      <c r="D5" s="85"/>
      <c r="E5" s="85"/>
      <c r="F5" s="85"/>
    </row>
    <row r="6" spans="1:17" ht="16.5" thickBot="1" x14ac:dyDescent="0.3"/>
    <row r="7" spans="1:17" ht="78.75" x14ac:dyDescent="0.25">
      <c r="A7" s="88" t="s">
        <v>58</v>
      </c>
      <c r="B7" s="89" t="s">
        <v>59</v>
      </c>
      <c r="C7" s="89" t="s">
        <v>60</v>
      </c>
      <c r="D7" s="88" t="s">
        <v>61</v>
      </c>
      <c r="E7" s="89" t="s">
        <v>62</v>
      </c>
      <c r="F7" s="89" t="s">
        <v>63</v>
      </c>
      <c r="I7" s="73" t="s">
        <v>1165</v>
      </c>
    </row>
    <row r="9" spans="1:17" x14ac:dyDescent="0.25">
      <c r="A9" s="23" t="s">
        <v>110</v>
      </c>
      <c r="B9" s="90">
        <v>38006</v>
      </c>
      <c r="C9" s="91">
        <v>4250000</v>
      </c>
      <c r="D9" s="92">
        <v>42.5</v>
      </c>
      <c r="E9" s="92">
        <v>41.01</v>
      </c>
      <c r="F9" s="26">
        <f t="shared" ref="F9:F20" si="0">(D9/E9)-1</f>
        <v>3.6332601804438092E-2</v>
      </c>
      <c r="G9" s="23" t="str">
        <f>'[1]Sched 2 Flot Cost'!A28</f>
        <v>Unitil Corporation</v>
      </c>
      <c r="H9" s="90">
        <f>'[1]Sched 2 Flot Cost'!B28</f>
        <v>37917</v>
      </c>
      <c r="I9" s="23">
        <f>'[1]Sched 2 Flot Cost'!C28</f>
        <v>624000</v>
      </c>
      <c r="J9" s="23">
        <f>'[1]Sched 2 Flot Cost'!D28</f>
        <v>25.4</v>
      </c>
      <c r="K9" s="23">
        <f>'[1]Sched 2 Flot Cost'!E28</f>
        <v>24.13</v>
      </c>
      <c r="L9" s="93" t="str">
        <f t="shared" ref="L9:L21" si="1">A9</f>
        <v>Piedmont Natural Gas Company, Inc.</v>
      </c>
      <c r="M9" s="93">
        <f t="shared" ref="M9:M21" si="2">H9-B9</f>
        <v>-89</v>
      </c>
      <c r="N9" s="93">
        <f t="shared" ref="N9:N21" si="3">I9-C9</f>
        <v>-3626000</v>
      </c>
      <c r="O9" s="93">
        <f t="shared" ref="O9:O21" si="4">J9-D9</f>
        <v>-17.100000000000001</v>
      </c>
      <c r="P9" s="93">
        <f t="shared" ref="P9:P21" si="5">K9-E9</f>
        <v>-16.88</v>
      </c>
    </row>
    <row r="10" spans="1:17" x14ac:dyDescent="0.25">
      <c r="A10" s="23" t="s">
        <v>3</v>
      </c>
      <c r="B10" s="90">
        <v>38021</v>
      </c>
      <c r="C10" s="91">
        <v>2000000</v>
      </c>
      <c r="D10" s="92">
        <v>23.32</v>
      </c>
      <c r="E10" s="92">
        <v>22.527000000000001</v>
      </c>
      <c r="F10" s="26">
        <f t="shared" si="0"/>
        <v>3.520220180228173E-2</v>
      </c>
      <c r="G10" s="23" t="str">
        <f>'[1]Sched 2 Flot Cost'!A29</f>
        <v>Piedmont Natural Gas Company, Inc.</v>
      </c>
      <c r="H10" s="90">
        <f>'[1]Sched 2 Flot Cost'!B29</f>
        <v>38006</v>
      </c>
      <c r="I10" s="23">
        <f>'[1]Sched 2 Flot Cost'!C29</f>
        <v>4250000</v>
      </c>
      <c r="J10" s="23">
        <f>'[1]Sched 2 Flot Cost'!D29</f>
        <v>42.5</v>
      </c>
      <c r="K10" s="23">
        <f>'[1]Sched 2 Flot Cost'!E29</f>
        <v>41.01</v>
      </c>
      <c r="L10" s="93" t="str">
        <f t="shared" si="1"/>
        <v>MDU Resources Group, Inc.</v>
      </c>
      <c r="M10" s="93">
        <f t="shared" si="2"/>
        <v>-15</v>
      </c>
      <c r="N10" s="93">
        <f t="shared" si="3"/>
        <v>2250000</v>
      </c>
      <c r="O10" s="93">
        <f t="shared" si="4"/>
        <v>19.18</v>
      </c>
      <c r="P10" s="93">
        <f t="shared" si="5"/>
        <v>18.482999999999997</v>
      </c>
    </row>
    <row r="11" spans="1:17" x14ac:dyDescent="0.25">
      <c r="A11" s="23" t="s">
        <v>118</v>
      </c>
      <c r="B11" s="90">
        <v>38064</v>
      </c>
      <c r="C11" s="91">
        <v>7500000</v>
      </c>
      <c r="D11" s="92">
        <v>32.1</v>
      </c>
      <c r="E11" s="92">
        <v>30.695600000000002</v>
      </c>
      <c r="F11" s="26">
        <f t="shared" si="0"/>
        <v>4.5752485698275835E-2</v>
      </c>
      <c r="G11" s="23" t="str">
        <f>'[1]Sched 2 Flot Cost'!A30</f>
        <v>MDU Resources Group, Inc.</v>
      </c>
      <c r="H11" s="90">
        <f>'[1]Sched 2 Flot Cost'!B30</f>
        <v>38021</v>
      </c>
      <c r="I11" s="23">
        <f>'[1]Sched 2 Flot Cost'!C30</f>
        <v>2000000</v>
      </c>
      <c r="J11" s="23">
        <f>'[1]Sched 2 Flot Cost'!D30</f>
        <v>23.32</v>
      </c>
      <c r="K11" s="23">
        <f>'[1]Sched 2 Flot Cost'!E30</f>
        <v>22.527000000000001</v>
      </c>
      <c r="L11" s="93" t="str">
        <f t="shared" si="1"/>
        <v>UGI Corporation</v>
      </c>
      <c r="M11" s="93">
        <f t="shared" si="2"/>
        <v>-43</v>
      </c>
      <c r="N11" s="93">
        <f t="shared" si="3"/>
        <v>-5500000</v>
      </c>
      <c r="O11" s="93">
        <f t="shared" si="4"/>
        <v>-8.7800000000000011</v>
      </c>
      <c r="P11" s="93">
        <f t="shared" si="5"/>
        <v>-8.1686000000000014</v>
      </c>
    </row>
    <row r="12" spans="1:17" x14ac:dyDescent="0.25">
      <c r="A12" s="23" t="s">
        <v>109</v>
      </c>
      <c r="B12" s="90">
        <v>38076</v>
      </c>
      <c r="C12" s="91">
        <v>1200000</v>
      </c>
      <c r="D12" s="92">
        <v>31</v>
      </c>
      <c r="E12" s="92">
        <v>29.99</v>
      </c>
      <c r="F12" s="26">
        <f t="shared" si="0"/>
        <v>3.3677892630876949E-2</v>
      </c>
      <c r="G12" s="23" t="str">
        <f>'[1]Sched 2 Flot Cost'!A31</f>
        <v>UGI Corporation</v>
      </c>
      <c r="H12" s="90">
        <f>'[1]Sched 2 Flot Cost'!B31</f>
        <v>38064</v>
      </c>
      <c r="I12" s="23">
        <f>'[1]Sched 2 Flot Cost'!C31</f>
        <v>7500000</v>
      </c>
      <c r="J12" s="23">
        <f>'[1]Sched 2 Flot Cost'!D31</f>
        <v>32.1</v>
      </c>
      <c r="K12" s="23">
        <f>'[1]Sched 2 Flot Cost'!E31</f>
        <v>30.695600000000002</v>
      </c>
      <c r="L12" s="93" t="str">
        <f t="shared" si="1"/>
        <v>Northwest Natural Gas Company</v>
      </c>
      <c r="M12" s="93">
        <f t="shared" si="2"/>
        <v>-12</v>
      </c>
      <c r="N12" s="93">
        <f t="shared" si="3"/>
        <v>6300000</v>
      </c>
      <c r="O12" s="93">
        <f t="shared" si="4"/>
        <v>1.1000000000000014</v>
      </c>
      <c r="P12" s="93">
        <f t="shared" si="5"/>
        <v>0.705600000000004</v>
      </c>
    </row>
    <row r="13" spans="1:17" x14ac:dyDescent="0.25">
      <c r="A13" s="23" t="s">
        <v>119</v>
      </c>
      <c r="B13" s="90">
        <v>38132</v>
      </c>
      <c r="C13" s="91">
        <v>1500000</v>
      </c>
      <c r="D13" s="92">
        <v>26.8</v>
      </c>
      <c r="E13" s="92">
        <v>25.928999999999998</v>
      </c>
      <c r="F13" s="26">
        <f t="shared" si="0"/>
        <v>3.3591731266150004E-2</v>
      </c>
      <c r="G13" s="23" t="str">
        <f>'[1]Sched 2 Flot Cost'!A32</f>
        <v>Northwest Natural Gas Company</v>
      </c>
      <c r="H13" s="90">
        <f>'[1]Sched 2 Flot Cost'!B32</f>
        <v>38076</v>
      </c>
      <c r="I13" s="23">
        <f>'[1]Sched 2 Flot Cost'!C32</f>
        <v>1200000</v>
      </c>
      <c r="J13" s="23">
        <f>'[1]Sched 2 Flot Cost'!D32</f>
        <v>31</v>
      </c>
      <c r="K13" s="23">
        <f>'[1]Sched 2 Flot Cost'!E32</f>
        <v>29.99</v>
      </c>
      <c r="L13" s="93" t="str">
        <f t="shared" si="1"/>
        <v>The Laclede Group, Inc.</v>
      </c>
      <c r="M13" s="93">
        <f t="shared" si="2"/>
        <v>-56</v>
      </c>
      <c r="N13" s="93">
        <f t="shared" si="3"/>
        <v>-300000</v>
      </c>
      <c r="O13" s="93">
        <f t="shared" si="4"/>
        <v>4.1999999999999993</v>
      </c>
      <c r="P13" s="93">
        <f t="shared" si="5"/>
        <v>4.0609999999999999</v>
      </c>
    </row>
    <row r="14" spans="1:17" x14ac:dyDescent="0.25">
      <c r="A14" s="23" t="s">
        <v>116</v>
      </c>
      <c r="B14" s="90">
        <v>38181</v>
      </c>
      <c r="C14" s="91">
        <v>8650000</v>
      </c>
      <c r="D14" s="92">
        <v>24.75</v>
      </c>
      <c r="E14" s="92">
        <v>23.76</v>
      </c>
      <c r="F14" s="26">
        <f t="shared" si="0"/>
        <v>4.1666666666666519E-2</v>
      </c>
      <c r="G14" s="23" t="str">
        <f>'[1]Sched 2 Flot Cost'!A33</f>
        <v>The Laclede Group, Inc.</v>
      </c>
      <c r="H14" s="90">
        <f>'[1]Sched 2 Flot Cost'!B33</f>
        <v>38132</v>
      </c>
      <c r="I14" s="23">
        <f>'[1]Sched 2 Flot Cost'!C33</f>
        <v>1500000</v>
      </c>
      <c r="J14" s="23">
        <f>'[1]Sched 2 Flot Cost'!D33</f>
        <v>26.8</v>
      </c>
      <c r="K14" s="23">
        <f>'[1]Sched 2 Flot Cost'!E33</f>
        <v>25.928999999999998</v>
      </c>
      <c r="L14" s="93" t="str">
        <f t="shared" si="1"/>
        <v>Atmos Energy Corporation</v>
      </c>
      <c r="M14" s="93">
        <f t="shared" si="2"/>
        <v>-49</v>
      </c>
      <c r="N14" s="93">
        <f t="shared" si="3"/>
        <v>-7150000</v>
      </c>
      <c r="O14" s="93">
        <f t="shared" si="4"/>
        <v>2.0500000000000007</v>
      </c>
      <c r="P14" s="93">
        <f t="shared" si="5"/>
        <v>2.1689999999999969</v>
      </c>
    </row>
    <row r="15" spans="1:17" x14ac:dyDescent="0.25">
      <c r="A15" s="23" t="s">
        <v>115</v>
      </c>
      <c r="B15" s="90">
        <v>38194</v>
      </c>
      <c r="C15" s="91">
        <v>11000000</v>
      </c>
      <c r="D15" s="92">
        <v>18.75</v>
      </c>
      <c r="E15" s="92">
        <v>18.094000000000001</v>
      </c>
      <c r="F15" s="26">
        <f t="shared" si="0"/>
        <v>3.6255112191886818E-2</v>
      </c>
      <c r="G15" s="23" t="str">
        <f>'[1]Sched 2 Flot Cost'!A34</f>
        <v>Atmos Energy Corporation</v>
      </c>
      <c r="H15" s="90">
        <f>'[1]Sched 2 Flot Cost'!B34</f>
        <v>38181</v>
      </c>
      <c r="I15" s="23">
        <f>'[1]Sched 2 Flot Cost'!C34</f>
        <v>8650000</v>
      </c>
      <c r="J15" s="23">
        <f>'[1]Sched 2 Flot Cost'!D34</f>
        <v>24.75</v>
      </c>
      <c r="K15" s="23">
        <f>'[1]Sched 2 Flot Cost'!E34</f>
        <v>23.76</v>
      </c>
      <c r="L15" s="93" t="str">
        <f t="shared" si="1"/>
        <v>Southern Union Company</v>
      </c>
      <c r="M15" s="93">
        <f t="shared" si="2"/>
        <v>-13</v>
      </c>
      <c r="N15" s="93">
        <f t="shared" si="3"/>
        <v>-2350000</v>
      </c>
      <c r="O15" s="93">
        <f t="shared" si="4"/>
        <v>6</v>
      </c>
      <c r="P15" s="93">
        <f t="shared" si="5"/>
        <v>5.6660000000000004</v>
      </c>
    </row>
    <row r="16" spans="1:17" x14ac:dyDescent="0.25">
      <c r="A16" s="23" t="s">
        <v>121</v>
      </c>
      <c r="B16" s="90">
        <v>38217</v>
      </c>
      <c r="C16" s="91">
        <v>40000000</v>
      </c>
      <c r="D16" s="92">
        <v>2.5499999999999998</v>
      </c>
      <c r="E16" s="92">
        <v>2.4509999999999996</v>
      </c>
      <c r="F16" s="26">
        <f t="shared" si="0"/>
        <v>4.0391676866585069E-2</v>
      </c>
      <c r="G16" s="23" t="str">
        <f>'[1]Sched 2 Flot Cost'!A35</f>
        <v>Southern Union Company</v>
      </c>
      <c r="H16" s="90">
        <f>'[1]Sched 2 Flot Cost'!B35</f>
        <v>38194</v>
      </c>
      <c r="I16" s="23">
        <f>'[1]Sched 2 Flot Cost'!C35</f>
        <v>11000000</v>
      </c>
      <c r="J16" s="23">
        <f>'[1]Sched 2 Flot Cost'!D35</f>
        <v>18.75</v>
      </c>
      <c r="K16" s="23">
        <f>'[1]Sched 2 Flot Cost'!E35</f>
        <v>18.094000000000001</v>
      </c>
      <c r="L16" s="93" t="str">
        <f t="shared" si="1"/>
        <v>Aquila, Inc.</v>
      </c>
      <c r="M16" s="93">
        <f t="shared" si="2"/>
        <v>-23</v>
      </c>
      <c r="N16" s="93">
        <f t="shared" si="3"/>
        <v>-29000000</v>
      </c>
      <c r="O16" s="93">
        <f t="shared" si="4"/>
        <v>16.2</v>
      </c>
      <c r="P16" s="93">
        <f t="shared" si="5"/>
        <v>15.643000000000001</v>
      </c>
    </row>
    <row r="17" spans="1:16" x14ac:dyDescent="0.25">
      <c r="A17" s="23" t="s">
        <v>116</v>
      </c>
      <c r="B17" s="90">
        <v>38281</v>
      </c>
      <c r="C17" s="91">
        <v>14000000</v>
      </c>
      <c r="D17" s="92">
        <v>24.75</v>
      </c>
      <c r="E17" s="92">
        <v>23.76</v>
      </c>
      <c r="F17" s="26">
        <f t="shared" si="0"/>
        <v>4.1666666666666519E-2</v>
      </c>
      <c r="G17" s="23" t="str">
        <f>'[1]Sched 2 Flot Cost'!A36</f>
        <v>Aquila, Inc.</v>
      </c>
      <c r="H17" s="90">
        <f>'[1]Sched 2 Flot Cost'!B36</f>
        <v>38217</v>
      </c>
      <c r="I17" s="23">
        <f>'[1]Sched 2 Flot Cost'!C36</f>
        <v>40000000</v>
      </c>
      <c r="J17" s="23">
        <f>'[1]Sched 2 Flot Cost'!D36</f>
        <v>2.5499999999999998</v>
      </c>
      <c r="K17" s="23">
        <f>'[1]Sched 2 Flot Cost'!E36</f>
        <v>2.4509999999999996</v>
      </c>
      <c r="L17" s="93" t="str">
        <f t="shared" si="1"/>
        <v>Atmos Energy Corporation</v>
      </c>
      <c r="M17" s="93">
        <f t="shared" si="2"/>
        <v>-64</v>
      </c>
      <c r="N17" s="93">
        <f t="shared" si="3"/>
        <v>26000000</v>
      </c>
      <c r="O17" s="93">
        <f t="shared" si="4"/>
        <v>-22.2</v>
      </c>
      <c r="P17" s="93">
        <f t="shared" si="5"/>
        <v>-21.309000000000001</v>
      </c>
    </row>
    <row r="18" spans="1:16" x14ac:dyDescent="0.25">
      <c r="A18" s="23" t="s">
        <v>32</v>
      </c>
      <c r="B18" s="90">
        <v>38310</v>
      </c>
      <c r="C18" s="91">
        <v>9600000</v>
      </c>
      <c r="D18" s="92">
        <v>31.01</v>
      </c>
      <c r="E18" s="92">
        <v>30.08</v>
      </c>
      <c r="F18" s="26">
        <f t="shared" si="0"/>
        <v>3.0917553191489366E-2</v>
      </c>
      <c r="G18" s="23" t="str">
        <f>'[1]Sched 2 Flot Cost'!A37</f>
        <v>Atmos Energy Corporation</v>
      </c>
      <c r="H18" s="90">
        <f>'[1]Sched 2 Flot Cost'!B37</f>
        <v>38281</v>
      </c>
      <c r="I18" s="23">
        <f>'[1]Sched 2 Flot Cost'!C37</f>
        <v>14000000</v>
      </c>
      <c r="J18" s="23">
        <f>'[1]Sched 2 Flot Cost'!D37</f>
        <v>24.75</v>
      </c>
      <c r="K18" s="23">
        <f>'[1]Sched 2 Flot Cost'!E37</f>
        <v>23.76</v>
      </c>
      <c r="L18" s="93" t="str">
        <f t="shared" si="1"/>
        <v>AGL Resources Inc.</v>
      </c>
      <c r="M18" s="93">
        <f t="shared" si="2"/>
        <v>-29</v>
      </c>
      <c r="N18" s="93">
        <f t="shared" si="3"/>
        <v>4400000</v>
      </c>
      <c r="O18" s="93">
        <f t="shared" si="4"/>
        <v>-6.2600000000000016</v>
      </c>
      <c r="P18" s="93">
        <f t="shared" si="5"/>
        <v>-6.3199999999999967</v>
      </c>
    </row>
    <row r="19" spans="1:16" x14ac:dyDescent="0.25">
      <c r="A19" s="23" t="s">
        <v>122</v>
      </c>
      <c r="B19" s="90">
        <v>38330</v>
      </c>
      <c r="C19" s="91">
        <v>6100000</v>
      </c>
      <c r="D19" s="92">
        <v>41</v>
      </c>
      <c r="E19" s="92">
        <v>40.51</v>
      </c>
      <c r="F19" s="26">
        <f t="shared" si="0"/>
        <v>1.2095778820044423E-2</v>
      </c>
      <c r="G19" s="23" t="str">
        <f>'[1]Sched 2 Flot Cost'!A38</f>
        <v>AGL Resources Inc.</v>
      </c>
      <c r="H19" s="90">
        <f>'[1]Sched 2 Flot Cost'!B38</f>
        <v>38310</v>
      </c>
      <c r="I19" s="23">
        <f>'[1]Sched 2 Flot Cost'!C38</f>
        <v>9600000</v>
      </c>
      <c r="J19" s="23">
        <f>'[1]Sched 2 Flot Cost'!D38</f>
        <v>31.01</v>
      </c>
      <c r="K19" s="23">
        <f>'[1]Sched 2 Flot Cost'!E38</f>
        <v>30.08</v>
      </c>
      <c r="L19" s="93" t="str">
        <f t="shared" si="1"/>
        <v>Cinergy Corporation</v>
      </c>
      <c r="M19" s="93">
        <f t="shared" si="2"/>
        <v>-20</v>
      </c>
      <c r="N19" s="93">
        <f t="shared" si="3"/>
        <v>3500000</v>
      </c>
      <c r="O19" s="93">
        <f t="shared" si="4"/>
        <v>-9.9899999999999984</v>
      </c>
      <c r="P19" s="93">
        <f t="shared" si="5"/>
        <v>-10.43</v>
      </c>
    </row>
    <row r="20" spans="1:16" x14ac:dyDescent="0.25">
      <c r="A20" s="23" t="s">
        <v>115</v>
      </c>
      <c r="B20" s="90">
        <v>38390</v>
      </c>
      <c r="C20" s="91">
        <v>14910000</v>
      </c>
      <c r="D20" s="92">
        <v>23</v>
      </c>
      <c r="E20" s="92">
        <v>22.3</v>
      </c>
      <c r="F20" s="26">
        <f t="shared" si="0"/>
        <v>3.1390134529147851E-2</v>
      </c>
      <c r="G20" s="23" t="str">
        <f>'[1]Sched 2 Flot Cost'!A39</f>
        <v>Cinergy Corporation</v>
      </c>
      <c r="H20" s="90">
        <f>'[1]Sched 2 Flot Cost'!B39</f>
        <v>38330</v>
      </c>
      <c r="I20" s="23">
        <f>'[1]Sched 2 Flot Cost'!C39</f>
        <v>6100000</v>
      </c>
      <c r="J20" s="23">
        <f>'[1]Sched 2 Flot Cost'!D39</f>
        <v>41</v>
      </c>
      <c r="K20" s="23">
        <f>'[1]Sched 2 Flot Cost'!E39</f>
        <v>40.51</v>
      </c>
      <c r="L20" s="93" t="str">
        <f t="shared" si="1"/>
        <v>Southern Union Company</v>
      </c>
      <c r="M20" s="93">
        <f t="shared" si="2"/>
        <v>-60</v>
      </c>
      <c r="N20" s="93">
        <f t="shared" si="3"/>
        <v>-8810000</v>
      </c>
      <c r="O20" s="93">
        <f t="shared" si="4"/>
        <v>18</v>
      </c>
      <c r="P20" s="93">
        <f t="shared" si="5"/>
        <v>18.209999999999997</v>
      </c>
    </row>
    <row r="21" spans="1:16" x14ac:dyDescent="0.25">
      <c r="A21" s="23" t="s">
        <v>113</v>
      </c>
      <c r="B21" s="90">
        <v>38574</v>
      </c>
      <c r="C21" s="91">
        <v>4300000</v>
      </c>
      <c r="D21" s="92">
        <v>6.32</v>
      </c>
      <c r="E21" s="92">
        <v>6.0672000000000006</v>
      </c>
      <c r="F21" s="26">
        <f t="shared" ref="F21:F38" si="6">(D21/E21)-1</f>
        <v>4.1666666666666519E-2</v>
      </c>
      <c r="G21" s="23" t="str">
        <f>'[1]Sched 2 Flot Cost'!A40</f>
        <v>Southern Union Company</v>
      </c>
      <c r="H21" s="90">
        <f>'[1]Sched 2 Flot Cost'!B40</f>
        <v>38390</v>
      </c>
      <c r="I21" s="23">
        <f>'[1]Sched 2 Flot Cost'!C40</f>
        <v>14910000</v>
      </c>
      <c r="J21" s="23">
        <f>'[1]Sched 2 Flot Cost'!D40</f>
        <v>23</v>
      </c>
      <c r="K21" s="23">
        <f>'[1]Sched 2 Flot Cost'!E40</f>
        <v>22.3</v>
      </c>
      <c r="L21" s="93" t="str">
        <f t="shared" si="1"/>
        <v>SEMCO Energy, Inc.</v>
      </c>
      <c r="M21" s="93">
        <f t="shared" si="2"/>
        <v>-184</v>
      </c>
      <c r="N21" s="93">
        <f t="shared" si="3"/>
        <v>10610000</v>
      </c>
      <c r="O21" s="93">
        <f t="shared" si="4"/>
        <v>16.68</v>
      </c>
      <c r="P21" s="93">
        <f t="shared" si="5"/>
        <v>16.232800000000001</v>
      </c>
    </row>
    <row r="22" spans="1:16" x14ac:dyDescent="0.25">
      <c r="A22" s="23" t="s">
        <v>120</v>
      </c>
      <c r="B22" s="90">
        <v>39037</v>
      </c>
      <c r="C22" s="91">
        <v>600300</v>
      </c>
      <c r="D22" s="92">
        <v>30.1</v>
      </c>
      <c r="E22" s="92">
        <v>28.975000000000001</v>
      </c>
      <c r="F22" s="26">
        <f t="shared" si="6"/>
        <v>3.8826574633304523E-2</v>
      </c>
      <c r="G22" s="23" t="str">
        <f>'[1]Sched 2 Flot Cost'!A41</f>
        <v>SEMCO Energy, Inc.</v>
      </c>
      <c r="H22" s="90">
        <f>'[1]Sched 2 Flot Cost'!B41</f>
        <v>38574</v>
      </c>
      <c r="I22" s="23">
        <f>'[1]Sched 2 Flot Cost'!C41</f>
        <v>4300000</v>
      </c>
      <c r="J22" s="23">
        <f>'[1]Sched 2 Flot Cost'!D41</f>
        <v>6.32</v>
      </c>
      <c r="K22" s="23">
        <f>'[1]Sched 2 Flot Cost'!E41</f>
        <v>6.0672000000000006</v>
      </c>
      <c r="L22" s="93" t="str">
        <f t="shared" ref="L22:L39" si="7">A22</f>
        <v>Chesapeake Utilities Corporation</v>
      </c>
      <c r="M22" s="93">
        <f t="shared" ref="M22:M39" si="8">H22-B22</f>
        <v>-463</v>
      </c>
      <c r="N22" s="93">
        <f t="shared" ref="N22:N39" si="9">I22-C22</f>
        <v>3699700</v>
      </c>
      <c r="O22" s="93">
        <f t="shared" ref="O22:O39" si="10">J22-D22</f>
        <v>-23.78</v>
      </c>
      <c r="P22" s="93">
        <f t="shared" ref="P22:P39" si="11">K22-E22</f>
        <v>-22.907800000000002</v>
      </c>
    </row>
    <row r="23" spans="1:16" x14ac:dyDescent="0.25">
      <c r="A23" s="23" t="s">
        <v>116</v>
      </c>
      <c r="B23" s="90">
        <v>39058</v>
      </c>
      <c r="C23" s="91">
        <v>5500000</v>
      </c>
      <c r="D23" s="92">
        <v>31.5</v>
      </c>
      <c r="E23" s="92">
        <v>30.397500000000001</v>
      </c>
      <c r="F23" s="26">
        <f t="shared" si="6"/>
        <v>3.6269430051813378E-2</v>
      </c>
      <c r="G23" s="23" t="str">
        <f>'[1]Sched 2 Flot Cost'!A42</f>
        <v>Chesapeake Utilities Corporation</v>
      </c>
      <c r="H23" s="90">
        <f>'[1]Sched 2 Flot Cost'!B42</f>
        <v>39037</v>
      </c>
      <c r="I23" s="23">
        <f>'[1]Sched 2 Flot Cost'!C42</f>
        <v>600300</v>
      </c>
      <c r="J23" s="23">
        <f>'[1]Sched 2 Flot Cost'!D42</f>
        <v>30.1</v>
      </c>
      <c r="K23" s="23">
        <f>'[1]Sched 2 Flot Cost'!E42</f>
        <v>28.975000000000001</v>
      </c>
      <c r="L23" s="93" t="str">
        <f t="shared" si="7"/>
        <v>Atmos Energy Corporation</v>
      </c>
      <c r="M23" s="93">
        <f t="shared" si="8"/>
        <v>-21</v>
      </c>
      <c r="N23" s="93">
        <f t="shared" si="9"/>
        <v>-4899700</v>
      </c>
      <c r="O23" s="93">
        <f t="shared" si="10"/>
        <v>-1.3999999999999986</v>
      </c>
      <c r="P23" s="93">
        <f t="shared" si="11"/>
        <v>-1.4224999999999994</v>
      </c>
    </row>
    <row r="24" spans="1:16" x14ac:dyDescent="0.25">
      <c r="A24" s="23" t="s">
        <v>64</v>
      </c>
      <c r="B24" s="90">
        <v>39135</v>
      </c>
      <c r="C24" s="91">
        <v>4600000</v>
      </c>
      <c r="D24" s="92">
        <v>28.33</v>
      </c>
      <c r="E24" s="92">
        <v>27.3384</v>
      </c>
      <c r="F24" s="26">
        <f t="shared" si="6"/>
        <v>3.6271325315307301E-2</v>
      </c>
      <c r="G24" s="23" t="str">
        <f>'[1]Sched 2 Flot Cost'!A43</f>
        <v>Atmos Energy Corporation</v>
      </c>
      <c r="H24" s="90">
        <f>'[1]Sched 2 Flot Cost'!B43</f>
        <v>39058</v>
      </c>
      <c r="I24" s="23">
        <f>'[1]Sched 2 Flot Cost'!C43</f>
        <v>5500000</v>
      </c>
      <c r="J24" s="23">
        <f>'[1]Sched 2 Flot Cost'!D43</f>
        <v>31.5</v>
      </c>
      <c r="K24" s="23">
        <f>'[1]Sched 2 Flot Cost'!E43</f>
        <v>30.397500000000001</v>
      </c>
      <c r="L24" s="93" t="str">
        <f t="shared" si="7"/>
        <v>Vectren Corporation</v>
      </c>
      <c r="M24" s="93">
        <f t="shared" si="8"/>
        <v>-77</v>
      </c>
      <c r="N24" s="93">
        <f t="shared" si="9"/>
        <v>900000</v>
      </c>
      <c r="O24" s="93">
        <f t="shared" si="10"/>
        <v>3.1700000000000017</v>
      </c>
      <c r="P24" s="93">
        <f t="shared" si="11"/>
        <v>3.0591000000000008</v>
      </c>
    </row>
    <row r="25" spans="1:16" x14ac:dyDescent="0.25">
      <c r="A25" s="23" t="s">
        <v>117</v>
      </c>
      <c r="B25" s="90">
        <v>39792</v>
      </c>
      <c r="C25" s="91">
        <v>2000000</v>
      </c>
      <c r="D25" s="92">
        <v>20</v>
      </c>
      <c r="E25" s="92">
        <v>18.95</v>
      </c>
      <c r="F25" s="26">
        <f t="shared" si="6"/>
        <v>5.5408970976253302E-2</v>
      </c>
      <c r="G25" s="23" t="str">
        <f>'[1]Sched 2 Flot Cost'!A44</f>
        <v>Vectren Corporation</v>
      </c>
      <c r="H25" s="90">
        <f>'[1]Sched 2 Flot Cost'!B44</f>
        <v>39135</v>
      </c>
      <c r="I25" s="23">
        <f>'[1]Sched 2 Flot Cost'!C44</f>
        <v>4600000</v>
      </c>
      <c r="J25" s="23">
        <f>'[1]Sched 2 Flot Cost'!D44</f>
        <v>28.33</v>
      </c>
      <c r="K25" s="23">
        <f>'[1]Sched 2 Flot Cost'!E44</f>
        <v>27.3384</v>
      </c>
      <c r="L25" s="93" t="str">
        <f t="shared" si="7"/>
        <v>Unitil Corporation</v>
      </c>
      <c r="M25" s="93">
        <f t="shared" si="8"/>
        <v>-657</v>
      </c>
      <c r="N25" s="93">
        <f t="shared" si="9"/>
        <v>2600000</v>
      </c>
      <c r="O25" s="93">
        <f t="shared" si="10"/>
        <v>8.3299999999999983</v>
      </c>
      <c r="P25" s="93">
        <f t="shared" si="11"/>
        <v>8.3884000000000007</v>
      </c>
    </row>
    <row r="26" spans="1:16" x14ac:dyDescent="0.25">
      <c r="A26" s="23" t="s">
        <v>117</v>
      </c>
      <c r="B26" s="90">
        <v>39953</v>
      </c>
      <c r="C26" s="91">
        <v>2400000</v>
      </c>
      <c r="D26" s="92">
        <v>20</v>
      </c>
      <c r="E26" s="92">
        <v>18.95</v>
      </c>
      <c r="F26" s="26">
        <f t="shared" si="6"/>
        <v>5.5408970976253302E-2</v>
      </c>
      <c r="G26" s="23" t="str">
        <f>'[1]Sched 2 Flot Cost'!A45</f>
        <v>Unitil Corporation</v>
      </c>
      <c r="H26" s="90">
        <f>'[1]Sched 2 Flot Cost'!B45</f>
        <v>39792</v>
      </c>
      <c r="I26" s="23">
        <f>'[1]Sched 2 Flot Cost'!C45</f>
        <v>2000000</v>
      </c>
      <c r="J26" s="23">
        <f>'[1]Sched 2 Flot Cost'!D45</f>
        <v>20</v>
      </c>
      <c r="K26" s="23">
        <f>'[1]Sched 2 Flot Cost'!E45</f>
        <v>18.95</v>
      </c>
      <c r="L26" s="93" t="str">
        <f t="shared" si="7"/>
        <v>Unitil Corporation</v>
      </c>
      <c r="M26" s="93">
        <f t="shared" si="8"/>
        <v>-161</v>
      </c>
      <c r="N26" s="93">
        <f t="shared" si="9"/>
        <v>-400000</v>
      </c>
      <c r="O26" s="93">
        <f t="shared" si="10"/>
        <v>0</v>
      </c>
      <c r="P26" s="93">
        <f t="shared" si="11"/>
        <v>0</v>
      </c>
    </row>
    <row r="27" spans="1:16" x14ac:dyDescent="0.25">
      <c r="A27" s="23" t="s">
        <v>127</v>
      </c>
      <c r="B27" s="90">
        <v>40066</v>
      </c>
      <c r="C27" s="91">
        <v>21000000</v>
      </c>
      <c r="D27" s="92">
        <v>12</v>
      </c>
      <c r="E27" s="92">
        <v>11.58</v>
      </c>
      <c r="F27" s="26">
        <f t="shared" si="6"/>
        <v>3.6269430051813378E-2</v>
      </c>
      <c r="G27" s="23" t="str">
        <f>'[1]Sched 2 Flot Cost'!A46</f>
        <v>Unitil Corporation</v>
      </c>
      <c r="H27" s="90">
        <f>'[1]Sched 2 Flot Cost'!B46</f>
        <v>39953</v>
      </c>
      <c r="I27" s="23">
        <f>'[1]Sched 2 Flot Cost'!C46</f>
        <v>2400000</v>
      </c>
      <c r="J27" s="23">
        <f>'[1]Sched 2 Flot Cost'!D46</f>
        <v>20</v>
      </c>
      <c r="K27" s="23">
        <f>'[1]Sched 2 Flot Cost'!E46</f>
        <v>18.95</v>
      </c>
      <c r="L27" s="93" t="str">
        <f t="shared" si="7"/>
        <v>CenterPoint Energy, Inc.</v>
      </c>
      <c r="M27" s="93">
        <f t="shared" si="8"/>
        <v>-113</v>
      </c>
      <c r="N27" s="93">
        <f t="shared" si="9"/>
        <v>-18600000</v>
      </c>
      <c r="O27" s="93">
        <f t="shared" si="10"/>
        <v>8</v>
      </c>
      <c r="P27" s="93">
        <f t="shared" si="11"/>
        <v>7.3699999999999992</v>
      </c>
    </row>
    <row r="28" spans="1:16" x14ac:dyDescent="0.25">
      <c r="A28" s="23" t="s">
        <v>127</v>
      </c>
      <c r="B28" s="90">
        <v>40338</v>
      </c>
      <c r="C28" s="91">
        <v>22000000</v>
      </c>
      <c r="D28" s="92">
        <v>12.9</v>
      </c>
      <c r="E28" s="92">
        <v>12.448500000000001</v>
      </c>
      <c r="F28" s="26">
        <f t="shared" si="6"/>
        <v>3.6269430051813378E-2</v>
      </c>
      <c r="G28" s="23" t="str">
        <f>'[1]Sched 2 Flot Cost'!A47</f>
        <v>CenterPoint Energy, Inc.</v>
      </c>
      <c r="H28" s="90">
        <f>'[1]Sched 2 Flot Cost'!B47</f>
        <v>40066</v>
      </c>
      <c r="I28" s="23">
        <f>'[1]Sched 2 Flot Cost'!C47</f>
        <v>21000000</v>
      </c>
      <c r="J28" s="23">
        <f>'[1]Sched 2 Flot Cost'!D47</f>
        <v>12</v>
      </c>
      <c r="K28" s="23">
        <f>'[1]Sched 2 Flot Cost'!E47</f>
        <v>11.58</v>
      </c>
      <c r="L28" s="93" t="str">
        <f t="shared" si="7"/>
        <v>CenterPoint Energy, Inc.</v>
      </c>
      <c r="M28" s="93">
        <f t="shared" si="8"/>
        <v>-272</v>
      </c>
      <c r="N28" s="93">
        <f t="shared" si="9"/>
        <v>-1000000</v>
      </c>
      <c r="O28" s="93">
        <f t="shared" si="10"/>
        <v>-0.90000000000000036</v>
      </c>
      <c r="P28" s="93">
        <f t="shared" si="11"/>
        <v>-0.86850000000000094</v>
      </c>
    </row>
    <row r="29" spans="1:16" x14ac:dyDescent="0.25">
      <c r="A29" s="23" t="s">
        <v>66</v>
      </c>
      <c r="B29" s="90">
        <v>40429</v>
      </c>
      <c r="C29" s="91">
        <v>21100000</v>
      </c>
      <c r="D29" s="92">
        <v>16.5</v>
      </c>
      <c r="E29" s="92">
        <v>15.963799999999999</v>
      </c>
      <c r="F29" s="26">
        <f t="shared" si="6"/>
        <v>3.3588493967601663E-2</v>
      </c>
      <c r="G29" s="23" t="str">
        <f>'[1]Sched 2 Flot Cost'!A48</f>
        <v>CenterPoint Energy, Inc.</v>
      </c>
      <c r="H29" s="90">
        <f>'[1]Sched 2 Flot Cost'!B48</f>
        <v>40338</v>
      </c>
      <c r="I29" s="23">
        <f>'[1]Sched 2 Flot Cost'!C48</f>
        <v>22000000</v>
      </c>
      <c r="J29" s="23">
        <f>'[1]Sched 2 Flot Cost'!D48</f>
        <v>12.9</v>
      </c>
      <c r="K29" s="23">
        <f>'[1]Sched 2 Flot Cost'!E48</f>
        <v>12.448500000000001</v>
      </c>
      <c r="L29" s="93" t="str">
        <f t="shared" si="7"/>
        <v>NiSource Inc.</v>
      </c>
      <c r="M29" s="93">
        <f t="shared" si="8"/>
        <v>-91</v>
      </c>
      <c r="N29" s="93">
        <f t="shared" si="9"/>
        <v>900000</v>
      </c>
      <c r="O29" s="93">
        <f t="shared" si="10"/>
        <v>-3.5999999999999996</v>
      </c>
      <c r="P29" s="93">
        <f t="shared" si="11"/>
        <v>-3.5152999999999981</v>
      </c>
    </row>
    <row r="30" spans="1:16" x14ac:dyDescent="0.25">
      <c r="A30" s="23" t="s">
        <v>67</v>
      </c>
      <c r="B30" s="90">
        <v>40492</v>
      </c>
      <c r="C30" s="91">
        <v>2100000</v>
      </c>
      <c r="D30" s="92">
        <v>10</v>
      </c>
      <c r="E30" s="92">
        <v>9.4</v>
      </c>
      <c r="F30" s="26">
        <f t="shared" si="6"/>
        <v>6.3829787234042534E-2</v>
      </c>
      <c r="G30" s="23" t="str">
        <f>'[1]Sched 2 Flot Cost'!A49</f>
        <v>NiSource Inc.</v>
      </c>
      <c r="H30" s="90">
        <f>'[1]Sched 2 Flot Cost'!B49</f>
        <v>40429</v>
      </c>
      <c r="I30" s="23">
        <f>'[1]Sched 2 Flot Cost'!C49</f>
        <v>21100000</v>
      </c>
      <c r="J30" s="23">
        <f>'[1]Sched 2 Flot Cost'!D49</f>
        <v>16.5</v>
      </c>
      <c r="K30" s="23">
        <f>'[1]Sched 2 Flot Cost'!E49</f>
        <v>15.963799999999999</v>
      </c>
      <c r="L30" s="93" t="str">
        <f t="shared" si="7"/>
        <v>Gas Natural Inc.</v>
      </c>
      <c r="M30" s="93">
        <f t="shared" si="8"/>
        <v>-63</v>
      </c>
      <c r="N30" s="93">
        <f t="shared" si="9"/>
        <v>19000000</v>
      </c>
      <c r="O30" s="93">
        <f t="shared" si="10"/>
        <v>6.5</v>
      </c>
      <c r="P30" s="93">
        <f t="shared" si="11"/>
        <v>6.5637999999999987</v>
      </c>
    </row>
    <row r="31" spans="1:16" x14ac:dyDescent="0.25">
      <c r="A31" s="23" t="s">
        <v>117</v>
      </c>
      <c r="B31" s="90">
        <v>41039</v>
      </c>
      <c r="C31" s="91">
        <v>2400000</v>
      </c>
      <c r="D31" s="92">
        <v>25.25</v>
      </c>
      <c r="E31" s="92">
        <v>23.987500000000001</v>
      </c>
      <c r="F31" s="26">
        <f t="shared" si="6"/>
        <v>5.2631578947368363E-2</v>
      </c>
      <c r="G31" s="23" t="str">
        <f>'[1]Sched 2 Flot Cost'!A50</f>
        <v>Gas Natural Inc.</v>
      </c>
      <c r="H31" s="90">
        <f>'[1]Sched 2 Flot Cost'!B50</f>
        <v>40492</v>
      </c>
      <c r="I31" s="23">
        <f>'[1]Sched 2 Flot Cost'!C50</f>
        <v>2100000</v>
      </c>
      <c r="J31" s="23">
        <f>'[1]Sched 2 Flot Cost'!D50</f>
        <v>10</v>
      </c>
      <c r="K31" s="23">
        <f>'[1]Sched 2 Flot Cost'!E50</f>
        <v>9.4</v>
      </c>
      <c r="L31" s="93" t="str">
        <f t="shared" si="7"/>
        <v>Unitil Corporation</v>
      </c>
      <c r="M31" s="93">
        <f t="shared" si="8"/>
        <v>-547</v>
      </c>
      <c r="N31" s="93">
        <f t="shared" si="9"/>
        <v>-300000</v>
      </c>
      <c r="O31" s="93">
        <f t="shared" si="10"/>
        <v>-15.25</v>
      </c>
      <c r="P31" s="93">
        <f t="shared" si="11"/>
        <v>-14.5875</v>
      </c>
    </row>
    <row r="32" spans="1:16" x14ac:dyDescent="0.25">
      <c r="A32" s="23" t="s">
        <v>67</v>
      </c>
      <c r="B32" s="90">
        <v>41087</v>
      </c>
      <c r="C32" s="91">
        <v>700000</v>
      </c>
      <c r="D32" s="92">
        <v>10.1</v>
      </c>
      <c r="E32" s="92">
        <v>9.4939999999999998</v>
      </c>
      <c r="F32" s="26">
        <f t="shared" si="6"/>
        <v>6.3829787234042534E-2</v>
      </c>
      <c r="G32" s="23" t="str">
        <f>'[1]Sched 2 Flot Cost'!A51</f>
        <v>Unitil Corporation</v>
      </c>
      <c r="H32" s="90">
        <f>'[1]Sched 2 Flot Cost'!B51</f>
        <v>41039</v>
      </c>
      <c r="I32" s="23">
        <f>'[1]Sched 2 Flot Cost'!C51</f>
        <v>2400000</v>
      </c>
      <c r="J32" s="23">
        <f>'[1]Sched 2 Flot Cost'!D51</f>
        <v>25.25</v>
      </c>
      <c r="K32" s="23">
        <f>'[1]Sched 2 Flot Cost'!E51</f>
        <v>23.987500000000001</v>
      </c>
      <c r="L32" s="93" t="str">
        <f t="shared" si="7"/>
        <v>Gas Natural Inc.</v>
      </c>
      <c r="M32" s="93">
        <f t="shared" si="8"/>
        <v>-48</v>
      </c>
      <c r="N32" s="93">
        <f t="shared" si="9"/>
        <v>1700000</v>
      </c>
      <c r="O32" s="93">
        <f t="shared" si="10"/>
        <v>15.15</v>
      </c>
      <c r="P32" s="93">
        <f t="shared" si="11"/>
        <v>14.493500000000001</v>
      </c>
    </row>
    <row r="33" spans="1:20" x14ac:dyDescent="0.25">
      <c r="A33" s="23" t="s">
        <v>110</v>
      </c>
      <c r="B33" s="90">
        <v>41303</v>
      </c>
      <c r="C33" s="91">
        <v>4000000</v>
      </c>
      <c r="D33" s="92">
        <v>32</v>
      </c>
      <c r="E33" s="92">
        <v>30.88</v>
      </c>
      <c r="F33" s="26">
        <f t="shared" si="6"/>
        <v>3.62694300518136E-2</v>
      </c>
      <c r="G33" s="23" t="str">
        <f>'[1]Sched 2 Flot Cost'!A52</f>
        <v>Gas Natural Inc.</v>
      </c>
      <c r="H33" s="90">
        <f>'[1]Sched 2 Flot Cost'!B52</f>
        <v>41087</v>
      </c>
      <c r="I33" s="23">
        <f>'[1]Sched 2 Flot Cost'!C52</f>
        <v>700000</v>
      </c>
      <c r="J33" s="23">
        <f>'[1]Sched 2 Flot Cost'!D52</f>
        <v>10.1</v>
      </c>
      <c r="K33" s="23">
        <f>'[1]Sched 2 Flot Cost'!E52</f>
        <v>9.4939999999999998</v>
      </c>
      <c r="L33" s="93" t="str">
        <f t="shared" si="7"/>
        <v>Piedmont Natural Gas Company, Inc.</v>
      </c>
      <c r="M33" s="93">
        <f t="shared" si="8"/>
        <v>-216</v>
      </c>
      <c r="N33" s="93">
        <f t="shared" si="9"/>
        <v>-3300000</v>
      </c>
      <c r="O33" s="93">
        <f t="shared" si="10"/>
        <v>-21.9</v>
      </c>
      <c r="P33" s="93">
        <f t="shared" si="11"/>
        <v>-21.385999999999999</v>
      </c>
    </row>
    <row r="34" spans="1:20" x14ac:dyDescent="0.25">
      <c r="A34" s="23" t="s">
        <v>119</v>
      </c>
      <c r="B34" s="90">
        <v>41416</v>
      </c>
      <c r="C34" s="91">
        <v>8700000</v>
      </c>
      <c r="D34" s="92">
        <v>44.5</v>
      </c>
      <c r="E34" s="92">
        <v>42.78</v>
      </c>
      <c r="F34" s="26">
        <f t="shared" si="6"/>
        <v>4.0205703599812903E-2</v>
      </c>
      <c r="G34" s="23" t="str">
        <f>'[1]Sched 2 Flot Cost'!A53</f>
        <v>Piedmont Natural Gas Company, Inc.</v>
      </c>
      <c r="H34" s="90">
        <f>'[1]Sched 2 Flot Cost'!B53</f>
        <v>41303</v>
      </c>
      <c r="I34" s="23">
        <f>'[1]Sched 2 Flot Cost'!C53</f>
        <v>4000000</v>
      </c>
      <c r="J34" s="23">
        <f>'[1]Sched 2 Flot Cost'!D53</f>
        <v>32</v>
      </c>
      <c r="K34" s="23">
        <f>'[1]Sched 2 Flot Cost'!E53</f>
        <v>30.88</v>
      </c>
      <c r="L34" s="93" t="str">
        <f t="shared" si="7"/>
        <v>The Laclede Group, Inc.</v>
      </c>
      <c r="M34" s="93">
        <f t="shared" si="8"/>
        <v>-113</v>
      </c>
      <c r="N34" s="93">
        <f t="shared" si="9"/>
        <v>-4700000</v>
      </c>
      <c r="O34" s="93">
        <f t="shared" si="10"/>
        <v>-12.5</v>
      </c>
      <c r="P34" s="93">
        <f t="shared" si="11"/>
        <v>-11.900000000000002</v>
      </c>
    </row>
    <row r="35" spans="1:20" x14ac:dyDescent="0.25">
      <c r="A35" s="23" t="s">
        <v>67</v>
      </c>
      <c r="B35" s="90">
        <v>41466</v>
      </c>
      <c r="C35" s="91">
        <v>1500000</v>
      </c>
      <c r="D35" s="92">
        <v>10</v>
      </c>
      <c r="E35" s="92">
        <f>D35-0.575</f>
        <v>9.4250000000000007</v>
      </c>
      <c r="F35" s="26">
        <f t="shared" si="6"/>
        <v>6.100795755968158E-2</v>
      </c>
      <c r="G35" s="23" t="str">
        <f>'[1]Sched 2 Flot Cost'!A54</f>
        <v>The Laclede Group, Inc.</v>
      </c>
      <c r="H35" s="90">
        <f>'[1]Sched 2 Flot Cost'!B54</f>
        <v>41416</v>
      </c>
      <c r="I35" s="23">
        <f>'[1]Sched 2 Flot Cost'!C54</f>
        <v>8700000</v>
      </c>
      <c r="J35" s="23">
        <f>'[1]Sched 2 Flot Cost'!D54</f>
        <v>44.5</v>
      </c>
      <c r="K35" s="23">
        <f>'[1]Sched 2 Flot Cost'!E54</f>
        <v>42.78</v>
      </c>
      <c r="L35" s="93" t="str">
        <f t="shared" si="7"/>
        <v>Gas Natural Inc.</v>
      </c>
      <c r="M35" s="93">
        <f t="shared" si="8"/>
        <v>-50</v>
      </c>
      <c r="N35" s="93">
        <f t="shared" si="9"/>
        <v>7200000</v>
      </c>
      <c r="O35" s="93">
        <f t="shared" si="10"/>
        <v>34.5</v>
      </c>
      <c r="P35" s="93">
        <f t="shared" si="11"/>
        <v>33.355000000000004</v>
      </c>
    </row>
    <row r="36" spans="1:20" x14ac:dyDescent="0.25">
      <c r="A36" s="23" t="s">
        <v>67</v>
      </c>
      <c r="B36" s="90">
        <v>41578</v>
      </c>
      <c r="C36" s="91">
        <v>1134155</v>
      </c>
      <c r="D36" s="92">
        <v>10</v>
      </c>
      <c r="E36" s="92">
        <f>D36-0.575</f>
        <v>9.4250000000000007</v>
      </c>
      <c r="F36" s="26">
        <f t="shared" si="6"/>
        <v>6.100795755968158E-2</v>
      </c>
      <c r="G36" s="23" t="str">
        <f>'[1]Sched 2 Flot Cost'!A55</f>
        <v>Gas Natural Inc.</v>
      </c>
      <c r="H36" s="90">
        <f>'[1]Sched 2 Flot Cost'!B55</f>
        <v>41466</v>
      </c>
      <c r="I36" s="23">
        <f>'[1]Sched 2 Flot Cost'!C55</f>
        <v>1500000</v>
      </c>
      <c r="J36" s="23">
        <f>'[1]Sched 2 Flot Cost'!D55</f>
        <v>10</v>
      </c>
      <c r="K36" s="23">
        <f>'[1]Sched 2 Flot Cost'!E55</f>
        <v>9.4250000000000007</v>
      </c>
      <c r="L36" s="93" t="str">
        <f t="shared" si="7"/>
        <v>Gas Natural Inc.</v>
      </c>
      <c r="M36" s="93">
        <f t="shared" si="8"/>
        <v>-112</v>
      </c>
      <c r="N36" s="93">
        <f t="shared" si="9"/>
        <v>365845</v>
      </c>
      <c r="O36" s="93">
        <f t="shared" si="10"/>
        <v>0</v>
      </c>
      <c r="P36" s="93">
        <f t="shared" si="11"/>
        <v>0</v>
      </c>
    </row>
    <row r="37" spans="1:20" x14ac:dyDescent="0.25">
      <c r="A37" s="23" t="s">
        <v>116</v>
      </c>
      <c r="B37" s="90">
        <v>41681</v>
      </c>
      <c r="C37" s="91">
        <v>8000000</v>
      </c>
      <c r="D37" s="92">
        <v>44</v>
      </c>
      <c r="E37" s="92">
        <f>D37-1.54</f>
        <v>42.46</v>
      </c>
      <c r="F37" s="26">
        <f t="shared" si="6"/>
        <v>3.6269430051813378E-2</v>
      </c>
      <c r="G37" s="23" t="str">
        <f>'[1]Sched 2 Flot Cost'!A56</f>
        <v>Gas Natural Inc.</v>
      </c>
      <c r="H37" s="90">
        <f>'[1]Sched 2 Flot Cost'!B56</f>
        <v>41578</v>
      </c>
      <c r="I37" s="23">
        <f>'[1]Sched 2 Flot Cost'!C56</f>
        <v>1134155</v>
      </c>
      <c r="J37" s="23">
        <f>'[1]Sched 2 Flot Cost'!D56</f>
        <v>10</v>
      </c>
      <c r="K37" s="23">
        <f>'[1]Sched 2 Flot Cost'!E56</f>
        <v>9.4250000000000007</v>
      </c>
      <c r="L37" s="93" t="str">
        <f t="shared" si="7"/>
        <v>Atmos Energy Corporation</v>
      </c>
      <c r="M37" s="93">
        <f t="shared" si="8"/>
        <v>-103</v>
      </c>
      <c r="N37" s="93">
        <f t="shared" si="9"/>
        <v>-6865845</v>
      </c>
      <c r="O37" s="93">
        <f t="shared" si="10"/>
        <v>-34</v>
      </c>
      <c r="P37" s="93">
        <f t="shared" si="11"/>
        <v>-33.034999999999997</v>
      </c>
    </row>
    <row r="38" spans="1:20" x14ac:dyDescent="0.25">
      <c r="A38" s="23" t="s">
        <v>119</v>
      </c>
      <c r="B38" s="90">
        <v>41795</v>
      </c>
      <c r="C38" s="91">
        <v>9000000</v>
      </c>
      <c r="D38" s="92">
        <v>46.25</v>
      </c>
      <c r="E38" s="92">
        <f>D38-1.71125</f>
        <v>44.53875</v>
      </c>
      <c r="F38" s="26">
        <f t="shared" si="6"/>
        <v>3.8421599169262688E-2</v>
      </c>
      <c r="G38" s="23" t="str">
        <f>'[1]Sched 2 Flot Cost'!A57</f>
        <v>Atmos Energy Corporation</v>
      </c>
      <c r="H38" s="90">
        <f>'[1]Sched 2 Flot Cost'!B57</f>
        <v>41681</v>
      </c>
      <c r="I38" s="23">
        <f>'[1]Sched 2 Flot Cost'!C57</f>
        <v>8000000</v>
      </c>
      <c r="J38" s="23">
        <f>'[1]Sched 2 Flot Cost'!D57</f>
        <v>44</v>
      </c>
      <c r="K38" s="23">
        <f>'[1]Sched 2 Flot Cost'!E57</f>
        <v>42.46</v>
      </c>
      <c r="L38" s="93" t="str">
        <f t="shared" si="7"/>
        <v>The Laclede Group, Inc.</v>
      </c>
      <c r="M38" s="93">
        <f t="shared" si="8"/>
        <v>-114</v>
      </c>
      <c r="N38" s="93">
        <f t="shared" si="9"/>
        <v>-1000000</v>
      </c>
      <c r="O38" s="93">
        <f t="shared" si="10"/>
        <v>-2.25</v>
      </c>
      <c r="P38" s="93">
        <f t="shared" si="11"/>
        <v>-2.0787499999999994</v>
      </c>
    </row>
    <row r="39" spans="1:20" x14ac:dyDescent="0.25">
      <c r="B39" s="90"/>
      <c r="F39" s="26"/>
      <c r="G39" s="23" t="str">
        <f>'[1]Sched 2 Flot Cost'!A58</f>
        <v>The Laclede Group, Inc.</v>
      </c>
      <c r="H39" s="90">
        <f>'[1]Sched 2 Flot Cost'!B58</f>
        <v>41795</v>
      </c>
      <c r="I39" s="23">
        <f>'[1]Sched 2 Flot Cost'!C58</f>
        <v>9000000</v>
      </c>
      <c r="J39" s="23">
        <f>'[1]Sched 2 Flot Cost'!D58</f>
        <v>46.25</v>
      </c>
      <c r="K39" s="23">
        <f>'[1]Sched 2 Flot Cost'!E58</f>
        <v>44.53875</v>
      </c>
      <c r="L39" s="93">
        <f t="shared" si="7"/>
        <v>0</v>
      </c>
      <c r="M39" s="93">
        <f t="shared" si="8"/>
        <v>41795</v>
      </c>
      <c r="N39" s="93">
        <f t="shared" si="9"/>
        <v>9000000</v>
      </c>
      <c r="O39" s="93">
        <f t="shared" si="10"/>
        <v>46.25</v>
      </c>
      <c r="P39" s="93">
        <f t="shared" si="11"/>
        <v>44.53875</v>
      </c>
    </row>
    <row r="40" spans="1:20" x14ac:dyDescent="0.25">
      <c r="D40" s="94" t="s">
        <v>1285</v>
      </c>
      <c r="F40" s="26">
        <f>AVERAGE(F9:F38)</f>
        <v>4.1413100874428503E-2</v>
      </c>
      <c r="T40" s="95"/>
    </row>
    <row r="41" spans="1:20" x14ac:dyDescent="0.25">
      <c r="T41" s="96"/>
    </row>
    <row r="42" spans="1:20" x14ac:dyDescent="0.25">
      <c r="D42" s="94" t="s">
        <v>68</v>
      </c>
      <c r="F42" s="26">
        <v>0.04</v>
      </c>
      <c r="T42" s="95"/>
    </row>
    <row r="44" spans="1:20" x14ac:dyDescent="0.25">
      <c r="A44" s="97" t="s">
        <v>1273</v>
      </c>
    </row>
    <row r="45" spans="1:20" x14ac:dyDescent="0.25">
      <c r="A45" s="97"/>
    </row>
  </sheetData>
  <printOptions horizontalCentered="1"/>
  <pageMargins left="0.7" right="0.7" top="1.25" bottom="0.75" header="0.3" footer="0.3"/>
  <pageSetup scale="81" orientation="portrait" useFirstPageNumber="1" r:id="rId1"/>
  <headerFooter alignWithMargins="0">
    <oddHeader>&amp;R&amp;K000000Docket No. UG-15____
Cascade Natural Gas Corp.
Exhibit No.___(JSG-2)
Schedule 2
Page &amp;P of 1</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N31"/>
  <sheetViews>
    <sheetView zoomScale="80" zoomScaleNormal="80" workbookViewId="0">
      <selection activeCell="H2" sqref="H2"/>
    </sheetView>
  </sheetViews>
  <sheetFormatPr defaultColWidth="9" defaultRowHeight="15.75" x14ac:dyDescent="0.25"/>
  <cols>
    <col min="1" max="1" width="40.625" style="6" customWidth="1"/>
    <col min="2" max="2" width="9" style="6" customWidth="1"/>
    <col min="3" max="3" width="2.625" style="6" customWidth="1"/>
    <col min="4" max="4" width="12.5" style="6" customWidth="1"/>
    <col min="5" max="5" width="2.625" style="6" customWidth="1"/>
    <col min="6" max="6" width="12.5" style="6" customWidth="1"/>
    <col min="7" max="7" width="2.625" style="6" customWidth="1"/>
    <col min="8" max="8" width="12.5" style="6" customWidth="1"/>
    <col min="9" max="9" width="2.625" style="6" customWidth="1"/>
    <col min="10" max="16384" width="9" style="6"/>
  </cols>
  <sheetData>
    <row r="1" spans="1:12" s="99" customFormat="1" ht="20.25" x14ac:dyDescent="0.3">
      <c r="A1" s="24" t="s">
        <v>1288</v>
      </c>
      <c r="B1" s="24"/>
      <c r="C1" s="98"/>
      <c r="D1" s="98"/>
      <c r="E1" s="98"/>
      <c r="F1" s="98"/>
      <c r="G1" s="98"/>
      <c r="H1" s="98"/>
    </row>
    <row r="2" spans="1:12" s="99" customFormat="1" x14ac:dyDescent="0.25"/>
    <row r="3" spans="1:12" s="99" customFormat="1" ht="18.75" x14ac:dyDescent="0.3">
      <c r="A3" s="25" t="s">
        <v>33</v>
      </c>
      <c r="B3" s="98"/>
      <c r="C3" s="98"/>
      <c r="D3" s="98"/>
      <c r="E3" s="98"/>
      <c r="F3" s="98"/>
      <c r="G3" s="98"/>
      <c r="H3" s="98"/>
    </row>
    <row r="4" spans="1:12" s="99" customFormat="1" ht="18.75" x14ac:dyDescent="0.3">
      <c r="A4" s="25" t="s">
        <v>1158</v>
      </c>
      <c r="B4" s="98"/>
      <c r="C4" s="98"/>
      <c r="D4" s="98"/>
      <c r="E4" s="98"/>
      <c r="F4" s="98"/>
      <c r="G4" s="98"/>
      <c r="H4" s="98"/>
    </row>
    <row r="5" spans="1:12" s="99" customFormat="1" ht="16.5" thickBot="1" x14ac:dyDescent="0.3"/>
    <row r="6" spans="1:12" ht="47.25" x14ac:dyDescent="0.25">
      <c r="A6" s="100" t="s">
        <v>145</v>
      </c>
      <c r="B6" s="100" t="s">
        <v>146</v>
      </c>
      <c r="D6" s="101" t="s">
        <v>186</v>
      </c>
      <c r="F6" s="101" t="s">
        <v>187</v>
      </c>
      <c r="H6" s="101" t="s">
        <v>188</v>
      </c>
      <c r="K6" s="73"/>
    </row>
    <row r="7" spans="1:12" x14ac:dyDescent="0.25">
      <c r="D7" s="23"/>
      <c r="E7" s="23"/>
      <c r="F7" s="23"/>
      <c r="G7" s="23"/>
      <c r="H7" s="23"/>
    </row>
    <row r="8" spans="1:12" x14ac:dyDescent="0.25">
      <c r="A8" s="6" t="s">
        <v>116</v>
      </c>
      <c r="B8" s="7" t="s">
        <v>149</v>
      </c>
      <c r="D8" s="102">
        <v>8594.7039999999997</v>
      </c>
      <c r="E8" s="103"/>
      <c r="F8" s="102">
        <v>4940.9160000000002</v>
      </c>
      <c r="G8" s="103"/>
      <c r="H8" s="102">
        <v>611.34900000000005</v>
      </c>
      <c r="I8" s="23" t="s">
        <v>107</v>
      </c>
    </row>
    <row r="9" spans="1:12" x14ac:dyDescent="0.25">
      <c r="A9" s="23" t="s">
        <v>1154</v>
      </c>
      <c r="B9" s="66" t="s">
        <v>1120</v>
      </c>
      <c r="C9" s="23"/>
      <c r="D9" s="102">
        <v>5074</v>
      </c>
      <c r="E9" s="103"/>
      <c r="F9" s="102">
        <v>1627.2</v>
      </c>
      <c r="G9" s="103"/>
      <c r="H9" s="102">
        <v>166.4</v>
      </c>
      <c r="I9" s="23" t="s">
        <v>107</v>
      </c>
    </row>
    <row r="10" spans="1:12" x14ac:dyDescent="0.25">
      <c r="A10" s="6" t="s">
        <v>189</v>
      </c>
      <c r="B10" s="7" t="s">
        <v>21</v>
      </c>
      <c r="D10" s="102">
        <v>3158.8040000000001</v>
      </c>
      <c r="E10" s="103"/>
      <c r="F10" s="102">
        <v>3738.145</v>
      </c>
      <c r="G10" s="103"/>
      <c r="H10" s="102">
        <v>201.19</v>
      </c>
      <c r="I10" s="23" t="s">
        <v>107</v>
      </c>
      <c r="J10" s="73"/>
    </row>
    <row r="11" spans="1:12" x14ac:dyDescent="0.25">
      <c r="A11" s="23" t="s">
        <v>109</v>
      </c>
      <c r="B11" s="66" t="s">
        <v>10</v>
      </c>
      <c r="C11" s="23"/>
      <c r="D11" s="102">
        <v>3064.9450000000002</v>
      </c>
      <c r="E11" s="103"/>
      <c r="F11" s="102">
        <v>772.87400000000002</v>
      </c>
      <c r="G11" s="103"/>
      <c r="H11" s="102">
        <v>142.965</v>
      </c>
      <c r="I11" s="23" t="s">
        <v>30</v>
      </c>
    </row>
    <row r="12" spans="1:12" x14ac:dyDescent="0.25">
      <c r="A12" s="6" t="s">
        <v>150</v>
      </c>
      <c r="B12" s="7" t="s">
        <v>151</v>
      </c>
      <c r="D12" s="102">
        <v>3349.4250000000002</v>
      </c>
      <c r="E12" s="103"/>
      <c r="F12" s="102">
        <v>886.99599999999998</v>
      </c>
      <c r="G12" s="103"/>
      <c r="H12" s="102">
        <v>127.60299999999999</v>
      </c>
      <c r="I12" s="23" t="s">
        <v>30</v>
      </c>
      <c r="J12" s="73"/>
      <c r="L12" s="102"/>
    </row>
    <row r="13" spans="1:12" x14ac:dyDescent="0.25">
      <c r="A13" s="6" t="s">
        <v>190</v>
      </c>
      <c r="B13" s="7" t="s">
        <v>24</v>
      </c>
      <c r="D13" s="102">
        <v>5214.5</v>
      </c>
      <c r="E13" s="103"/>
      <c r="F13" s="102">
        <v>2121.7069999999999</v>
      </c>
      <c r="G13" s="103"/>
      <c r="H13" s="102">
        <v>284.483</v>
      </c>
      <c r="I13" s="23" t="s">
        <v>30</v>
      </c>
    </row>
    <row r="14" spans="1:12" x14ac:dyDescent="0.25">
      <c r="A14" s="6" t="s">
        <v>114</v>
      </c>
      <c r="B14" s="7" t="s">
        <v>148</v>
      </c>
      <c r="D14" s="102">
        <v>4856.4989999999998</v>
      </c>
      <c r="E14" s="103"/>
      <c r="F14" s="102">
        <v>2780.9470000000001</v>
      </c>
      <c r="G14" s="103"/>
      <c r="H14" s="102">
        <v>197.52199999999999</v>
      </c>
      <c r="I14" s="23" t="s">
        <v>107</v>
      </c>
    </row>
    <row r="16" spans="1:12" x14ac:dyDescent="0.25">
      <c r="A16" s="6" t="s">
        <v>0</v>
      </c>
      <c r="D16" s="104">
        <f>MAX(D8:D14)</f>
        <v>8594.7039999999997</v>
      </c>
      <c r="E16" s="105"/>
      <c r="F16" s="104">
        <f>MAX(F8:F14)</f>
        <v>4940.9160000000002</v>
      </c>
      <c r="G16" s="105"/>
      <c r="H16" s="104">
        <f>MAX(H8:H14)</f>
        <v>611.34900000000005</v>
      </c>
    </row>
    <row r="17" spans="1:14" x14ac:dyDescent="0.25">
      <c r="A17" s="2" t="s">
        <v>7</v>
      </c>
      <c r="D17" s="106">
        <f>AVERAGE(D8:D14)</f>
        <v>4758.9824285714285</v>
      </c>
      <c r="E17" s="105"/>
      <c r="F17" s="106">
        <f>AVERAGE(F8:F14)</f>
        <v>2409.8264285714286</v>
      </c>
      <c r="G17" s="105"/>
      <c r="H17" s="106">
        <f>AVERAGE(H8:H14)</f>
        <v>247.35885714285715</v>
      </c>
    </row>
    <row r="18" spans="1:14" x14ac:dyDescent="0.25">
      <c r="A18" s="2" t="s">
        <v>1</v>
      </c>
      <c r="D18" s="106">
        <f>MEDIAN(D8:D14)</f>
        <v>4856.4989999999998</v>
      </c>
      <c r="E18" s="105"/>
      <c r="F18" s="106">
        <f>MEDIAN(F8:F14)</f>
        <v>2121.7069999999999</v>
      </c>
      <c r="G18" s="105"/>
      <c r="H18" s="106">
        <f>MEDIAN(H8:H14)</f>
        <v>197.52199999999999</v>
      </c>
    </row>
    <row r="19" spans="1:14" x14ac:dyDescent="0.25">
      <c r="A19" s="6" t="s">
        <v>2</v>
      </c>
      <c r="D19" s="107">
        <f>MIN(D8:D14)</f>
        <v>3064.9450000000002</v>
      </c>
      <c r="E19" s="105"/>
      <c r="F19" s="107">
        <f>MIN(F8:F14)</f>
        <v>772.87400000000002</v>
      </c>
      <c r="G19" s="105"/>
      <c r="H19" s="107">
        <f>MIN(H8:H14)</f>
        <v>127.60299999999999</v>
      </c>
    </row>
    <row r="20" spans="1:14" x14ac:dyDescent="0.25">
      <c r="N20" s="108" t="s">
        <v>1162</v>
      </c>
    </row>
    <row r="22" spans="1:14" x14ac:dyDescent="0.25">
      <c r="A22" s="109" t="s">
        <v>1250</v>
      </c>
      <c r="D22" s="110">
        <v>289.68400000000003</v>
      </c>
      <c r="E22" s="103" t="s">
        <v>1162</v>
      </c>
      <c r="F22" s="110">
        <v>262.70999999999998</v>
      </c>
      <c r="G22" s="103"/>
      <c r="H22" s="110">
        <v>22.155000000000001</v>
      </c>
      <c r="I22" s="23" t="s">
        <v>1252</v>
      </c>
      <c r="K22" s="44"/>
    </row>
    <row r="23" spans="1:14" x14ac:dyDescent="0.25">
      <c r="A23" s="23"/>
    </row>
    <row r="24" spans="1:14" x14ac:dyDescent="0.25">
      <c r="A24" s="111" t="s">
        <v>1251</v>
      </c>
      <c r="B24" s="112"/>
    </row>
    <row r="25" spans="1:14" x14ac:dyDescent="0.25">
      <c r="A25" s="113" t="s">
        <v>1110</v>
      </c>
      <c r="D25" s="114">
        <f>D$22/D18</f>
        <v>5.9648730494951209E-2</v>
      </c>
      <c r="F25" s="114">
        <f>F$22/F18</f>
        <v>0.1238201127676913</v>
      </c>
      <c r="H25" s="114">
        <f>H$22/H18</f>
        <v>0.11216472089185003</v>
      </c>
    </row>
    <row r="27" spans="1:14" x14ac:dyDescent="0.25">
      <c r="A27" s="112" t="s">
        <v>104</v>
      </c>
      <c r="B27" s="112"/>
      <c r="D27" s="23"/>
      <c r="E27" s="23"/>
      <c r="F27" s="23"/>
      <c r="G27" s="23"/>
      <c r="H27" s="23"/>
      <c r="I27" s="23"/>
    </row>
    <row r="28" spans="1:14" x14ac:dyDescent="0.25">
      <c r="A28" s="23" t="s">
        <v>1159</v>
      </c>
      <c r="F28" s="73"/>
    </row>
    <row r="29" spans="1:14" x14ac:dyDescent="0.25">
      <c r="A29" s="23" t="s">
        <v>1280</v>
      </c>
      <c r="B29" s="23"/>
      <c r="C29" s="23"/>
      <c r="D29" s="23"/>
      <c r="E29" s="23"/>
      <c r="F29" s="23"/>
      <c r="G29" s="23"/>
      <c r="H29" s="23"/>
      <c r="I29" s="23"/>
      <c r="J29" s="23"/>
    </row>
    <row r="30" spans="1:14" x14ac:dyDescent="0.25">
      <c r="A30" s="23" t="s">
        <v>1284</v>
      </c>
    </row>
    <row r="31" spans="1:14" x14ac:dyDescent="0.25">
      <c r="D31" s="115"/>
      <c r="E31" s="115"/>
      <c r="F31" s="115"/>
      <c r="G31" s="115"/>
      <c r="H31" s="115"/>
    </row>
  </sheetData>
  <phoneticPr fontId="0" type="noConversion"/>
  <printOptions horizontalCentered="1"/>
  <pageMargins left="0.7" right="0.7" top="1.25" bottom="0.75" header="0.3" footer="0.3"/>
  <pageSetup scale="81" orientation="portrait" useFirstPageNumber="1" copies="3" r:id="rId1"/>
  <headerFooter alignWithMargins="0">
    <oddHeader>&amp;R&amp;K000000Docket No. UG-15____
Cascade Natural Gas Corp.
Exhibit No.___(JSG-2)
Schedule 3
Page &amp;P of 2</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M24"/>
  <sheetViews>
    <sheetView zoomScale="80" zoomScaleNormal="80" workbookViewId="0">
      <selection activeCell="F10" sqref="F10"/>
    </sheetView>
  </sheetViews>
  <sheetFormatPr defaultColWidth="9" defaultRowHeight="15.75" x14ac:dyDescent="0.25"/>
  <cols>
    <col min="1" max="1" width="40.875" style="23" customWidth="1"/>
    <col min="2" max="2" width="9" style="23"/>
    <col min="3" max="4" width="13.75" style="23" customWidth="1"/>
    <col min="5" max="5" width="2.625" style="23" customWidth="1"/>
    <col min="6" max="7" width="9" style="23" customWidth="1"/>
    <col min="8" max="8" width="2.625" style="23" customWidth="1"/>
    <col min="9" max="10" width="9" style="23" customWidth="1"/>
    <col min="11" max="16384" width="9" style="23"/>
  </cols>
  <sheetData>
    <row r="1" spans="1:13" ht="20.25" x14ac:dyDescent="0.3">
      <c r="A1" s="24" t="s">
        <v>1288</v>
      </c>
      <c r="B1" s="85"/>
      <c r="C1" s="85"/>
      <c r="D1" s="85"/>
      <c r="F1" s="85"/>
      <c r="G1" s="85"/>
      <c r="I1" s="44"/>
    </row>
    <row r="3" spans="1:13" ht="18.75" x14ac:dyDescent="0.3">
      <c r="A3" s="30" t="s">
        <v>33</v>
      </c>
      <c r="B3" s="85"/>
      <c r="C3" s="85"/>
      <c r="D3" s="85"/>
      <c r="F3" s="85"/>
      <c r="G3" s="85"/>
    </row>
    <row r="4" spans="1:13" ht="18.75" x14ac:dyDescent="0.3">
      <c r="A4" s="30" t="s">
        <v>147</v>
      </c>
      <c r="B4" s="85"/>
      <c r="C4" s="85"/>
      <c r="D4" s="85"/>
      <c r="F4" s="85"/>
      <c r="G4" s="85"/>
      <c r="I4" s="44"/>
    </row>
    <row r="5" spans="1:13" ht="16.5" thickBot="1" x14ac:dyDescent="0.3"/>
    <row r="6" spans="1:13" ht="31.5" x14ac:dyDescent="0.25">
      <c r="A6" s="88" t="s">
        <v>145</v>
      </c>
      <c r="B6" s="88" t="s">
        <v>146</v>
      </c>
      <c r="C6" s="89" t="s">
        <v>34</v>
      </c>
      <c r="D6" s="88" t="s">
        <v>4</v>
      </c>
      <c r="F6" s="116" t="s">
        <v>34</v>
      </c>
      <c r="G6" s="117" t="s">
        <v>4</v>
      </c>
    </row>
    <row r="7" spans="1:13" ht="16.5" thickBot="1" x14ac:dyDescent="0.3"/>
    <row r="8" spans="1:13" x14ac:dyDescent="0.25">
      <c r="A8" s="23" t="s">
        <v>116</v>
      </c>
      <c r="B8" s="66" t="s">
        <v>149</v>
      </c>
      <c r="C8" s="118" t="s">
        <v>25</v>
      </c>
      <c r="D8" s="118" t="s">
        <v>6</v>
      </c>
      <c r="F8" s="119">
        <f t="shared" ref="F8:F15" si="0">IFERROR(INDEX($I$8:$I$15,MATCH(C8,$J$8:$J$15,0)),"")</f>
        <v>7</v>
      </c>
      <c r="G8" s="119">
        <f t="shared" ref="G8:G15" si="1">IFERROR(INDEX($I$8:$I$15,MATCH(D8,$K$8:$K$15,0)),"")</f>
        <v>6</v>
      </c>
      <c r="I8" s="120">
        <v>1</v>
      </c>
      <c r="J8" s="121" t="s">
        <v>35</v>
      </c>
      <c r="K8" s="122" t="s">
        <v>38</v>
      </c>
    </row>
    <row r="9" spans="1:13" x14ac:dyDescent="0.25">
      <c r="A9" s="23" t="s">
        <v>1154</v>
      </c>
      <c r="B9" s="66" t="s">
        <v>1120</v>
      </c>
      <c r="C9" s="118" t="s">
        <v>25</v>
      </c>
      <c r="D9" s="118" t="s">
        <v>23</v>
      </c>
      <c r="F9" s="119">
        <f t="shared" si="0"/>
        <v>7</v>
      </c>
      <c r="G9" s="119">
        <f t="shared" si="1"/>
        <v>9</v>
      </c>
      <c r="I9" s="123">
        <v>2</v>
      </c>
      <c r="J9" s="124" t="s">
        <v>36</v>
      </c>
      <c r="K9" s="125" t="s">
        <v>39</v>
      </c>
    </row>
    <row r="10" spans="1:13" x14ac:dyDescent="0.25">
      <c r="A10" s="23" t="s">
        <v>189</v>
      </c>
      <c r="B10" s="66" t="s">
        <v>21</v>
      </c>
      <c r="C10" s="118" t="s">
        <v>29</v>
      </c>
      <c r="D10" s="118" t="s">
        <v>40</v>
      </c>
      <c r="F10" s="119">
        <f t="shared" si="0"/>
        <v>6</v>
      </c>
      <c r="G10" s="119">
        <f t="shared" si="1"/>
        <v>3</v>
      </c>
      <c r="I10" s="123">
        <v>3</v>
      </c>
      <c r="J10" s="124" t="s">
        <v>37</v>
      </c>
      <c r="K10" s="125" t="s">
        <v>40</v>
      </c>
      <c r="M10" s="44"/>
    </row>
    <row r="11" spans="1:13" x14ac:dyDescent="0.25">
      <c r="A11" s="23" t="s">
        <v>109</v>
      </c>
      <c r="B11" s="66" t="s">
        <v>10</v>
      </c>
      <c r="C11" s="118" t="s">
        <v>28</v>
      </c>
      <c r="D11" s="118" t="s">
        <v>5</v>
      </c>
      <c r="F11" s="119">
        <f t="shared" si="0"/>
        <v>5</v>
      </c>
      <c r="G11" s="119">
        <f t="shared" si="1"/>
        <v>7</v>
      </c>
      <c r="I11" s="123">
        <v>5</v>
      </c>
      <c r="J11" s="124" t="s">
        <v>28</v>
      </c>
      <c r="K11" s="125" t="s">
        <v>41</v>
      </c>
    </row>
    <row r="12" spans="1:13" x14ac:dyDescent="0.25">
      <c r="A12" s="23" t="s">
        <v>150</v>
      </c>
      <c r="B12" s="66" t="s">
        <v>151</v>
      </c>
      <c r="C12" s="118" t="s">
        <v>27</v>
      </c>
      <c r="D12" s="118" t="s">
        <v>47</v>
      </c>
      <c r="F12" s="119">
        <f t="shared" si="0"/>
        <v>8</v>
      </c>
      <c r="G12" s="119" t="str">
        <f t="shared" si="1"/>
        <v/>
      </c>
      <c r="I12" s="123">
        <v>6</v>
      </c>
      <c r="J12" s="124" t="s">
        <v>29</v>
      </c>
      <c r="K12" s="125" t="s">
        <v>6</v>
      </c>
    </row>
    <row r="13" spans="1:13" x14ac:dyDescent="0.25">
      <c r="A13" s="23" t="s">
        <v>190</v>
      </c>
      <c r="B13" s="66" t="s">
        <v>24</v>
      </c>
      <c r="C13" s="118" t="s">
        <v>27</v>
      </c>
      <c r="D13" s="118" t="s">
        <v>5</v>
      </c>
      <c r="F13" s="119">
        <f t="shared" si="0"/>
        <v>8</v>
      </c>
      <c r="G13" s="119">
        <f t="shared" si="1"/>
        <v>7</v>
      </c>
      <c r="I13" s="123">
        <v>7</v>
      </c>
      <c r="J13" s="124" t="s">
        <v>25</v>
      </c>
      <c r="K13" s="125" t="s">
        <v>5</v>
      </c>
    </row>
    <row r="14" spans="1:13" x14ac:dyDescent="0.25">
      <c r="A14" s="23" t="s">
        <v>114</v>
      </c>
      <c r="B14" s="66" t="s">
        <v>148</v>
      </c>
      <c r="C14" s="118" t="s">
        <v>28</v>
      </c>
      <c r="D14" s="118" t="s">
        <v>5</v>
      </c>
      <c r="F14" s="119">
        <f t="shared" si="0"/>
        <v>5</v>
      </c>
      <c r="G14" s="119">
        <f t="shared" si="1"/>
        <v>7</v>
      </c>
      <c r="I14" s="123">
        <v>8</v>
      </c>
      <c r="J14" s="124" t="s">
        <v>27</v>
      </c>
      <c r="K14" s="125" t="s">
        <v>19</v>
      </c>
    </row>
    <row r="15" spans="1:13" ht="16.5" thickBot="1" x14ac:dyDescent="0.3">
      <c r="C15" s="118"/>
      <c r="D15" s="118"/>
      <c r="F15" s="119" t="str">
        <f t="shared" si="0"/>
        <v/>
      </c>
      <c r="G15" s="119" t="str">
        <f t="shared" si="1"/>
        <v/>
      </c>
      <c r="I15" s="126">
        <v>9</v>
      </c>
      <c r="J15" s="127" t="s">
        <v>26</v>
      </c>
      <c r="K15" s="128" t="s">
        <v>23</v>
      </c>
    </row>
    <row r="16" spans="1:13" x14ac:dyDescent="0.25">
      <c r="A16" s="61" t="s">
        <v>7</v>
      </c>
      <c r="C16" s="129" t="str">
        <f>INDEX($J$8:$J$15,MATCH(F16,$I$8:$I$15,0))</f>
        <v>A-</v>
      </c>
      <c r="D16" s="129" t="str">
        <f>INDEX($K$8:$K$15,MATCH(G16,$I$8:$I$15,0))</f>
        <v>A3</v>
      </c>
      <c r="F16" s="119">
        <f>ROUND(AVERAGE(F7:F14),0)</f>
        <v>7</v>
      </c>
      <c r="G16" s="119">
        <f>ROUND(AVERAGE(G7:G14),0)</f>
        <v>7</v>
      </c>
      <c r="I16" s="124"/>
      <c r="J16" s="124"/>
      <c r="K16" s="124"/>
    </row>
    <row r="17" spans="1:12" x14ac:dyDescent="0.25">
      <c r="A17" s="61" t="s">
        <v>1</v>
      </c>
      <c r="C17" s="129" t="str">
        <f>INDEX($J$8:$J$15,MATCH(F17,$I$8:$I$15,0))</f>
        <v>A-</v>
      </c>
      <c r="D17" s="129" t="str">
        <f>INDEX($K$8:$K$15,MATCH(G17,$I$8:$I$15,0))</f>
        <v>A3</v>
      </c>
      <c r="F17" s="119">
        <f>ROUND(MEDIAN(F7:F14),0)</f>
        <v>7</v>
      </c>
      <c r="G17" s="119">
        <f>ROUND(MEDIAN(G7:G14),0)</f>
        <v>7</v>
      </c>
    </row>
    <row r="18" spans="1:12" x14ac:dyDescent="0.25">
      <c r="F18" s="119"/>
      <c r="G18" s="119"/>
    </row>
    <row r="19" spans="1:12" x14ac:dyDescent="0.25">
      <c r="A19" s="23" t="s">
        <v>1289</v>
      </c>
      <c r="C19" s="118" t="s">
        <v>27</v>
      </c>
      <c r="D19" s="130" t="s">
        <v>47</v>
      </c>
    </row>
    <row r="21" spans="1:12" x14ac:dyDescent="0.25">
      <c r="A21" s="111" t="s">
        <v>104</v>
      </c>
      <c r="B21" s="131"/>
    </row>
    <row r="22" spans="1:12" x14ac:dyDescent="0.25">
      <c r="A22" s="23" t="s">
        <v>1253</v>
      </c>
      <c r="L22" s="132"/>
    </row>
    <row r="23" spans="1:12" x14ac:dyDescent="0.25">
      <c r="A23" s="23" t="s">
        <v>1096</v>
      </c>
    </row>
    <row r="24" spans="1:12" x14ac:dyDescent="0.25">
      <c r="A24" s="201" t="s">
        <v>1097</v>
      </c>
    </row>
  </sheetData>
  <phoneticPr fontId="0" type="noConversion"/>
  <printOptions horizontalCentered="1"/>
  <pageMargins left="0.7" right="0.7" top="1.25" bottom="0.75" header="0.3" footer="0.3"/>
  <pageSetup scale="81" firstPageNumber="2" orientation="portrait" useFirstPageNumber="1" r:id="rId1"/>
  <headerFooter alignWithMargins="0">
    <oddHeader>&amp;R&amp;K01+000Docket No. UG-15____
Cascade Natural Gas Corp.&amp;K000000
Exhibit No.___(JSG-2)
Schedule 3
Page &amp;P of 2</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K222"/>
  <sheetViews>
    <sheetView zoomScale="80" zoomScaleNormal="80" zoomScalePageLayoutView="60" workbookViewId="0">
      <selection activeCell="J8" sqref="J8"/>
    </sheetView>
  </sheetViews>
  <sheetFormatPr defaultRowHeight="15.75" x14ac:dyDescent="0.25"/>
  <cols>
    <col min="1" max="1" width="31.625" style="29" customWidth="1"/>
    <col min="2" max="2" width="9" style="29"/>
    <col min="3" max="3" width="9.25" style="29" bestFit="1" customWidth="1"/>
    <col min="4" max="6" width="9.5" style="29" bestFit="1" customWidth="1"/>
    <col min="7" max="7" width="9.875" style="29" bestFit="1" customWidth="1"/>
    <col min="8" max="8" width="9.125" style="29" bestFit="1" customWidth="1"/>
    <col min="9" max="9" width="9" style="29"/>
  </cols>
  <sheetData>
    <row r="1" spans="1:9" s="58" customFormat="1" ht="20.25" x14ac:dyDescent="0.3">
      <c r="A1" s="24" t="s">
        <v>1290</v>
      </c>
      <c r="B1" s="48"/>
      <c r="C1" s="48"/>
      <c r="D1" s="48"/>
      <c r="E1" s="48"/>
      <c r="F1" s="48"/>
      <c r="G1" s="48"/>
      <c r="H1" s="48"/>
      <c r="I1" s="63"/>
    </row>
    <row r="2" spans="1:9" s="58" customFormat="1" x14ac:dyDescent="0.25">
      <c r="A2" s="63"/>
      <c r="B2" s="63"/>
      <c r="C2" s="63"/>
      <c r="D2" s="63"/>
      <c r="E2" s="63"/>
      <c r="F2" s="63"/>
      <c r="G2" s="63"/>
      <c r="H2" s="63"/>
      <c r="I2" s="63"/>
    </row>
    <row r="3" spans="1:9" s="58" customFormat="1" ht="18.75" x14ac:dyDescent="0.3">
      <c r="A3" s="30" t="s">
        <v>33</v>
      </c>
      <c r="B3" s="48"/>
      <c r="C3" s="48"/>
      <c r="D3" s="48"/>
      <c r="E3" s="48"/>
      <c r="F3" s="48"/>
      <c r="G3" s="48"/>
      <c r="H3" s="48"/>
      <c r="I3" s="63"/>
    </row>
    <row r="4" spans="1:9" s="58" customFormat="1" ht="18.75" x14ac:dyDescent="0.3">
      <c r="A4" s="74" t="s">
        <v>42</v>
      </c>
      <c r="B4" s="48"/>
      <c r="C4" s="48"/>
      <c r="D4" s="48"/>
      <c r="E4" s="48"/>
      <c r="F4" s="48"/>
      <c r="G4" s="48"/>
      <c r="H4" s="48"/>
      <c r="I4" s="63"/>
    </row>
    <row r="5" spans="1:9" s="58" customFormat="1" ht="18.75" x14ac:dyDescent="0.3">
      <c r="A5" s="34" t="s">
        <v>1270</v>
      </c>
      <c r="B5" s="48"/>
      <c r="C5" s="48"/>
      <c r="D5" s="48"/>
      <c r="E5" s="48"/>
      <c r="F5" s="48"/>
      <c r="G5" s="48"/>
      <c r="H5" s="48"/>
      <c r="I5" s="63"/>
    </row>
    <row r="6" spans="1:9" ht="16.5" thickBot="1" x14ac:dyDescent="0.3"/>
    <row r="7" spans="1:9" s="17" customFormat="1" x14ac:dyDescent="0.25">
      <c r="A7" s="64"/>
      <c r="B7" s="64"/>
      <c r="C7" s="64"/>
      <c r="D7" s="64"/>
      <c r="E7" s="64"/>
      <c r="F7" s="64"/>
      <c r="G7" s="64"/>
      <c r="H7" s="75" t="s">
        <v>7</v>
      </c>
      <c r="I7" s="29"/>
    </row>
    <row r="8" spans="1:9" x14ac:dyDescent="0.25">
      <c r="A8" s="54"/>
      <c r="B8" s="54"/>
      <c r="C8" s="54"/>
      <c r="D8" s="54"/>
      <c r="E8" s="54"/>
      <c r="F8" s="54"/>
      <c r="G8" s="54"/>
      <c r="H8" s="70" t="s">
        <v>8</v>
      </c>
    </row>
    <row r="9" spans="1:9" x14ac:dyDescent="0.25">
      <c r="A9" s="71" t="s">
        <v>145</v>
      </c>
      <c r="B9" s="71" t="s">
        <v>146</v>
      </c>
      <c r="C9" s="62"/>
      <c r="D9" s="62"/>
      <c r="E9" s="62"/>
      <c r="F9" s="62"/>
      <c r="G9" s="62"/>
      <c r="H9" s="71" t="s">
        <v>9</v>
      </c>
    </row>
    <row r="11" spans="1:9" x14ac:dyDescent="0.25">
      <c r="A11" s="29" t="s">
        <v>116</v>
      </c>
      <c r="B11" s="50" t="s">
        <v>149</v>
      </c>
      <c r="H11" s="26">
        <f>H31</f>
        <v>2.8380506997908308E-2</v>
      </c>
    </row>
    <row r="12" spans="1:9" x14ac:dyDescent="0.25">
      <c r="A12" s="29" t="s">
        <v>1154</v>
      </c>
      <c r="B12" s="50" t="s">
        <v>1120</v>
      </c>
      <c r="H12" s="26">
        <f>H39</f>
        <v>3.4488774035952199E-2</v>
      </c>
    </row>
    <row r="13" spans="1:9" s="53" customFormat="1" x14ac:dyDescent="0.25">
      <c r="A13" s="23" t="s">
        <v>189</v>
      </c>
      <c r="B13" s="66" t="s">
        <v>21</v>
      </c>
      <c r="C13" s="29"/>
      <c r="D13" s="29"/>
      <c r="E13" s="29"/>
      <c r="F13" s="29"/>
      <c r="G13" s="29"/>
      <c r="H13" s="26">
        <f>H47</f>
        <v>3.1508438877692023E-2</v>
      </c>
      <c r="I13" s="29"/>
    </row>
    <row r="14" spans="1:9" x14ac:dyDescent="0.25">
      <c r="A14" s="29" t="s">
        <v>109</v>
      </c>
      <c r="B14" s="50" t="s">
        <v>10</v>
      </c>
      <c r="H14" s="26">
        <f>H55</f>
        <v>4.1790126527913786E-2</v>
      </c>
    </row>
    <row r="15" spans="1:9" x14ac:dyDescent="0.25">
      <c r="A15" s="29" t="s">
        <v>150</v>
      </c>
      <c r="B15" s="50" t="s">
        <v>151</v>
      </c>
      <c r="H15" s="26">
        <f>H63</f>
        <v>3.9858395293962644E-2</v>
      </c>
    </row>
    <row r="16" spans="1:9" x14ac:dyDescent="0.25">
      <c r="A16" s="29" t="s">
        <v>190</v>
      </c>
      <c r="B16" s="50" t="s">
        <v>24</v>
      </c>
      <c r="H16" s="26">
        <f>H71</f>
        <v>2.9264264090663881E-2</v>
      </c>
    </row>
    <row r="17" spans="1:11" x14ac:dyDescent="0.25">
      <c r="A17" s="23" t="s">
        <v>114</v>
      </c>
      <c r="B17" s="50" t="s">
        <v>148</v>
      </c>
      <c r="H17" s="26">
        <f>H79</f>
        <v>3.2918385515915645E-2</v>
      </c>
    </row>
    <row r="18" spans="1:11" s="17" customFormat="1" x14ac:dyDescent="0.25">
      <c r="A18" s="29"/>
      <c r="B18" s="50"/>
      <c r="C18" s="29"/>
      <c r="D18" s="29"/>
      <c r="E18" s="29"/>
      <c r="F18" s="29"/>
      <c r="G18" s="29"/>
      <c r="H18" s="26"/>
      <c r="I18" s="29"/>
    </row>
    <row r="19" spans="1:11" s="17" customFormat="1" x14ac:dyDescent="0.25">
      <c r="A19" s="61" t="s">
        <v>7</v>
      </c>
      <c r="B19" s="29"/>
      <c r="C19" s="29"/>
      <c r="D19" s="29"/>
      <c r="E19" s="29"/>
      <c r="F19" s="29"/>
      <c r="G19" s="29"/>
      <c r="H19" s="76">
        <f>AVERAGE(H11:H17)</f>
        <v>3.4029841620001208E-2</v>
      </c>
      <c r="I19" s="29"/>
    </row>
    <row r="20" spans="1:11" x14ac:dyDescent="0.25">
      <c r="A20" s="61" t="s">
        <v>1</v>
      </c>
      <c r="H20" s="76">
        <f>MEDIAN(H11:H17)</f>
        <v>3.2918385515915645E-2</v>
      </c>
    </row>
    <row r="22" spans="1:11" x14ac:dyDescent="0.25">
      <c r="A22" s="65"/>
      <c r="B22" s="65"/>
      <c r="C22" s="65"/>
      <c r="D22" s="77" t="s">
        <v>75</v>
      </c>
      <c r="E22" s="77"/>
      <c r="F22" s="77"/>
      <c r="G22" s="69" t="s">
        <v>144</v>
      </c>
      <c r="H22" s="69" t="s">
        <v>8</v>
      </c>
    </row>
    <row r="23" spans="1:11" x14ac:dyDescent="0.25">
      <c r="A23" s="62"/>
      <c r="B23" s="62"/>
      <c r="C23" s="62"/>
      <c r="D23" s="71" t="s">
        <v>2</v>
      </c>
      <c r="E23" s="71" t="s">
        <v>0</v>
      </c>
      <c r="F23" s="71" t="s">
        <v>7</v>
      </c>
      <c r="G23" s="71" t="s">
        <v>8</v>
      </c>
      <c r="H23" s="71" t="s">
        <v>9</v>
      </c>
    </row>
    <row r="24" spans="1:11" x14ac:dyDescent="0.25">
      <c r="D24" s="44"/>
    </row>
    <row r="25" spans="1:11" x14ac:dyDescent="0.25">
      <c r="A25" s="29" t="s">
        <v>116</v>
      </c>
      <c r="B25" s="50" t="s">
        <v>149</v>
      </c>
      <c r="C25" s="81">
        <v>42139</v>
      </c>
      <c r="D25" s="47">
        <v>52.18</v>
      </c>
      <c r="E25" s="47">
        <v>55.1</v>
      </c>
      <c r="F25" s="46">
        <f>AVERAGE(D25:E25)</f>
        <v>53.64</v>
      </c>
      <c r="G25" s="46">
        <f>0.39*4</f>
        <v>1.56</v>
      </c>
      <c r="H25" s="78">
        <f>G25/F25</f>
        <v>2.9082774049217004E-2</v>
      </c>
      <c r="J25" s="17"/>
    </row>
    <row r="26" spans="1:11" x14ac:dyDescent="0.25">
      <c r="C26" s="81">
        <v>42170</v>
      </c>
      <c r="D26" s="47">
        <v>50.83</v>
      </c>
      <c r="E26" s="47">
        <v>54.48</v>
      </c>
      <c r="F26" s="47">
        <f>AVERAGE(D26:E26)</f>
        <v>52.655000000000001</v>
      </c>
      <c r="G26" s="47">
        <v>1.56</v>
      </c>
      <c r="H26" s="78">
        <f t="shared" ref="H26:H30" si="0">G26/F26</f>
        <v>2.9626816066850251E-2</v>
      </c>
      <c r="J26" s="17"/>
      <c r="K26" s="45"/>
    </row>
    <row r="27" spans="1:11" x14ac:dyDescent="0.25">
      <c r="C27" s="81">
        <v>42200</v>
      </c>
      <c r="D27" s="47">
        <v>51.03</v>
      </c>
      <c r="E27" s="47">
        <v>55.72</v>
      </c>
      <c r="F27" s="47">
        <f t="shared" ref="F27:F30" si="1">AVERAGE(D27:E27)</f>
        <v>53.375</v>
      </c>
      <c r="G27" s="47">
        <v>1.56</v>
      </c>
      <c r="H27" s="78">
        <f t="shared" si="0"/>
        <v>2.9227166276346604E-2</v>
      </c>
      <c r="J27" s="17"/>
      <c r="K27" s="45"/>
    </row>
    <row r="28" spans="1:11" x14ac:dyDescent="0.25">
      <c r="C28" s="81">
        <v>42231</v>
      </c>
      <c r="D28" s="47">
        <v>52.08</v>
      </c>
      <c r="E28" s="47">
        <v>57.96</v>
      </c>
      <c r="F28" s="47">
        <f t="shared" si="1"/>
        <v>55.019999999999996</v>
      </c>
      <c r="G28" s="47">
        <v>1.56</v>
      </c>
      <c r="H28" s="78">
        <f t="shared" si="0"/>
        <v>2.835332606324973E-2</v>
      </c>
      <c r="J28" s="17"/>
      <c r="K28" s="45"/>
    </row>
    <row r="29" spans="1:11" x14ac:dyDescent="0.25">
      <c r="C29" s="81">
        <v>42262</v>
      </c>
      <c r="D29" s="47">
        <v>52.42</v>
      </c>
      <c r="E29" s="47">
        <v>58.33</v>
      </c>
      <c r="F29" s="47">
        <f t="shared" si="1"/>
        <v>55.375</v>
      </c>
      <c r="G29" s="47">
        <v>1.56</v>
      </c>
      <c r="H29" s="78">
        <f t="shared" si="0"/>
        <v>2.817155756207675E-2</v>
      </c>
      <c r="J29" s="17"/>
      <c r="K29" s="45"/>
    </row>
    <row r="30" spans="1:11" x14ac:dyDescent="0.25">
      <c r="C30" s="81">
        <v>42292</v>
      </c>
      <c r="D30" s="47">
        <v>57.37</v>
      </c>
      <c r="E30" s="47">
        <v>63.46</v>
      </c>
      <c r="F30" s="47">
        <f t="shared" si="1"/>
        <v>60.414999999999999</v>
      </c>
      <c r="G30" s="47">
        <v>1.56</v>
      </c>
      <c r="H30" s="79">
        <f t="shared" si="0"/>
        <v>2.5821401969709511E-2</v>
      </c>
      <c r="J30" s="17"/>
      <c r="K30" s="45"/>
    </row>
    <row r="31" spans="1:11" x14ac:dyDescent="0.25">
      <c r="D31" s="47"/>
      <c r="E31" s="47"/>
      <c r="F31" s="23"/>
      <c r="G31" s="23"/>
      <c r="H31" s="80">
        <f>AVERAGE(H25:H30)</f>
        <v>2.8380506997908308E-2</v>
      </c>
      <c r="J31" s="17"/>
      <c r="K31" s="45"/>
    </row>
    <row r="32" spans="1:11" x14ac:dyDescent="0.25">
      <c r="D32" s="47"/>
      <c r="E32" s="47"/>
      <c r="F32" s="23"/>
      <c r="G32" s="23"/>
      <c r="J32" s="17"/>
    </row>
    <row r="33" spans="1:9" x14ac:dyDescent="0.25">
      <c r="A33" s="23" t="s">
        <v>1119</v>
      </c>
      <c r="B33" s="50" t="s">
        <v>1120</v>
      </c>
      <c r="C33" s="81">
        <v>42139</v>
      </c>
      <c r="D33" s="47">
        <v>50.04</v>
      </c>
      <c r="E33" s="47">
        <v>53.89</v>
      </c>
      <c r="F33" s="46">
        <f>AVERAGE(D33:E33)</f>
        <v>51.965000000000003</v>
      </c>
      <c r="G33" s="46">
        <f>0.46*4</f>
        <v>1.84</v>
      </c>
      <c r="H33" s="26">
        <f>G33/F33</f>
        <v>3.5408447993842011E-2</v>
      </c>
    </row>
    <row r="34" spans="1:9" x14ac:dyDescent="0.25">
      <c r="C34" s="81">
        <v>42170</v>
      </c>
      <c r="D34" s="47">
        <v>50.93</v>
      </c>
      <c r="E34" s="47">
        <v>54.32</v>
      </c>
      <c r="F34" s="47">
        <f>AVERAGE(D34:E34)</f>
        <v>52.625</v>
      </c>
      <c r="G34" s="47">
        <v>1.84</v>
      </c>
      <c r="H34" s="26">
        <f t="shared" ref="H34:H38" si="2">G34/F34</f>
        <v>3.4964370546318291E-2</v>
      </c>
    </row>
    <row r="35" spans="1:9" x14ac:dyDescent="0.25">
      <c r="C35" s="81">
        <v>42200</v>
      </c>
      <c r="D35" s="47">
        <v>51.48</v>
      </c>
      <c r="E35" s="47">
        <v>54.74</v>
      </c>
      <c r="F35" s="47">
        <f t="shared" ref="F35:F38" si="3">AVERAGE(D35:E35)</f>
        <v>53.11</v>
      </c>
      <c r="G35" s="47">
        <v>1.84</v>
      </c>
      <c r="H35" s="26">
        <f t="shared" si="2"/>
        <v>3.4645076256825461E-2</v>
      </c>
    </row>
    <row r="36" spans="1:9" x14ac:dyDescent="0.25">
      <c r="C36" s="81">
        <v>42231</v>
      </c>
      <c r="D36" s="47">
        <v>51.52</v>
      </c>
      <c r="E36" s="47">
        <v>56.31</v>
      </c>
      <c r="F36" s="47">
        <f t="shared" si="3"/>
        <v>53.915000000000006</v>
      </c>
      <c r="G36" s="47">
        <v>1.84</v>
      </c>
      <c r="H36" s="26">
        <f t="shared" si="2"/>
        <v>3.4127793749420383E-2</v>
      </c>
    </row>
    <row r="37" spans="1:9" x14ac:dyDescent="0.25">
      <c r="C37" s="81">
        <v>42262</v>
      </c>
      <c r="D37" s="47">
        <v>49.66</v>
      </c>
      <c r="E37" s="47">
        <v>54.62</v>
      </c>
      <c r="F37" s="47">
        <f t="shared" si="3"/>
        <v>52.14</v>
      </c>
      <c r="G37" s="47">
        <v>1.84</v>
      </c>
      <c r="H37" s="26">
        <f t="shared" si="2"/>
        <v>3.5289604909858073E-2</v>
      </c>
    </row>
    <row r="38" spans="1:9" x14ac:dyDescent="0.25">
      <c r="C38" s="81">
        <v>42292</v>
      </c>
      <c r="D38" s="47">
        <v>53.86</v>
      </c>
      <c r="E38" s="47">
        <v>59.38</v>
      </c>
      <c r="F38" s="47">
        <f t="shared" si="3"/>
        <v>56.620000000000005</v>
      </c>
      <c r="G38" s="47">
        <v>1.84</v>
      </c>
      <c r="H38" s="79">
        <f t="shared" si="2"/>
        <v>3.2497350759448956E-2</v>
      </c>
    </row>
    <row r="39" spans="1:9" x14ac:dyDescent="0.25">
      <c r="D39" s="47"/>
      <c r="E39" s="47"/>
      <c r="F39" s="23"/>
      <c r="G39" s="23"/>
      <c r="H39" s="80">
        <f>AVERAGE(H33:H38)</f>
        <v>3.4488774035952199E-2</v>
      </c>
    </row>
    <row r="40" spans="1:9" x14ac:dyDescent="0.25">
      <c r="D40" s="47"/>
      <c r="E40" s="47"/>
      <c r="F40" s="23"/>
      <c r="G40" s="23"/>
    </row>
    <row r="41" spans="1:9" s="53" customFormat="1" x14ac:dyDescent="0.25">
      <c r="A41" s="29" t="s">
        <v>189</v>
      </c>
      <c r="B41" s="50" t="s">
        <v>21</v>
      </c>
      <c r="C41" s="81">
        <v>42139</v>
      </c>
      <c r="D41" s="47">
        <v>29.1</v>
      </c>
      <c r="E41" s="47">
        <v>31.31</v>
      </c>
      <c r="F41" s="46">
        <f t="shared" ref="F41:F46" si="4">AVERAGE(D41:E41)</f>
        <v>30.204999999999998</v>
      </c>
      <c r="G41" s="46">
        <f>0.225*4</f>
        <v>0.9</v>
      </c>
      <c r="H41" s="26">
        <f>G41/F41</f>
        <v>2.9796391325939416E-2</v>
      </c>
      <c r="I41" s="29"/>
    </row>
    <row r="42" spans="1:9" s="53" customFormat="1" x14ac:dyDescent="0.25">
      <c r="A42" s="29"/>
      <c r="B42" s="29"/>
      <c r="C42" s="81">
        <v>42170</v>
      </c>
      <c r="D42" s="47">
        <v>26.77</v>
      </c>
      <c r="E42" s="47">
        <v>30.27</v>
      </c>
      <c r="F42" s="47">
        <f t="shared" si="4"/>
        <v>28.52</v>
      </c>
      <c r="G42" s="47">
        <v>0.9</v>
      </c>
      <c r="H42" s="26">
        <f t="shared" ref="H42:H46" si="5">G42/F42</f>
        <v>3.155680224403927E-2</v>
      </c>
      <c r="I42" s="29"/>
    </row>
    <row r="43" spans="1:9" s="53" customFormat="1" x14ac:dyDescent="0.25">
      <c r="A43" s="29"/>
      <c r="B43" s="29"/>
      <c r="C43" s="81">
        <v>42200</v>
      </c>
      <c r="D43" s="47">
        <v>27.39</v>
      </c>
      <c r="E43" s="47">
        <v>29.72</v>
      </c>
      <c r="F43" s="47">
        <f t="shared" si="4"/>
        <v>28.555</v>
      </c>
      <c r="G43" s="47">
        <v>0.9</v>
      </c>
      <c r="H43" s="26">
        <f t="shared" si="5"/>
        <v>3.1518122920679389E-2</v>
      </c>
      <c r="I43" s="29"/>
    </row>
    <row r="44" spans="1:9" s="53" customFormat="1" x14ac:dyDescent="0.25">
      <c r="A44" s="29"/>
      <c r="B44" s="29"/>
      <c r="C44" s="81">
        <v>42231</v>
      </c>
      <c r="D44" s="47">
        <v>27.74</v>
      </c>
      <c r="E44" s="47">
        <v>29.84</v>
      </c>
      <c r="F44" s="47">
        <f t="shared" si="4"/>
        <v>28.79</v>
      </c>
      <c r="G44" s="47">
        <v>0.9</v>
      </c>
      <c r="H44" s="26">
        <f t="shared" si="5"/>
        <v>3.1260854463355331E-2</v>
      </c>
      <c r="I44" s="29"/>
    </row>
    <row r="45" spans="1:9" s="53" customFormat="1" x14ac:dyDescent="0.25">
      <c r="A45" s="29"/>
      <c r="B45" s="29"/>
      <c r="C45" s="81">
        <v>42262</v>
      </c>
      <c r="D45" s="47">
        <v>26.888000000000002</v>
      </c>
      <c r="E45" s="47">
        <v>30.07</v>
      </c>
      <c r="F45" s="47">
        <f t="shared" si="4"/>
        <v>28.478999999999999</v>
      </c>
      <c r="G45" s="47">
        <v>0.96</v>
      </c>
      <c r="H45" s="26">
        <f t="shared" si="5"/>
        <v>3.3709048772779943E-2</v>
      </c>
      <c r="I45" s="29"/>
    </row>
    <row r="46" spans="1:9" s="53" customFormat="1" ht="17.25" x14ac:dyDescent="0.3">
      <c r="A46" s="29"/>
      <c r="B46" s="29"/>
      <c r="C46" s="81">
        <v>42292</v>
      </c>
      <c r="D46" s="47">
        <v>29.67</v>
      </c>
      <c r="E46" s="83">
        <v>31.849900000000002</v>
      </c>
      <c r="F46" s="47">
        <f t="shared" si="4"/>
        <v>30.759950000000003</v>
      </c>
      <c r="G46" s="47">
        <v>0.96</v>
      </c>
      <c r="H46" s="79">
        <f t="shared" si="5"/>
        <v>3.1209413539358806E-2</v>
      </c>
      <c r="I46" s="29"/>
    </row>
    <row r="47" spans="1:9" s="53" customFormat="1" x14ac:dyDescent="0.25">
      <c r="A47" s="29"/>
      <c r="B47" s="29"/>
      <c r="C47" s="29"/>
      <c r="D47" s="47"/>
      <c r="E47" s="47"/>
      <c r="F47" s="23"/>
      <c r="G47" s="23"/>
      <c r="H47" s="80">
        <f>AVERAGE(H41:H46)</f>
        <v>3.1508438877692023E-2</v>
      </c>
      <c r="I47" s="29"/>
    </row>
    <row r="48" spans="1:9" s="53" customFormat="1" x14ac:dyDescent="0.25">
      <c r="A48" s="29"/>
      <c r="B48" s="29"/>
      <c r="C48" s="29"/>
      <c r="D48" s="47"/>
      <c r="E48" s="47"/>
      <c r="F48" s="23"/>
      <c r="G48" s="23"/>
      <c r="H48" s="80"/>
      <c r="I48" s="29"/>
    </row>
    <row r="49" spans="1:9" x14ac:dyDescent="0.25">
      <c r="A49" s="29" t="s">
        <v>109</v>
      </c>
      <c r="B49" s="50" t="s">
        <v>10</v>
      </c>
      <c r="C49" s="81">
        <v>42139</v>
      </c>
      <c r="D49" s="47">
        <v>43.77</v>
      </c>
      <c r="E49" s="47">
        <v>47.04</v>
      </c>
      <c r="F49" s="46">
        <f>AVERAGE(D49:E49)</f>
        <v>45.405000000000001</v>
      </c>
      <c r="G49" s="46">
        <v>1.86</v>
      </c>
      <c r="H49" s="26">
        <f>G49/F49</f>
        <v>4.0964651470102413E-2</v>
      </c>
    </row>
    <row r="50" spans="1:9" x14ac:dyDescent="0.25">
      <c r="C50" s="81">
        <v>42170</v>
      </c>
      <c r="D50" s="47">
        <v>42.08</v>
      </c>
      <c r="E50" s="47">
        <v>44.85</v>
      </c>
      <c r="F50" s="47">
        <f t="shared" ref="F50:F54" si="6">AVERAGE(D50:E50)</f>
        <v>43.465000000000003</v>
      </c>
      <c r="G50" s="47">
        <v>1.86</v>
      </c>
      <c r="H50" s="26">
        <f t="shared" ref="H50:H54" si="7">G50/F50</f>
        <v>4.2793051880823649E-2</v>
      </c>
    </row>
    <row r="51" spans="1:9" x14ac:dyDescent="0.25">
      <c r="C51" s="81">
        <v>42200</v>
      </c>
      <c r="D51" s="47">
        <v>42.1</v>
      </c>
      <c r="E51" s="47">
        <v>44.48</v>
      </c>
      <c r="F51" s="47">
        <f t="shared" si="6"/>
        <v>43.29</v>
      </c>
      <c r="G51" s="47">
        <v>1.86</v>
      </c>
      <c r="H51" s="26">
        <f t="shared" si="7"/>
        <v>4.2966042966042971E-2</v>
      </c>
    </row>
    <row r="52" spans="1:9" x14ac:dyDescent="0.25">
      <c r="C52" s="81">
        <v>42231</v>
      </c>
      <c r="D52" s="47">
        <v>42</v>
      </c>
      <c r="E52" s="47">
        <v>46.74</v>
      </c>
      <c r="F52" s="47">
        <f t="shared" si="6"/>
        <v>44.370000000000005</v>
      </c>
      <c r="G52" s="47">
        <v>1.86</v>
      </c>
      <c r="H52" s="26">
        <f t="shared" si="7"/>
        <v>4.1920216362407031E-2</v>
      </c>
    </row>
    <row r="53" spans="1:9" x14ac:dyDescent="0.25">
      <c r="C53" s="81">
        <v>42262</v>
      </c>
      <c r="D53" s="47">
        <v>42.25</v>
      </c>
      <c r="E53" s="47">
        <v>45.99</v>
      </c>
      <c r="F53" s="47">
        <f t="shared" si="6"/>
        <v>44.120000000000005</v>
      </c>
      <c r="G53" s="47">
        <v>1.86</v>
      </c>
      <c r="H53" s="26">
        <f t="shared" si="7"/>
        <v>4.2157751586582047E-2</v>
      </c>
    </row>
    <row r="54" spans="1:9" x14ac:dyDescent="0.25">
      <c r="C54" s="81">
        <v>42292</v>
      </c>
      <c r="D54" s="47">
        <v>45.032699999999998</v>
      </c>
      <c r="E54" s="47">
        <v>48.61</v>
      </c>
      <c r="F54" s="47">
        <f t="shared" si="6"/>
        <v>46.821349999999995</v>
      </c>
      <c r="G54" s="47">
        <v>1.87</v>
      </c>
      <c r="H54" s="79">
        <f t="shared" si="7"/>
        <v>3.9939044901524633E-2</v>
      </c>
    </row>
    <row r="55" spans="1:9" x14ac:dyDescent="0.25">
      <c r="D55" s="47"/>
      <c r="E55" s="47"/>
      <c r="F55" s="23"/>
      <c r="G55" s="23"/>
      <c r="H55" s="80">
        <f>AVERAGE(H49:H54)</f>
        <v>4.1790126527913786E-2</v>
      </c>
    </row>
    <row r="56" spans="1:9" s="17" customFormat="1" x14ac:dyDescent="0.25">
      <c r="A56" s="29"/>
      <c r="B56" s="29"/>
      <c r="C56" s="29"/>
      <c r="D56" s="47"/>
      <c r="E56" s="47"/>
      <c r="F56" s="23"/>
      <c r="G56" s="23"/>
      <c r="H56" s="29"/>
      <c r="I56" s="29"/>
    </row>
    <row r="57" spans="1:9" x14ac:dyDescent="0.25">
      <c r="A57" s="23" t="s">
        <v>150</v>
      </c>
      <c r="B57" s="50" t="s">
        <v>151</v>
      </c>
      <c r="C57" s="81">
        <v>42139</v>
      </c>
      <c r="D57" s="47">
        <v>25.4</v>
      </c>
      <c r="E57" s="47">
        <v>26.88</v>
      </c>
      <c r="F57" s="46">
        <f>AVERAGE(D57:E57)</f>
        <v>26.14</v>
      </c>
      <c r="G57" s="46">
        <v>1.0049999999999999</v>
      </c>
      <c r="H57" s="26">
        <f>G57/F57</f>
        <v>3.8446824789594485E-2</v>
      </c>
    </row>
    <row r="58" spans="1:9" x14ac:dyDescent="0.25">
      <c r="C58" s="81">
        <v>42170</v>
      </c>
      <c r="D58" s="47">
        <v>24.51</v>
      </c>
      <c r="E58" s="47">
        <v>26.64</v>
      </c>
      <c r="F58" s="47">
        <f t="shared" ref="F58:F62" si="8">AVERAGE(D58:E58)</f>
        <v>25.575000000000003</v>
      </c>
      <c r="G58" s="47">
        <v>1.0049999999999999</v>
      </c>
      <c r="H58" s="26">
        <f t="shared" ref="H58:H62" si="9">G58/F58</f>
        <v>3.9296187683284446E-2</v>
      </c>
    </row>
    <row r="59" spans="1:9" x14ac:dyDescent="0.25">
      <c r="C59" s="81">
        <v>42200</v>
      </c>
      <c r="D59" s="47">
        <v>23.79</v>
      </c>
      <c r="E59" s="47">
        <v>25.78</v>
      </c>
      <c r="F59" s="47">
        <f t="shared" si="8"/>
        <v>24.785</v>
      </c>
      <c r="G59" s="47">
        <v>1.0049999999999999</v>
      </c>
      <c r="H59" s="26">
        <f t="shared" si="9"/>
        <v>4.0548718983255995E-2</v>
      </c>
    </row>
    <row r="60" spans="1:9" x14ac:dyDescent="0.25">
      <c r="C60" s="81">
        <v>42231</v>
      </c>
      <c r="D60" s="47">
        <v>23.555</v>
      </c>
      <c r="E60" s="47">
        <v>26.09</v>
      </c>
      <c r="F60" s="47">
        <f t="shared" si="8"/>
        <v>24.822499999999998</v>
      </c>
      <c r="G60" s="47">
        <v>1.0049999999999999</v>
      </c>
      <c r="H60" s="26">
        <f t="shared" si="9"/>
        <v>4.0487460972907646E-2</v>
      </c>
    </row>
    <row r="61" spans="1:9" x14ac:dyDescent="0.25">
      <c r="C61" s="81">
        <v>42262</v>
      </c>
      <c r="D61" s="47">
        <v>22.91</v>
      </c>
      <c r="E61" s="47">
        <v>25.28</v>
      </c>
      <c r="F61" s="47">
        <f t="shared" si="8"/>
        <v>24.094999999999999</v>
      </c>
      <c r="G61" s="47">
        <v>1.0049999999999999</v>
      </c>
      <c r="H61" s="26">
        <f t="shared" si="9"/>
        <v>4.1709898319153352E-2</v>
      </c>
    </row>
    <row r="62" spans="1:9" x14ac:dyDescent="0.25">
      <c r="C62" s="81">
        <v>42292</v>
      </c>
      <c r="D62" s="47">
        <v>24.65</v>
      </c>
      <c r="E62" s="47">
        <v>27.34</v>
      </c>
      <c r="F62" s="47">
        <f t="shared" si="8"/>
        <v>25.994999999999997</v>
      </c>
      <c r="G62" s="47">
        <v>1.0049999999999999</v>
      </c>
      <c r="H62" s="79">
        <f t="shared" si="9"/>
        <v>3.8661281015579918E-2</v>
      </c>
    </row>
    <row r="63" spans="1:9" x14ac:dyDescent="0.25">
      <c r="D63" s="47"/>
      <c r="E63" s="47"/>
      <c r="F63" s="23"/>
      <c r="G63" s="23"/>
      <c r="H63" s="80">
        <f>AVERAGE(H57:H62)</f>
        <v>3.9858395293962644E-2</v>
      </c>
    </row>
    <row r="64" spans="1:9" x14ac:dyDescent="0.25">
      <c r="D64" s="47"/>
      <c r="E64" s="47"/>
      <c r="F64" s="23"/>
      <c r="G64" s="23"/>
    </row>
    <row r="65" spans="1:9" x14ac:dyDescent="0.25">
      <c r="A65" s="29" t="s">
        <v>190</v>
      </c>
      <c r="B65" s="50" t="s">
        <v>24</v>
      </c>
      <c r="C65" s="81">
        <v>42139</v>
      </c>
      <c r="D65" s="47">
        <v>51.7</v>
      </c>
      <c r="E65" s="47">
        <v>55.965000000000003</v>
      </c>
      <c r="F65" s="46">
        <f>AVERAGE(D65:E65)</f>
        <v>53.832500000000003</v>
      </c>
      <c r="G65" s="46">
        <v>1.62</v>
      </c>
      <c r="H65" s="26">
        <f>G65/F65</f>
        <v>3.0093345098221334E-2</v>
      </c>
    </row>
    <row r="66" spans="1:9" x14ac:dyDescent="0.25">
      <c r="C66" s="81">
        <v>42170</v>
      </c>
      <c r="D66" s="47">
        <v>51.69</v>
      </c>
      <c r="E66" s="47">
        <v>55.63</v>
      </c>
      <c r="F66" s="47">
        <f t="shared" ref="F66:F70" si="10">AVERAGE(D66:E66)</f>
        <v>53.66</v>
      </c>
      <c r="G66" s="47">
        <v>1.62</v>
      </c>
      <c r="H66" s="26">
        <f t="shared" ref="H66:H70" si="11">G66/F66</f>
        <v>3.0190085724934777E-2</v>
      </c>
    </row>
    <row r="67" spans="1:9" x14ac:dyDescent="0.25">
      <c r="C67" s="81">
        <v>42200</v>
      </c>
      <c r="D67" s="47">
        <v>53.08</v>
      </c>
      <c r="E67" s="47">
        <v>56.88</v>
      </c>
      <c r="F67" s="47">
        <f t="shared" si="10"/>
        <v>54.980000000000004</v>
      </c>
      <c r="G67" s="47">
        <v>1.62</v>
      </c>
      <c r="H67" s="26">
        <f t="shared" si="11"/>
        <v>2.9465260094579847E-2</v>
      </c>
    </row>
    <row r="68" spans="1:9" x14ac:dyDescent="0.25">
      <c r="C68" s="81">
        <v>42231</v>
      </c>
      <c r="D68" s="47">
        <v>51.26</v>
      </c>
      <c r="E68" s="47">
        <v>58.34</v>
      </c>
      <c r="F68" s="47">
        <f t="shared" si="10"/>
        <v>54.8</v>
      </c>
      <c r="G68" s="47">
        <v>1.62</v>
      </c>
      <c r="H68" s="26">
        <f t="shared" si="11"/>
        <v>2.9562043795620441E-2</v>
      </c>
    </row>
    <row r="69" spans="1:9" x14ac:dyDescent="0.25">
      <c r="C69" s="81">
        <v>42262</v>
      </c>
      <c r="D69" s="47">
        <v>52.86</v>
      </c>
      <c r="E69" s="47">
        <v>58.4</v>
      </c>
      <c r="F69" s="47">
        <f t="shared" si="10"/>
        <v>55.629999999999995</v>
      </c>
      <c r="G69" s="47">
        <v>1.62</v>
      </c>
      <c r="H69" s="26">
        <f t="shared" si="11"/>
        <v>2.9120977889627902E-2</v>
      </c>
    </row>
    <row r="70" spans="1:9" x14ac:dyDescent="0.25">
      <c r="C70" s="81">
        <v>42292</v>
      </c>
      <c r="D70" s="47">
        <v>56.43</v>
      </c>
      <c r="E70" s="47">
        <v>62.89</v>
      </c>
      <c r="F70" s="47">
        <f t="shared" si="10"/>
        <v>59.66</v>
      </c>
      <c r="G70" s="47">
        <v>1.62</v>
      </c>
      <c r="H70" s="79">
        <f t="shared" si="11"/>
        <v>2.7153871940998997E-2</v>
      </c>
    </row>
    <row r="71" spans="1:9" x14ac:dyDescent="0.25">
      <c r="D71" s="47"/>
      <c r="E71" s="47"/>
      <c r="F71" s="23"/>
      <c r="G71" s="23"/>
      <c r="H71" s="80">
        <f>AVERAGE(H65:H70)</f>
        <v>2.9264264090663881E-2</v>
      </c>
    </row>
    <row r="72" spans="1:9" s="53" customFormat="1" x14ac:dyDescent="0.25">
      <c r="A72" s="29"/>
      <c r="B72" s="29"/>
      <c r="C72" s="29"/>
      <c r="D72" s="47"/>
      <c r="E72" s="47"/>
      <c r="F72" s="23"/>
      <c r="G72" s="23"/>
      <c r="H72" s="80"/>
      <c r="I72" s="29"/>
    </row>
    <row r="73" spans="1:9" s="53" customFormat="1" x14ac:dyDescent="0.25">
      <c r="A73" s="23" t="s">
        <v>114</v>
      </c>
      <c r="B73" s="50" t="s">
        <v>148</v>
      </c>
      <c r="C73" s="81">
        <v>42139</v>
      </c>
      <c r="D73" s="47">
        <v>52.95</v>
      </c>
      <c r="E73" s="47">
        <v>58.14</v>
      </c>
      <c r="F73" s="46">
        <f>AVERAGE(D73:E73)</f>
        <v>55.545000000000002</v>
      </c>
      <c r="G73" s="46">
        <v>1.85</v>
      </c>
      <c r="H73" s="26">
        <f>G73/F73</f>
        <v>3.3306328202358446E-2</v>
      </c>
      <c r="I73" s="29"/>
    </row>
    <row r="74" spans="1:9" s="53" customFormat="1" x14ac:dyDescent="0.25">
      <c r="A74" s="29"/>
      <c r="B74" s="29"/>
      <c r="C74" s="81">
        <v>42170</v>
      </c>
      <c r="D74" s="47">
        <v>54.02</v>
      </c>
      <c r="E74" s="47">
        <v>58.11</v>
      </c>
      <c r="F74" s="47">
        <f t="shared" ref="F74:F78" si="12">AVERAGE(D74:E74)</f>
        <v>56.064999999999998</v>
      </c>
      <c r="G74" s="47">
        <v>1.85</v>
      </c>
      <c r="H74" s="26">
        <f t="shared" ref="H74:H78" si="13">G74/F74</f>
        <v>3.2997413716222244E-2</v>
      </c>
      <c r="I74" s="29"/>
    </row>
    <row r="75" spans="1:9" s="53" customFormat="1" x14ac:dyDescent="0.25">
      <c r="A75" s="29"/>
      <c r="B75" s="29"/>
      <c r="C75" s="81">
        <v>42200</v>
      </c>
      <c r="D75" s="47">
        <v>53.27</v>
      </c>
      <c r="E75" s="47">
        <v>56.65</v>
      </c>
      <c r="F75" s="47">
        <f t="shared" si="12"/>
        <v>54.96</v>
      </c>
      <c r="G75" s="47">
        <v>1.85</v>
      </c>
      <c r="H75" s="26">
        <f t="shared" si="13"/>
        <v>3.3660844250363905E-2</v>
      </c>
      <c r="I75" s="29"/>
    </row>
    <row r="76" spans="1:9" s="53" customFormat="1" x14ac:dyDescent="0.25">
      <c r="A76" s="29"/>
      <c r="B76" s="29"/>
      <c r="C76" s="81">
        <v>42231</v>
      </c>
      <c r="D76" s="47">
        <v>53.58</v>
      </c>
      <c r="E76" s="47">
        <v>58.55</v>
      </c>
      <c r="F76" s="47">
        <f t="shared" si="12"/>
        <v>56.064999999999998</v>
      </c>
      <c r="G76" s="47">
        <v>1.85</v>
      </c>
      <c r="H76" s="26">
        <f t="shared" si="13"/>
        <v>3.2997413716222244E-2</v>
      </c>
      <c r="I76" s="29"/>
    </row>
    <row r="77" spans="1:9" s="53" customFormat="1" x14ac:dyDescent="0.25">
      <c r="A77" s="29"/>
      <c r="B77" s="29"/>
      <c r="C77" s="81">
        <v>42262</v>
      </c>
      <c r="D77" s="47">
        <v>51.86</v>
      </c>
      <c r="E77" s="47">
        <v>57.8</v>
      </c>
      <c r="F77" s="47">
        <f t="shared" si="12"/>
        <v>54.83</v>
      </c>
      <c r="G77" s="47">
        <v>1.85</v>
      </c>
      <c r="H77" s="26">
        <f t="shared" si="13"/>
        <v>3.3740652927229622E-2</v>
      </c>
      <c r="I77" s="29"/>
    </row>
    <row r="78" spans="1:9" s="53" customFormat="1" x14ac:dyDescent="0.25">
      <c r="A78" s="29"/>
      <c r="B78" s="29"/>
      <c r="C78" s="81">
        <v>42292</v>
      </c>
      <c r="D78" s="47">
        <v>56.9</v>
      </c>
      <c r="E78" s="47">
        <v>63.2</v>
      </c>
      <c r="F78" s="47">
        <f t="shared" si="12"/>
        <v>60.05</v>
      </c>
      <c r="G78" s="47">
        <v>1.85</v>
      </c>
      <c r="H78" s="79">
        <f t="shared" si="13"/>
        <v>3.0807660283097421E-2</v>
      </c>
      <c r="I78" s="29"/>
    </row>
    <row r="79" spans="1:9" s="53" customFormat="1" x14ac:dyDescent="0.25">
      <c r="A79" s="29"/>
      <c r="B79" s="29"/>
      <c r="C79" s="29"/>
      <c r="D79" s="23"/>
      <c r="E79" s="23"/>
      <c r="F79" s="23"/>
      <c r="G79" s="23"/>
      <c r="H79" s="80">
        <f>AVERAGE(H73:H78)</f>
        <v>3.2918385515915645E-2</v>
      </c>
      <c r="I79" s="29"/>
    </row>
    <row r="80" spans="1:9" x14ac:dyDescent="0.25">
      <c r="D80" s="23"/>
      <c r="E80" s="23"/>
      <c r="F80" s="23"/>
      <c r="G80" s="23"/>
    </row>
    <row r="81" spans="1:7" x14ac:dyDescent="0.25">
      <c r="A81" s="29" t="s">
        <v>179</v>
      </c>
      <c r="D81" s="23"/>
      <c r="E81" s="23"/>
      <c r="F81" s="23"/>
      <c r="G81" s="23"/>
    </row>
    <row r="82" spans="1:7" x14ac:dyDescent="0.25">
      <c r="D82" s="23"/>
      <c r="E82" s="23"/>
      <c r="F82" s="23"/>
      <c r="G82" s="23"/>
    </row>
    <row r="83" spans="1:7" x14ac:dyDescent="0.25">
      <c r="D83" s="23"/>
      <c r="E83" s="23"/>
      <c r="F83" s="23"/>
      <c r="G83" s="23"/>
    </row>
    <row r="84" spans="1:7" x14ac:dyDescent="0.25">
      <c r="D84" s="23"/>
      <c r="E84" s="23"/>
      <c r="F84" s="23"/>
      <c r="G84" s="23"/>
    </row>
    <row r="85" spans="1:7" x14ac:dyDescent="0.25">
      <c r="D85" s="23"/>
      <c r="E85" s="23"/>
      <c r="F85" s="23"/>
      <c r="G85" s="23"/>
    </row>
    <row r="86" spans="1:7" x14ac:dyDescent="0.25">
      <c r="D86" s="23"/>
      <c r="E86" s="23"/>
      <c r="F86" s="23"/>
      <c r="G86" s="23"/>
    </row>
    <row r="87" spans="1:7" x14ac:dyDescent="0.25">
      <c r="D87" s="23"/>
      <c r="E87" s="23"/>
      <c r="F87" s="23"/>
      <c r="G87" s="23"/>
    </row>
    <row r="88" spans="1:7" x14ac:dyDescent="0.25">
      <c r="D88" s="23"/>
      <c r="E88" s="23"/>
      <c r="F88" s="23"/>
      <c r="G88" s="23"/>
    </row>
    <row r="89" spans="1:7" x14ac:dyDescent="0.25">
      <c r="D89" s="23"/>
      <c r="E89" s="23"/>
      <c r="F89" s="23"/>
      <c r="G89" s="23"/>
    </row>
    <row r="90" spans="1:7" x14ac:dyDescent="0.25">
      <c r="D90" s="23"/>
      <c r="E90" s="23"/>
      <c r="F90" s="23"/>
      <c r="G90" s="23"/>
    </row>
    <row r="91" spans="1:7" x14ac:dyDescent="0.25">
      <c r="D91" s="23"/>
      <c r="E91" s="23"/>
      <c r="F91" s="23"/>
      <c r="G91" s="23"/>
    </row>
    <row r="92" spans="1:7" x14ac:dyDescent="0.25">
      <c r="D92" s="23"/>
      <c r="E92" s="23"/>
      <c r="F92" s="23"/>
      <c r="G92" s="23"/>
    </row>
    <row r="93" spans="1:7" x14ac:dyDescent="0.25">
      <c r="D93" s="23"/>
      <c r="E93" s="23"/>
      <c r="F93" s="23"/>
      <c r="G93" s="23"/>
    </row>
    <row r="94" spans="1:7" x14ac:dyDescent="0.25">
      <c r="D94" s="23"/>
      <c r="E94" s="23"/>
      <c r="F94" s="23"/>
      <c r="G94" s="23"/>
    </row>
    <row r="95" spans="1:7" x14ac:dyDescent="0.25">
      <c r="D95" s="23"/>
      <c r="E95" s="23"/>
      <c r="F95" s="23"/>
      <c r="G95" s="23"/>
    </row>
    <row r="96" spans="1:7" x14ac:dyDescent="0.25">
      <c r="D96" s="23"/>
      <c r="E96" s="23"/>
      <c r="F96" s="23"/>
      <c r="G96" s="23"/>
    </row>
    <row r="97" spans="4:7" x14ac:dyDescent="0.25">
      <c r="D97" s="23"/>
      <c r="E97" s="23"/>
      <c r="F97" s="23"/>
      <c r="G97" s="23"/>
    </row>
    <row r="98" spans="4:7" x14ac:dyDescent="0.25">
      <c r="D98" s="23"/>
      <c r="E98" s="23"/>
      <c r="F98" s="23"/>
      <c r="G98" s="23"/>
    </row>
    <row r="99" spans="4:7" x14ac:dyDescent="0.25">
      <c r="D99" s="23"/>
      <c r="E99" s="23"/>
      <c r="F99" s="23"/>
      <c r="G99" s="23"/>
    </row>
    <row r="100" spans="4:7" x14ac:dyDescent="0.25">
      <c r="D100" s="23"/>
      <c r="E100" s="23"/>
      <c r="F100" s="23"/>
      <c r="G100" s="23"/>
    </row>
    <row r="101" spans="4:7" x14ac:dyDescent="0.25">
      <c r="D101" s="23"/>
      <c r="E101" s="23"/>
      <c r="F101" s="23"/>
      <c r="G101" s="23"/>
    </row>
    <row r="102" spans="4:7" x14ac:dyDescent="0.25">
      <c r="D102" s="23"/>
      <c r="E102" s="23"/>
      <c r="F102" s="23"/>
      <c r="G102" s="23"/>
    </row>
    <row r="103" spans="4:7" x14ac:dyDescent="0.25">
      <c r="D103" s="23"/>
      <c r="E103" s="23"/>
      <c r="F103" s="23"/>
      <c r="G103" s="23"/>
    </row>
    <row r="104" spans="4:7" x14ac:dyDescent="0.25">
      <c r="D104" s="23"/>
      <c r="E104" s="23"/>
      <c r="F104" s="23"/>
      <c r="G104" s="23"/>
    </row>
    <row r="105" spans="4:7" x14ac:dyDescent="0.25">
      <c r="D105" s="23"/>
      <c r="E105" s="23"/>
      <c r="F105" s="23"/>
      <c r="G105" s="23"/>
    </row>
    <row r="106" spans="4:7" x14ac:dyDescent="0.25">
      <c r="D106" s="23"/>
      <c r="E106" s="23"/>
      <c r="F106" s="23"/>
      <c r="G106" s="23"/>
    </row>
    <row r="107" spans="4:7" x14ac:dyDescent="0.25">
      <c r="D107" s="23"/>
      <c r="E107" s="23"/>
      <c r="F107" s="23"/>
      <c r="G107" s="23"/>
    </row>
    <row r="108" spans="4:7" x14ac:dyDescent="0.25">
      <c r="D108" s="23"/>
      <c r="E108" s="23"/>
      <c r="F108" s="23"/>
      <c r="G108" s="23"/>
    </row>
    <row r="109" spans="4:7" x14ac:dyDescent="0.25">
      <c r="D109" s="23"/>
      <c r="E109" s="23"/>
      <c r="F109" s="23"/>
      <c r="G109" s="23"/>
    </row>
    <row r="110" spans="4:7" x14ac:dyDescent="0.25">
      <c r="D110" s="23"/>
      <c r="E110" s="23"/>
      <c r="F110" s="23"/>
      <c r="G110" s="23"/>
    </row>
    <row r="111" spans="4:7" x14ac:dyDescent="0.25">
      <c r="D111" s="23"/>
      <c r="E111" s="23"/>
      <c r="F111" s="23"/>
      <c r="G111" s="23"/>
    </row>
    <row r="112" spans="4:7" x14ac:dyDescent="0.25">
      <c r="D112" s="23"/>
      <c r="E112" s="23"/>
      <c r="F112" s="23"/>
      <c r="G112" s="23"/>
    </row>
    <row r="113" spans="4:7" x14ac:dyDescent="0.25">
      <c r="D113" s="23"/>
      <c r="E113" s="23"/>
      <c r="F113" s="23"/>
      <c r="G113" s="23"/>
    </row>
    <row r="114" spans="4:7" x14ac:dyDescent="0.25">
      <c r="D114" s="23"/>
      <c r="E114" s="23"/>
      <c r="F114" s="23"/>
      <c r="G114" s="23"/>
    </row>
    <row r="115" spans="4:7" x14ac:dyDescent="0.25">
      <c r="D115" s="23"/>
      <c r="E115" s="23"/>
      <c r="F115" s="23"/>
      <c r="G115" s="23"/>
    </row>
    <row r="116" spans="4:7" x14ac:dyDescent="0.25">
      <c r="D116" s="23"/>
      <c r="E116" s="23"/>
      <c r="F116" s="23"/>
      <c r="G116" s="23"/>
    </row>
    <row r="117" spans="4:7" x14ac:dyDescent="0.25">
      <c r="D117" s="23"/>
      <c r="E117" s="23"/>
      <c r="F117" s="23"/>
      <c r="G117" s="23"/>
    </row>
    <row r="118" spans="4:7" x14ac:dyDescent="0.25">
      <c r="D118" s="23"/>
      <c r="E118" s="23"/>
      <c r="F118" s="23"/>
      <c r="G118" s="23"/>
    </row>
    <row r="119" spans="4:7" x14ac:dyDescent="0.25">
      <c r="D119" s="23"/>
      <c r="E119" s="23"/>
      <c r="F119" s="23"/>
      <c r="G119" s="23"/>
    </row>
    <row r="120" spans="4:7" x14ac:dyDescent="0.25">
      <c r="D120" s="23"/>
      <c r="E120" s="23"/>
      <c r="F120" s="23"/>
      <c r="G120" s="23"/>
    </row>
    <row r="121" spans="4:7" x14ac:dyDescent="0.25">
      <c r="D121" s="23"/>
      <c r="E121" s="23"/>
      <c r="F121" s="23"/>
      <c r="G121" s="23"/>
    </row>
    <row r="122" spans="4:7" x14ac:dyDescent="0.25">
      <c r="D122" s="23"/>
      <c r="E122" s="23"/>
      <c r="F122" s="23"/>
      <c r="G122" s="23"/>
    </row>
    <row r="123" spans="4:7" x14ac:dyDescent="0.25">
      <c r="D123" s="23"/>
      <c r="E123" s="23"/>
      <c r="F123" s="23"/>
      <c r="G123" s="23"/>
    </row>
    <row r="124" spans="4:7" x14ac:dyDescent="0.25">
      <c r="D124" s="23"/>
      <c r="E124" s="23"/>
      <c r="F124" s="23"/>
      <c r="G124" s="23"/>
    </row>
    <row r="125" spans="4:7" x14ac:dyDescent="0.25">
      <c r="D125" s="23"/>
      <c r="E125" s="23"/>
      <c r="F125" s="23"/>
      <c r="G125" s="23"/>
    </row>
    <row r="126" spans="4:7" x14ac:dyDescent="0.25">
      <c r="D126" s="23"/>
      <c r="E126" s="23"/>
      <c r="F126" s="23"/>
      <c r="G126" s="23"/>
    </row>
    <row r="127" spans="4:7" x14ac:dyDescent="0.25">
      <c r="D127" s="23"/>
      <c r="E127" s="23"/>
      <c r="F127" s="23"/>
      <c r="G127" s="23"/>
    </row>
    <row r="128" spans="4:7" x14ac:dyDescent="0.25">
      <c r="D128" s="23"/>
      <c r="E128" s="23"/>
      <c r="F128" s="23"/>
      <c r="G128" s="23"/>
    </row>
    <row r="129" spans="4:7" x14ac:dyDescent="0.25">
      <c r="D129" s="23"/>
      <c r="E129" s="23"/>
      <c r="F129" s="23"/>
      <c r="G129" s="23"/>
    </row>
    <row r="130" spans="4:7" x14ac:dyDescent="0.25">
      <c r="D130" s="23"/>
      <c r="E130" s="23"/>
      <c r="F130" s="23"/>
      <c r="G130" s="23"/>
    </row>
    <row r="131" spans="4:7" x14ac:dyDescent="0.25">
      <c r="D131" s="23"/>
      <c r="E131" s="23"/>
      <c r="F131" s="23"/>
      <c r="G131" s="23"/>
    </row>
    <row r="132" spans="4:7" x14ac:dyDescent="0.25">
      <c r="D132" s="23"/>
      <c r="E132" s="23"/>
      <c r="F132" s="23"/>
      <c r="G132" s="23"/>
    </row>
    <row r="133" spans="4:7" x14ac:dyDescent="0.25">
      <c r="D133" s="23"/>
      <c r="E133" s="23"/>
      <c r="F133" s="23"/>
      <c r="G133" s="23"/>
    </row>
    <row r="134" spans="4:7" x14ac:dyDescent="0.25">
      <c r="D134" s="23"/>
      <c r="E134" s="23"/>
      <c r="F134" s="23"/>
      <c r="G134" s="23"/>
    </row>
    <row r="135" spans="4:7" x14ac:dyDescent="0.25">
      <c r="D135" s="23"/>
      <c r="E135" s="23"/>
      <c r="F135" s="23"/>
      <c r="G135" s="23"/>
    </row>
    <row r="136" spans="4:7" x14ac:dyDescent="0.25">
      <c r="D136" s="23"/>
      <c r="E136" s="23"/>
      <c r="F136" s="23"/>
      <c r="G136" s="23"/>
    </row>
    <row r="137" spans="4:7" x14ac:dyDescent="0.25">
      <c r="D137" s="23"/>
      <c r="E137" s="23"/>
      <c r="F137" s="23"/>
      <c r="G137" s="23"/>
    </row>
    <row r="138" spans="4:7" x14ac:dyDescent="0.25">
      <c r="D138" s="23"/>
      <c r="E138" s="23"/>
      <c r="F138" s="23"/>
      <c r="G138" s="23"/>
    </row>
    <row r="139" spans="4:7" x14ac:dyDescent="0.25">
      <c r="D139" s="23"/>
      <c r="E139" s="23"/>
      <c r="F139" s="23"/>
      <c r="G139" s="23"/>
    </row>
    <row r="140" spans="4:7" x14ac:dyDescent="0.25">
      <c r="D140" s="23"/>
      <c r="E140" s="23"/>
      <c r="F140" s="23"/>
      <c r="G140" s="23"/>
    </row>
    <row r="141" spans="4:7" x14ac:dyDescent="0.25">
      <c r="D141" s="23"/>
      <c r="E141" s="23"/>
      <c r="F141" s="23"/>
      <c r="G141" s="23"/>
    </row>
    <row r="142" spans="4:7" x14ac:dyDescent="0.25">
      <c r="D142" s="23"/>
      <c r="E142" s="23"/>
      <c r="F142" s="23"/>
      <c r="G142" s="23"/>
    </row>
    <row r="143" spans="4:7" x14ac:dyDescent="0.25">
      <c r="D143" s="23"/>
      <c r="E143" s="23"/>
      <c r="F143" s="23"/>
      <c r="G143" s="23"/>
    </row>
    <row r="144" spans="4:7" x14ac:dyDescent="0.25">
      <c r="D144" s="23"/>
      <c r="E144" s="23"/>
      <c r="F144" s="23"/>
      <c r="G144" s="23"/>
    </row>
    <row r="145" spans="4:7" x14ac:dyDescent="0.25">
      <c r="D145" s="23"/>
      <c r="E145" s="23"/>
      <c r="F145" s="23"/>
      <c r="G145" s="23"/>
    </row>
    <row r="146" spans="4:7" x14ac:dyDescent="0.25">
      <c r="D146" s="23"/>
      <c r="E146" s="23"/>
      <c r="F146" s="23"/>
      <c r="G146" s="23"/>
    </row>
    <row r="147" spans="4:7" x14ac:dyDescent="0.25">
      <c r="D147" s="23"/>
      <c r="E147" s="23"/>
      <c r="F147" s="23"/>
      <c r="G147" s="23"/>
    </row>
    <row r="148" spans="4:7" x14ac:dyDescent="0.25">
      <c r="D148" s="23"/>
      <c r="E148" s="23"/>
      <c r="F148" s="23"/>
      <c r="G148" s="23"/>
    </row>
    <row r="149" spans="4:7" x14ac:dyDescent="0.25">
      <c r="D149" s="23"/>
      <c r="E149" s="23"/>
      <c r="F149" s="23"/>
      <c r="G149" s="23"/>
    </row>
    <row r="150" spans="4:7" x14ac:dyDescent="0.25">
      <c r="D150" s="23"/>
      <c r="E150" s="23"/>
      <c r="F150" s="23"/>
      <c r="G150" s="23"/>
    </row>
    <row r="151" spans="4:7" x14ac:dyDescent="0.25">
      <c r="D151" s="23"/>
      <c r="E151" s="23"/>
      <c r="F151" s="23"/>
      <c r="G151" s="23"/>
    </row>
    <row r="152" spans="4:7" x14ac:dyDescent="0.25">
      <c r="D152" s="23"/>
      <c r="E152" s="23"/>
      <c r="F152" s="23"/>
      <c r="G152" s="23"/>
    </row>
    <row r="153" spans="4:7" x14ac:dyDescent="0.25">
      <c r="D153" s="23"/>
      <c r="E153" s="23"/>
      <c r="F153" s="23"/>
      <c r="G153" s="23"/>
    </row>
    <row r="154" spans="4:7" x14ac:dyDescent="0.25">
      <c r="D154" s="23"/>
      <c r="E154" s="23"/>
      <c r="F154" s="23"/>
      <c r="G154" s="23"/>
    </row>
    <row r="155" spans="4:7" x14ac:dyDescent="0.25">
      <c r="D155" s="23"/>
      <c r="E155" s="23"/>
      <c r="F155" s="23"/>
      <c r="G155" s="23"/>
    </row>
    <row r="156" spans="4:7" x14ac:dyDescent="0.25">
      <c r="D156" s="23"/>
      <c r="E156" s="23"/>
      <c r="F156" s="23"/>
      <c r="G156" s="23"/>
    </row>
    <row r="157" spans="4:7" x14ac:dyDescent="0.25">
      <c r="D157" s="23"/>
      <c r="E157" s="23"/>
      <c r="F157" s="23"/>
      <c r="G157" s="23"/>
    </row>
    <row r="158" spans="4:7" x14ac:dyDescent="0.25">
      <c r="D158" s="23"/>
      <c r="E158" s="23"/>
      <c r="F158" s="23"/>
      <c r="G158" s="23"/>
    </row>
    <row r="159" spans="4:7" x14ac:dyDescent="0.25">
      <c r="D159" s="23"/>
      <c r="E159" s="23"/>
      <c r="F159" s="23"/>
      <c r="G159" s="23"/>
    </row>
    <row r="160" spans="4:7" x14ac:dyDescent="0.25">
      <c r="D160" s="23"/>
      <c r="E160" s="23"/>
      <c r="F160" s="23"/>
      <c r="G160" s="23"/>
    </row>
    <row r="161" spans="4:7" x14ac:dyDescent="0.25">
      <c r="D161" s="23"/>
      <c r="E161" s="23"/>
      <c r="F161" s="23"/>
      <c r="G161" s="23"/>
    </row>
    <row r="162" spans="4:7" x14ac:dyDescent="0.25">
      <c r="D162" s="23"/>
      <c r="E162" s="23"/>
      <c r="F162" s="23"/>
      <c r="G162" s="23"/>
    </row>
    <row r="163" spans="4:7" x14ac:dyDescent="0.25">
      <c r="D163" s="23"/>
      <c r="E163" s="23"/>
      <c r="F163" s="23"/>
      <c r="G163" s="23"/>
    </row>
    <row r="164" spans="4:7" x14ac:dyDescent="0.25">
      <c r="D164" s="23"/>
      <c r="E164" s="23"/>
      <c r="F164" s="23"/>
      <c r="G164" s="23"/>
    </row>
    <row r="165" spans="4:7" x14ac:dyDescent="0.25">
      <c r="D165" s="23"/>
      <c r="E165" s="23"/>
      <c r="F165" s="23"/>
      <c r="G165" s="23"/>
    </row>
    <row r="166" spans="4:7" x14ac:dyDescent="0.25">
      <c r="D166" s="23"/>
      <c r="E166" s="23"/>
      <c r="F166" s="23"/>
      <c r="G166" s="23"/>
    </row>
    <row r="167" spans="4:7" x14ac:dyDescent="0.25">
      <c r="D167" s="23"/>
      <c r="E167" s="23"/>
      <c r="F167" s="23"/>
      <c r="G167" s="23"/>
    </row>
    <row r="168" spans="4:7" x14ac:dyDescent="0.25">
      <c r="D168" s="23"/>
      <c r="E168" s="23"/>
      <c r="F168" s="23"/>
      <c r="G168" s="23"/>
    </row>
    <row r="169" spans="4:7" x14ac:dyDescent="0.25">
      <c r="D169" s="23"/>
      <c r="E169" s="23"/>
      <c r="F169" s="23"/>
      <c r="G169" s="23"/>
    </row>
    <row r="170" spans="4:7" x14ac:dyDescent="0.25">
      <c r="D170" s="23"/>
      <c r="E170" s="23"/>
      <c r="F170" s="23"/>
      <c r="G170" s="23"/>
    </row>
    <row r="171" spans="4:7" x14ac:dyDescent="0.25">
      <c r="D171" s="23"/>
      <c r="E171" s="23"/>
      <c r="F171" s="23"/>
      <c r="G171" s="23"/>
    </row>
    <row r="172" spans="4:7" x14ac:dyDescent="0.25">
      <c r="D172" s="23"/>
      <c r="E172" s="23"/>
      <c r="F172" s="23"/>
      <c r="G172" s="23"/>
    </row>
    <row r="173" spans="4:7" x14ac:dyDescent="0.25">
      <c r="D173" s="23"/>
      <c r="E173" s="23"/>
      <c r="F173" s="23"/>
      <c r="G173" s="23"/>
    </row>
    <row r="174" spans="4:7" x14ac:dyDescent="0.25">
      <c r="D174" s="23"/>
      <c r="E174" s="23"/>
      <c r="F174" s="23"/>
      <c r="G174" s="23"/>
    </row>
    <row r="175" spans="4:7" x14ac:dyDescent="0.25">
      <c r="D175" s="23"/>
      <c r="E175" s="23"/>
      <c r="F175" s="23"/>
      <c r="G175" s="23"/>
    </row>
    <row r="176" spans="4:7" x14ac:dyDescent="0.25">
      <c r="D176" s="23"/>
      <c r="E176" s="23"/>
      <c r="F176" s="23"/>
      <c r="G176" s="23"/>
    </row>
    <row r="177" spans="4:7" x14ac:dyDescent="0.25">
      <c r="D177" s="23"/>
      <c r="E177" s="23"/>
      <c r="F177" s="23"/>
      <c r="G177" s="23"/>
    </row>
    <row r="178" spans="4:7" x14ac:dyDescent="0.25">
      <c r="D178" s="23"/>
      <c r="E178" s="23"/>
      <c r="F178" s="23"/>
      <c r="G178" s="23"/>
    </row>
    <row r="179" spans="4:7" x14ac:dyDescent="0.25">
      <c r="D179" s="23"/>
      <c r="E179" s="23"/>
      <c r="F179" s="23"/>
      <c r="G179" s="23"/>
    </row>
    <row r="180" spans="4:7" x14ac:dyDescent="0.25">
      <c r="D180" s="23"/>
      <c r="E180" s="23"/>
      <c r="F180" s="23"/>
      <c r="G180" s="23"/>
    </row>
    <row r="181" spans="4:7" x14ac:dyDescent="0.25">
      <c r="D181" s="23"/>
      <c r="E181" s="23"/>
      <c r="F181" s="23"/>
      <c r="G181" s="23"/>
    </row>
    <row r="182" spans="4:7" x14ac:dyDescent="0.25">
      <c r="D182" s="23"/>
      <c r="E182" s="23"/>
      <c r="F182" s="23"/>
      <c r="G182" s="23"/>
    </row>
    <row r="183" spans="4:7" x14ac:dyDescent="0.25">
      <c r="D183" s="23"/>
      <c r="E183" s="23"/>
      <c r="F183" s="23"/>
      <c r="G183" s="23"/>
    </row>
    <row r="184" spans="4:7" x14ac:dyDescent="0.25">
      <c r="D184" s="23"/>
      <c r="E184" s="23"/>
      <c r="F184" s="23"/>
      <c r="G184" s="23"/>
    </row>
    <row r="185" spans="4:7" x14ac:dyDescent="0.25">
      <c r="D185" s="23"/>
      <c r="E185" s="23"/>
      <c r="F185" s="23"/>
      <c r="G185" s="23"/>
    </row>
    <row r="186" spans="4:7" x14ac:dyDescent="0.25">
      <c r="D186" s="23"/>
      <c r="E186" s="23"/>
      <c r="F186" s="23"/>
      <c r="G186" s="23"/>
    </row>
    <row r="187" spans="4:7" x14ac:dyDescent="0.25">
      <c r="D187" s="23"/>
      <c r="E187" s="23"/>
      <c r="F187" s="23"/>
      <c r="G187" s="23"/>
    </row>
    <row r="188" spans="4:7" x14ac:dyDescent="0.25">
      <c r="D188" s="23"/>
      <c r="E188" s="23"/>
      <c r="F188" s="23"/>
      <c r="G188" s="23"/>
    </row>
    <row r="189" spans="4:7" x14ac:dyDescent="0.25">
      <c r="D189" s="23"/>
      <c r="E189" s="23"/>
      <c r="F189" s="23"/>
      <c r="G189" s="23"/>
    </row>
    <row r="190" spans="4:7" x14ac:dyDescent="0.25">
      <c r="D190" s="23"/>
      <c r="E190" s="23"/>
      <c r="F190" s="23"/>
      <c r="G190" s="23"/>
    </row>
    <row r="191" spans="4:7" x14ac:dyDescent="0.25">
      <c r="D191" s="23"/>
      <c r="E191" s="23"/>
      <c r="F191" s="23"/>
      <c r="G191" s="23"/>
    </row>
    <row r="192" spans="4:7" x14ac:dyDescent="0.25">
      <c r="D192" s="23"/>
      <c r="E192" s="23"/>
      <c r="F192" s="23"/>
      <c r="G192" s="23"/>
    </row>
    <row r="193" spans="4:7" x14ac:dyDescent="0.25">
      <c r="D193" s="23"/>
      <c r="E193" s="23"/>
      <c r="F193" s="23"/>
      <c r="G193" s="23"/>
    </row>
    <row r="194" spans="4:7" x14ac:dyDescent="0.25">
      <c r="D194" s="23"/>
      <c r="E194" s="23"/>
      <c r="F194" s="23"/>
      <c r="G194" s="23"/>
    </row>
    <row r="195" spans="4:7" x14ac:dyDescent="0.25">
      <c r="D195" s="23"/>
      <c r="E195" s="23"/>
      <c r="F195" s="23"/>
      <c r="G195" s="23"/>
    </row>
    <row r="196" spans="4:7" x14ac:dyDescent="0.25">
      <c r="D196" s="23"/>
      <c r="E196" s="23"/>
      <c r="F196" s="23"/>
      <c r="G196" s="23"/>
    </row>
    <row r="197" spans="4:7" x14ac:dyDescent="0.25">
      <c r="D197" s="23"/>
      <c r="E197" s="23"/>
      <c r="F197" s="23"/>
      <c r="G197" s="23"/>
    </row>
    <row r="198" spans="4:7" x14ac:dyDescent="0.25">
      <c r="D198" s="23"/>
      <c r="E198" s="23"/>
      <c r="F198" s="23"/>
      <c r="G198" s="23"/>
    </row>
    <row r="199" spans="4:7" x14ac:dyDescent="0.25">
      <c r="D199" s="23"/>
      <c r="E199" s="23"/>
      <c r="F199" s="23"/>
      <c r="G199" s="23"/>
    </row>
    <row r="200" spans="4:7" x14ac:dyDescent="0.25">
      <c r="D200" s="23"/>
      <c r="E200" s="23"/>
      <c r="F200" s="23"/>
      <c r="G200" s="23"/>
    </row>
    <row r="201" spans="4:7" x14ac:dyDescent="0.25">
      <c r="D201" s="23"/>
      <c r="E201" s="23"/>
      <c r="F201" s="23"/>
      <c r="G201" s="23"/>
    </row>
    <row r="202" spans="4:7" x14ac:dyDescent="0.25">
      <c r="D202" s="23"/>
      <c r="E202" s="23"/>
      <c r="F202" s="23"/>
      <c r="G202" s="23"/>
    </row>
    <row r="203" spans="4:7" x14ac:dyDescent="0.25">
      <c r="D203" s="23"/>
      <c r="E203" s="23"/>
      <c r="F203" s="23"/>
      <c r="G203" s="23"/>
    </row>
    <row r="204" spans="4:7" x14ac:dyDescent="0.25">
      <c r="D204" s="23"/>
      <c r="E204" s="23"/>
      <c r="F204" s="23"/>
      <c r="G204" s="23"/>
    </row>
    <row r="205" spans="4:7" x14ac:dyDescent="0.25">
      <c r="D205" s="23"/>
      <c r="E205" s="23"/>
      <c r="F205" s="23"/>
      <c r="G205" s="23"/>
    </row>
    <row r="206" spans="4:7" x14ac:dyDescent="0.25">
      <c r="D206" s="23"/>
      <c r="E206" s="23"/>
      <c r="F206" s="23"/>
      <c r="G206" s="23"/>
    </row>
    <row r="207" spans="4:7" x14ac:dyDescent="0.25">
      <c r="D207" s="23"/>
      <c r="E207" s="23"/>
      <c r="F207" s="23"/>
      <c r="G207" s="23"/>
    </row>
    <row r="208" spans="4:7" x14ac:dyDescent="0.25">
      <c r="D208" s="23"/>
      <c r="E208" s="23"/>
      <c r="F208" s="23"/>
      <c r="G208" s="23"/>
    </row>
    <row r="209" spans="4:7" x14ac:dyDescent="0.25">
      <c r="D209" s="23"/>
      <c r="E209" s="23"/>
      <c r="F209" s="23"/>
      <c r="G209" s="23"/>
    </row>
    <row r="210" spans="4:7" x14ac:dyDescent="0.25">
      <c r="D210" s="23"/>
      <c r="E210" s="23"/>
      <c r="F210" s="23"/>
      <c r="G210" s="23"/>
    </row>
    <row r="211" spans="4:7" x14ac:dyDescent="0.25">
      <c r="D211" s="23"/>
      <c r="E211" s="23"/>
      <c r="F211" s="23"/>
      <c r="G211" s="23"/>
    </row>
    <row r="212" spans="4:7" x14ac:dyDescent="0.25">
      <c r="D212" s="23"/>
      <c r="E212" s="23"/>
      <c r="F212" s="23"/>
      <c r="G212" s="23"/>
    </row>
    <row r="213" spans="4:7" x14ac:dyDescent="0.25">
      <c r="D213" s="23"/>
      <c r="E213" s="23"/>
      <c r="F213" s="23"/>
      <c r="G213" s="23"/>
    </row>
    <row r="214" spans="4:7" x14ac:dyDescent="0.25">
      <c r="D214" s="23"/>
      <c r="E214" s="23"/>
      <c r="F214" s="23"/>
      <c r="G214" s="23"/>
    </row>
    <row r="215" spans="4:7" x14ac:dyDescent="0.25">
      <c r="D215" s="23"/>
      <c r="E215" s="23"/>
      <c r="F215" s="23"/>
      <c r="G215" s="23"/>
    </row>
    <row r="216" spans="4:7" x14ac:dyDescent="0.25">
      <c r="D216" s="23"/>
      <c r="E216" s="23"/>
      <c r="F216" s="23"/>
      <c r="G216" s="23"/>
    </row>
    <row r="217" spans="4:7" x14ac:dyDescent="0.25">
      <c r="D217" s="23"/>
      <c r="E217" s="23"/>
      <c r="F217" s="23"/>
      <c r="G217" s="23"/>
    </row>
    <row r="218" spans="4:7" x14ac:dyDescent="0.25">
      <c r="D218" s="23"/>
      <c r="E218" s="23"/>
      <c r="F218" s="23"/>
      <c r="G218" s="23"/>
    </row>
    <row r="219" spans="4:7" x14ac:dyDescent="0.25">
      <c r="D219" s="23"/>
      <c r="E219" s="23"/>
      <c r="F219" s="23"/>
      <c r="G219" s="23"/>
    </row>
    <row r="220" spans="4:7" x14ac:dyDescent="0.25">
      <c r="D220" s="23"/>
      <c r="E220" s="23"/>
      <c r="F220" s="23"/>
      <c r="G220" s="23"/>
    </row>
    <row r="221" spans="4:7" x14ac:dyDescent="0.25">
      <c r="D221" s="23"/>
      <c r="E221" s="23"/>
      <c r="F221" s="23"/>
      <c r="G221" s="23"/>
    </row>
    <row r="222" spans="4:7" x14ac:dyDescent="0.25">
      <c r="D222" s="23"/>
      <c r="E222" s="23"/>
      <c r="F222" s="23"/>
      <c r="G222" s="23"/>
    </row>
  </sheetData>
  <phoneticPr fontId="0" type="noConversion"/>
  <printOptions horizontalCentered="1"/>
  <pageMargins left="0.25" right="0.25" top="0.75" bottom="0.62" header="0.3" footer="0.3"/>
  <pageSetup scale="75" orientation="portrait" useFirstPageNumber="1" r:id="rId1"/>
  <headerFooter alignWithMargins="0">
    <oddHeader>&amp;R&amp;K000000Docket No. UG-15____
Cascade Natural Gas Corp.
Exhibit No.___(JSG-2)
Schedule 4
Page &amp;P of 8</oddHeader>
  </headerFooter>
  <rowBreaks count="1" manualBreakCount="1">
    <brk id="55"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H46"/>
  <sheetViews>
    <sheetView zoomScaleNormal="100" workbookViewId="0">
      <selection activeCell="H4" sqref="H4"/>
    </sheetView>
  </sheetViews>
  <sheetFormatPr defaultRowHeight="15.75" x14ac:dyDescent="0.25"/>
  <cols>
    <col min="1" max="1" width="30" customWidth="1"/>
    <col min="2" max="7" width="9" customWidth="1"/>
  </cols>
  <sheetData>
    <row r="1" spans="1:8" ht="20.25" x14ac:dyDescent="0.3">
      <c r="A1" s="24" t="s">
        <v>1290</v>
      </c>
      <c r="B1" s="1"/>
      <c r="C1" s="1"/>
      <c r="D1" s="1"/>
      <c r="E1" s="1"/>
      <c r="F1" s="1"/>
      <c r="G1" s="1"/>
      <c r="H1" s="53"/>
    </row>
    <row r="3" spans="1:8" ht="18.75" x14ac:dyDescent="0.3">
      <c r="A3" s="8" t="s">
        <v>33</v>
      </c>
      <c r="B3" s="1"/>
      <c r="C3" s="1"/>
      <c r="D3" s="1"/>
      <c r="E3" s="1"/>
      <c r="F3" s="1"/>
      <c r="G3" s="1"/>
    </row>
    <row r="4" spans="1:8" ht="18.75" x14ac:dyDescent="0.3">
      <c r="A4" s="8" t="s">
        <v>43</v>
      </c>
      <c r="B4" s="1"/>
      <c r="C4" s="1"/>
      <c r="D4" s="1"/>
      <c r="E4" s="1"/>
      <c r="F4" s="1"/>
      <c r="G4" s="1"/>
    </row>
    <row r="5" spans="1:8" ht="16.5" thickBot="1" x14ac:dyDescent="0.3"/>
    <row r="6" spans="1:8" x14ac:dyDescent="0.25">
      <c r="A6" s="31"/>
      <c r="B6" s="31"/>
      <c r="C6" s="33" t="s">
        <v>1161</v>
      </c>
      <c r="D6" s="33"/>
      <c r="E6" s="33"/>
      <c r="F6" s="31"/>
      <c r="G6" s="31"/>
    </row>
    <row r="7" spans="1:8" ht="31.5" x14ac:dyDescent="0.25">
      <c r="A7" s="10" t="s">
        <v>145</v>
      </c>
      <c r="B7" s="10" t="s">
        <v>146</v>
      </c>
      <c r="C7" s="12" t="s">
        <v>11</v>
      </c>
      <c r="D7" s="12" t="s">
        <v>12</v>
      </c>
      <c r="E7" s="12" t="s">
        <v>13</v>
      </c>
      <c r="F7" s="9" t="s">
        <v>44</v>
      </c>
      <c r="G7" s="9" t="s">
        <v>45</v>
      </c>
    </row>
    <row r="9" spans="1:8" x14ac:dyDescent="0.25">
      <c r="A9" s="53" t="s">
        <v>116</v>
      </c>
      <c r="B9" s="5" t="s">
        <v>149</v>
      </c>
      <c r="C9" s="68">
        <v>3.8</v>
      </c>
      <c r="D9" s="68">
        <v>1.9</v>
      </c>
      <c r="E9" s="26">
        <v>0.105</v>
      </c>
      <c r="F9" s="3">
        <f>(1-(D9/C9))</f>
        <v>0.5</v>
      </c>
      <c r="G9" s="3">
        <f>F9*E9</f>
        <v>5.2499999999999998E-2</v>
      </c>
    </row>
    <row r="10" spans="1:8" s="53" customFormat="1" x14ac:dyDescent="0.25">
      <c r="A10" s="6" t="s">
        <v>1119</v>
      </c>
      <c r="B10" s="7" t="s">
        <v>1120</v>
      </c>
      <c r="C10" s="68">
        <v>4.2</v>
      </c>
      <c r="D10" s="68">
        <v>2.2000000000000002</v>
      </c>
      <c r="E10" s="26">
        <v>8.5000000000000006E-2</v>
      </c>
      <c r="F10" s="3">
        <f>(1-(D10/C10))</f>
        <v>0.47619047619047616</v>
      </c>
      <c r="G10" s="3">
        <f>F10*E10</f>
        <v>4.0476190476190478E-2</v>
      </c>
    </row>
    <row r="11" spans="1:8" x14ac:dyDescent="0.25">
      <c r="A11" s="53" t="s">
        <v>189</v>
      </c>
      <c r="B11" s="5" t="s">
        <v>21</v>
      </c>
      <c r="C11" s="68">
        <v>2</v>
      </c>
      <c r="D11" s="68">
        <v>0.98</v>
      </c>
      <c r="E11" s="26">
        <v>0.125</v>
      </c>
      <c r="F11" s="3">
        <f t="shared" ref="F11:F15" si="0">(1-(D11/C11))</f>
        <v>0.51</v>
      </c>
      <c r="G11" s="3">
        <f t="shared" ref="G11:G15" si="1">F11*E11</f>
        <v>6.3750000000000001E-2</v>
      </c>
    </row>
    <row r="12" spans="1:8" x14ac:dyDescent="0.25">
      <c r="A12" s="53" t="s">
        <v>109</v>
      </c>
      <c r="B12" s="5" t="s">
        <v>10</v>
      </c>
      <c r="C12" s="68">
        <v>3.3</v>
      </c>
      <c r="D12" s="68">
        <v>2.1</v>
      </c>
      <c r="E12" s="26">
        <v>0.1</v>
      </c>
      <c r="F12" s="3">
        <f t="shared" si="0"/>
        <v>0.36363636363636354</v>
      </c>
      <c r="G12" s="3">
        <f t="shared" si="1"/>
        <v>3.6363636363636355E-2</v>
      </c>
    </row>
    <row r="13" spans="1:8" x14ac:dyDescent="0.25">
      <c r="A13" s="17" t="s">
        <v>150</v>
      </c>
      <c r="B13" s="5" t="s">
        <v>151</v>
      </c>
      <c r="C13" s="68">
        <v>2.35</v>
      </c>
      <c r="D13" s="68">
        <v>1.35</v>
      </c>
      <c r="E13" s="26">
        <v>0.13</v>
      </c>
      <c r="F13" s="3">
        <f>(1-(D13/C13))</f>
        <v>0.42553191489361697</v>
      </c>
      <c r="G13" s="3">
        <f>F13*E13</f>
        <v>5.5319148936170209E-2</v>
      </c>
    </row>
    <row r="14" spans="1:8" x14ac:dyDescent="0.25">
      <c r="A14" s="53" t="s">
        <v>190</v>
      </c>
      <c r="B14" s="5" t="s">
        <v>24</v>
      </c>
      <c r="C14" s="68">
        <v>4.5</v>
      </c>
      <c r="D14" s="68">
        <v>2.1</v>
      </c>
      <c r="E14" s="26">
        <v>0.115</v>
      </c>
      <c r="F14" s="3">
        <f t="shared" si="0"/>
        <v>0.53333333333333333</v>
      </c>
      <c r="G14" s="3">
        <f t="shared" si="1"/>
        <v>6.1333333333333337E-2</v>
      </c>
    </row>
    <row r="15" spans="1:8" x14ac:dyDescent="0.25">
      <c r="A15" s="6" t="s">
        <v>114</v>
      </c>
      <c r="B15" s="5" t="s">
        <v>148</v>
      </c>
      <c r="C15" s="68">
        <v>3.55</v>
      </c>
      <c r="D15" s="68">
        <v>1.99</v>
      </c>
      <c r="E15" s="26">
        <v>0.12</v>
      </c>
      <c r="F15" s="3">
        <f t="shared" si="0"/>
        <v>0.43943661971830983</v>
      </c>
      <c r="G15" s="3">
        <f t="shared" si="1"/>
        <v>5.2732394366197179E-2</v>
      </c>
    </row>
    <row r="17" spans="1:7" s="17" customFormat="1" x14ac:dyDescent="0.25">
      <c r="A17" s="2" t="s">
        <v>7</v>
      </c>
      <c r="G17" s="4">
        <f>AVERAGE(G9:G15)</f>
        <v>5.178210049650394E-2</v>
      </c>
    </row>
    <row r="18" spans="1:7" x14ac:dyDescent="0.25">
      <c r="A18" s="2" t="s">
        <v>1</v>
      </c>
      <c r="G18" s="4">
        <f>MEDIAN(G9:G15)</f>
        <v>5.2732394366197179E-2</v>
      </c>
    </row>
    <row r="20" spans="1:7" x14ac:dyDescent="0.25">
      <c r="A20" s="23" t="s">
        <v>1254</v>
      </c>
    </row>
    <row r="24" spans="1:7" x14ac:dyDescent="0.25">
      <c r="A24" s="44"/>
    </row>
    <row r="46" spans="5:5" ht="17.25" x14ac:dyDescent="0.3">
      <c r="E46" s="82"/>
    </row>
  </sheetData>
  <phoneticPr fontId="0" type="noConversion"/>
  <printOptions horizontalCentered="1"/>
  <pageMargins left="0.7" right="0.7" top="1.25" bottom="0.75" header="0.3" footer="0.3"/>
  <pageSetup scale="81" firstPageNumber="3" orientation="portrait" useFirstPageNumber="1" r:id="rId1"/>
  <headerFooter alignWithMargins="0">
    <oddHeader>&amp;R&amp;K01+000Docket No. UG-15____
Cascade Natural Gas Corp.
&amp;K000000Exhibit No.___(JSG-2)
Schedule 4
Page &amp;P of 8</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G46"/>
  <sheetViews>
    <sheetView zoomScaleNormal="100" workbookViewId="0">
      <selection activeCell="F6" sqref="F6"/>
    </sheetView>
  </sheetViews>
  <sheetFormatPr defaultRowHeight="15.75" x14ac:dyDescent="0.25"/>
  <cols>
    <col min="1" max="1" width="30" customWidth="1"/>
    <col min="2" max="2" width="9" customWidth="1"/>
    <col min="3" max="5" width="12.75" customWidth="1"/>
  </cols>
  <sheetData>
    <row r="1" spans="1:7" ht="20.25" x14ac:dyDescent="0.3">
      <c r="A1" s="24" t="s">
        <v>1288</v>
      </c>
      <c r="B1" s="1"/>
      <c r="C1" s="1"/>
      <c r="D1" s="1"/>
      <c r="E1" s="1"/>
      <c r="F1" s="53"/>
      <c r="G1" s="53"/>
    </row>
    <row r="3" spans="1:7" ht="18.75" x14ac:dyDescent="0.3">
      <c r="A3" s="8" t="s">
        <v>33</v>
      </c>
      <c r="B3" s="1"/>
      <c r="C3" s="1"/>
      <c r="D3" s="1"/>
      <c r="E3" s="1"/>
    </row>
    <row r="4" spans="1:7" ht="18.75" x14ac:dyDescent="0.3">
      <c r="A4" s="25" t="s">
        <v>1163</v>
      </c>
      <c r="B4" s="1"/>
      <c r="C4" s="1"/>
      <c r="D4" s="1"/>
      <c r="E4" s="1"/>
    </row>
    <row r="5" spans="1:7" ht="16.5" thickBot="1" x14ac:dyDescent="0.3"/>
    <row r="6" spans="1:7" x14ac:dyDescent="0.25">
      <c r="A6" s="31"/>
      <c r="B6" s="31"/>
      <c r="C6" s="59" t="s">
        <v>125</v>
      </c>
      <c r="D6" s="60" t="s">
        <v>125</v>
      </c>
      <c r="E6" s="31"/>
    </row>
    <row r="7" spans="1:7" ht="63" x14ac:dyDescent="0.25">
      <c r="A7" s="10" t="s">
        <v>145</v>
      </c>
      <c r="B7" s="10" t="s">
        <v>146</v>
      </c>
      <c r="C7" s="72" t="s">
        <v>1156</v>
      </c>
      <c r="D7" s="72" t="s">
        <v>1155</v>
      </c>
      <c r="E7" s="13" t="s">
        <v>46</v>
      </c>
      <c r="G7" s="27"/>
    </row>
    <row r="8" spans="1:7" x14ac:dyDescent="0.25">
      <c r="C8" s="29"/>
      <c r="D8" s="29"/>
    </row>
    <row r="9" spans="1:7" x14ac:dyDescent="0.25">
      <c r="A9" s="53" t="s">
        <v>116</v>
      </c>
      <c r="B9" s="56" t="s">
        <v>149</v>
      </c>
      <c r="C9" s="67">
        <v>7.0000000000000007E-2</v>
      </c>
      <c r="D9" s="67">
        <v>7.0000000000000007E-2</v>
      </c>
      <c r="E9" s="3">
        <f t="shared" ref="E9:E15" si="0">C9*(1/2)+D9*(1/2)</f>
        <v>7.0000000000000007E-2</v>
      </c>
      <c r="G9" s="17"/>
    </row>
    <row r="10" spans="1:7" x14ac:dyDescent="0.25">
      <c r="A10" s="53" t="s">
        <v>1154</v>
      </c>
      <c r="B10" s="56" t="s">
        <v>1120</v>
      </c>
      <c r="C10" s="26">
        <v>4.8000000000000001E-2</v>
      </c>
      <c r="D10" s="67">
        <v>4.4200000000000003E-2</v>
      </c>
      <c r="E10" s="3">
        <f>C10*(1/2)+D10*(1/2)</f>
        <v>4.6100000000000002E-2</v>
      </c>
      <c r="G10" s="28"/>
    </row>
    <row r="11" spans="1:7" s="53" customFormat="1" x14ac:dyDescent="0.25">
      <c r="A11" s="6" t="s">
        <v>189</v>
      </c>
      <c r="B11" s="7" t="s">
        <v>21</v>
      </c>
      <c r="C11" s="67">
        <v>0.06</v>
      </c>
      <c r="D11" s="67">
        <v>0.06</v>
      </c>
      <c r="E11" s="3">
        <f>C11*(1/2)+D11*(1/2)</f>
        <v>0.06</v>
      </c>
      <c r="G11" s="28"/>
    </row>
    <row r="12" spans="1:7" x14ac:dyDescent="0.25">
      <c r="A12" s="53" t="s">
        <v>109</v>
      </c>
      <c r="B12" s="56" t="s">
        <v>10</v>
      </c>
      <c r="C12" s="67">
        <v>0.04</v>
      </c>
      <c r="D12" s="67">
        <v>0.04</v>
      </c>
      <c r="E12" s="3">
        <f t="shared" si="0"/>
        <v>0.04</v>
      </c>
      <c r="G12" s="28"/>
    </row>
    <row r="13" spans="1:7" x14ac:dyDescent="0.25">
      <c r="A13" s="53" t="s">
        <v>150</v>
      </c>
      <c r="B13" s="56" t="s">
        <v>151</v>
      </c>
      <c r="C13" s="26" t="s">
        <v>1157</v>
      </c>
      <c r="D13" s="67">
        <v>0.06</v>
      </c>
      <c r="E13" s="67">
        <f>IFERROR(C13*(1/2)+D13*(1/2),D13)</f>
        <v>0.06</v>
      </c>
      <c r="G13" s="28"/>
    </row>
    <row r="14" spans="1:7" x14ac:dyDescent="0.25">
      <c r="A14" s="53" t="s">
        <v>190</v>
      </c>
      <c r="B14" s="56" t="s">
        <v>24</v>
      </c>
      <c r="C14" s="67">
        <v>0.05</v>
      </c>
      <c r="D14" s="67">
        <v>0.04</v>
      </c>
      <c r="E14" s="3">
        <f>C14*(1/2)+D14*(1/2)</f>
        <v>4.4999999999999998E-2</v>
      </c>
    </row>
    <row r="15" spans="1:7" x14ac:dyDescent="0.25">
      <c r="A15" s="53" t="s">
        <v>114</v>
      </c>
      <c r="B15" s="56" t="s">
        <v>148</v>
      </c>
      <c r="C15" s="67">
        <v>0.06</v>
      </c>
      <c r="D15" s="67">
        <v>7.0000000000000007E-2</v>
      </c>
      <c r="E15" s="3">
        <f t="shared" si="0"/>
        <v>6.5000000000000002E-2</v>
      </c>
      <c r="G15" s="28"/>
    </row>
    <row r="16" spans="1:7" s="17" customFormat="1" x14ac:dyDescent="0.25">
      <c r="B16" s="5"/>
      <c r="E16" s="3"/>
    </row>
    <row r="17" spans="1:7" x14ac:dyDescent="0.25">
      <c r="A17" s="2" t="s">
        <v>7</v>
      </c>
      <c r="C17" s="14">
        <f>AVERAGE(C9:C15)</f>
        <v>5.4666666666666669E-2</v>
      </c>
      <c r="D17" s="14">
        <f>AVERAGE(D9:D15)</f>
        <v>5.4885714285714281E-2</v>
      </c>
      <c r="E17" s="14">
        <f>AVERAGE(E9:E15)</f>
        <v>5.5157142857142856E-2</v>
      </c>
      <c r="G17" s="14"/>
    </row>
    <row r="18" spans="1:7" x14ac:dyDescent="0.25">
      <c r="A18" s="2" t="s">
        <v>1</v>
      </c>
      <c r="C18" s="14">
        <f>MEDIAN(C9:C15)</f>
        <v>5.5E-2</v>
      </c>
      <c r="D18" s="14">
        <f>MEDIAN(D9:D15)</f>
        <v>0.06</v>
      </c>
      <c r="E18" s="14">
        <f>MEDIAN(E9:E15)</f>
        <v>0.06</v>
      </c>
      <c r="G18" s="14"/>
    </row>
    <row r="20" spans="1:7" x14ac:dyDescent="0.25">
      <c r="A20" s="29" t="s">
        <v>1255</v>
      </c>
    </row>
    <row r="46" spans="5:5" ht="17.25" x14ac:dyDescent="0.3">
      <c r="E46" s="82"/>
    </row>
  </sheetData>
  <phoneticPr fontId="0" type="noConversion"/>
  <printOptions horizontalCentered="1"/>
  <pageMargins left="0.7" right="0.7" top="1.25" bottom="0.75" header="0.3" footer="0.3"/>
  <pageSetup scale="81" firstPageNumber="4" orientation="portrait" useFirstPageNumber="1" r:id="rId1"/>
  <headerFooter alignWithMargins="0">
    <oddHeader>&amp;R&amp;K000000Docket No. UG-15____
Cascade Natural Gas Corp.
Exhibit No.___(JSG-2)
Schedule 4
Page &amp;P of 8</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015f1b76-b32e-440f-80a7-f0ca4d8a872c" ContentTypeId="0x0101006E56B4D1795A2E4DB2F0B01679ED314A" PreviousValue="true"/>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077AE8A7F4BA414592C9ADFE3B30758A" ma:contentTypeVersion="119" ma:contentTypeDescription="" ma:contentTypeScope="" ma:versionID="6d71e38aecebd031583b8bbff0379900">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4ccd4140794adb7bccf17b21b5812a9d"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UG</Prefix>
    <DocumentSetType xmlns="dc463f71-b30c-4ab2-9473-d307f9d35888">Initial Filing</DocumentSetType>
    <IsConfidential xmlns="dc463f71-b30c-4ab2-9473-d307f9d35888">false</IsConfidential>
    <AgendaOrder xmlns="dc463f71-b30c-4ab2-9473-d307f9d35888">false</AgendaOrder>
    <CaseType xmlns="dc463f71-b30c-4ab2-9473-d307f9d35888">Tariff Revision</CaseType>
    <IndustryCode xmlns="dc463f71-b30c-4ab2-9473-d307f9d35888">150</IndustryCode>
    <CaseStatus xmlns="dc463f71-b30c-4ab2-9473-d307f9d35888">Closed</CaseStatus>
    <OpenedDate xmlns="dc463f71-b30c-4ab2-9473-d307f9d35888">2015-12-01T08:00:00+00:00</OpenedDate>
    <Date1 xmlns="dc463f71-b30c-4ab2-9473-d307f9d35888">2015-12-01T08:00:00+00:00</Date1>
    <IsDocumentOrder xmlns="dc463f71-b30c-4ab2-9473-d307f9d35888" xsi:nil="true"/>
    <IsHighlyConfidential xmlns="dc463f71-b30c-4ab2-9473-d307f9d35888">false</IsHighlyConfidential>
    <CaseCompanyNames xmlns="dc463f71-b30c-4ab2-9473-d307f9d35888">Cascade Natural Gas Corporation</CaseCompanyNames>
    <DocketNumber xmlns="dc463f71-b30c-4ab2-9473-d307f9d35888">152286</DocketNumber>
    <DelegatedOrder xmlns="dc463f71-b30c-4ab2-9473-d307f9d35888">false</DelegatedOrder>
    <Visibility xmlns="dc463f71-b30c-4ab2-9473-d307f9d35888" xsi:nil="true"/>
    <Nickname xmlns="http://schemas.microsoft.com/sharepoint/v3" xsi:nil="true"/>
    <SignificantOrder xmlns="dc463f71-b30c-4ab2-9473-d307f9d35888">false</SignificantOrder>
  </documentManagement>
</p:properties>
</file>

<file path=customXml/itemProps1.xml><?xml version="1.0" encoding="utf-8"?>
<ds:datastoreItem xmlns:ds="http://schemas.openxmlformats.org/officeDocument/2006/customXml" ds:itemID="{507B9353-228A-4FF7-95B7-64293642E962}"/>
</file>

<file path=customXml/itemProps2.xml><?xml version="1.0" encoding="utf-8"?>
<ds:datastoreItem xmlns:ds="http://schemas.openxmlformats.org/officeDocument/2006/customXml" ds:itemID="{1F6017C4-47E3-4889-A159-A7A930091195}"/>
</file>

<file path=customXml/itemProps3.xml><?xml version="1.0" encoding="utf-8"?>
<ds:datastoreItem xmlns:ds="http://schemas.openxmlformats.org/officeDocument/2006/customXml" ds:itemID="{A0EB1C96-5A17-4DC4-89E2-28E58527B52F}"/>
</file>

<file path=customXml/itemProps4.xml><?xml version="1.0" encoding="utf-8"?>
<ds:datastoreItem xmlns:ds="http://schemas.openxmlformats.org/officeDocument/2006/customXml" ds:itemID="{F092FDE3-296D-4B62-85CB-B9F826BB382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16</vt:i4>
      </vt:variant>
    </vt:vector>
  </HeadingPairs>
  <TitlesOfParts>
    <vt:vector size="32" baseType="lpstr">
      <vt:lpstr>Sched 1 Econ Stats</vt:lpstr>
      <vt:lpstr>Sched 1 Bond Yields</vt:lpstr>
      <vt:lpstr>Sched 2 Flot Cost</vt:lpstr>
      <vt:lpstr>Sched 3 Size</vt:lpstr>
      <vt:lpstr>Sched 3 Credit Ratings</vt:lpstr>
      <vt:lpstr>Sched 4 Div Yld</vt:lpstr>
      <vt:lpstr>Sched 4 Ret Growth</vt:lpstr>
      <vt:lpstr>Sched 4 Earnings Growth</vt:lpstr>
      <vt:lpstr>Sched 4 Blended Growth</vt:lpstr>
      <vt:lpstr>Sched 4 DCF Retention</vt:lpstr>
      <vt:lpstr>Sched 4 DCF Basic</vt:lpstr>
      <vt:lpstr>Sched 4 DCF Blended</vt:lpstr>
      <vt:lpstr>Sched 5 Market DCF</vt:lpstr>
      <vt:lpstr>Sched 6 Beta</vt:lpstr>
      <vt:lpstr>Sched 7 Decoupling</vt:lpstr>
      <vt:lpstr>Sched 8 Capital Structure</vt:lpstr>
      <vt:lpstr>'Sched 1 Bond Yields'!Print_Area</vt:lpstr>
      <vt:lpstr>'Sched 1 Econ Stats'!Print_Area</vt:lpstr>
      <vt:lpstr>'Sched 2 Flot Cost'!Print_Area</vt:lpstr>
      <vt:lpstr>'Sched 3 Credit Ratings'!Print_Area</vt:lpstr>
      <vt:lpstr>'Sched 3 Size'!Print_Area</vt:lpstr>
      <vt:lpstr>'Sched 4 Blended Growth'!Print_Area</vt:lpstr>
      <vt:lpstr>'Sched 4 Earnings Growth'!Print_Area</vt:lpstr>
      <vt:lpstr>'Sched 4 Ret Growth'!Print_Area</vt:lpstr>
      <vt:lpstr>'Sched 5 Market DCF'!Print_Area</vt:lpstr>
      <vt:lpstr>'Sched 6 Beta'!Print_Area</vt:lpstr>
      <vt:lpstr>'Sched 7 Decoupling'!Print_Area</vt:lpstr>
      <vt:lpstr>'Sched 8 Capital Structure'!Print_Area</vt:lpstr>
      <vt:lpstr>'Sched 1 Bond Yields'!Print_Titles</vt:lpstr>
      <vt:lpstr>'Sched 2 Flot Cost'!Print_Titles</vt:lpstr>
      <vt:lpstr>'Sched 4 Div Yld'!Print_Titles</vt:lpstr>
      <vt:lpstr>'Sched 5 Market DCF'!Print_Titles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Alison Bogdonoff</dc:creator>
  <cp:lastModifiedBy>jtrogonoski</cp:lastModifiedBy>
  <cp:lastPrinted>2015-11-23T18:49:11Z</cp:lastPrinted>
  <dcterms:created xsi:type="dcterms:W3CDTF">2001-03-12T15:25:16Z</dcterms:created>
  <dcterms:modified xsi:type="dcterms:W3CDTF">2015-11-25T17:34:46Z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{F26817B3-C12A-465D-8DA3-53F958B9D600}</vt:lpwstr>
  </property>
  <property fmtid="{D5CDD505-2E9C-101B-9397-08002B2CF9AE}" pid="3" name="ContentTypeId">
    <vt:lpwstr>0x0101006E56B4D1795A2E4DB2F0B01679ED314A00077AE8A7F4BA414592C9ADFE3B30758A</vt:lpwstr>
  </property>
  <property fmtid="{D5CDD505-2E9C-101B-9397-08002B2CF9AE}" pid="4" name="_docset_NoMedatataSyncRequired">
    <vt:lpwstr>False</vt:lpwstr>
  </property>
</Properties>
</file>