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 Update\1 - Document\_DATA DISC\_Public\Chapters and Appendices\Chapter 6 - Portfolio Development (Was chapter 8)\"/>
    </mc:Choice>
  </mc:AlternateContent>
  <xr:revisionPtr revIDLastSave="0" documentId="13_ncr:1_{89CA29E4-890B-422C-82FE-B3B07649AD31}" xr6:coauthVersionLast="47" xr6:coauthVersionMax="47" xr10:uidLastSave="{00000000-0000-0000-0000-000000000000}"/>
  <bookViews>
    <workbookView xWindow="-110" yWindow="-110" windowWidth="19420" windowHeight="10420" xr2:uid="{46B5B250-171D-4412-973E-EC87D544183B}"/>
  </bookViews>
  <sheets>
    <sheet name="WA CETA Summary" sheetId="1" r:id="rId1"/>
    <sheet name="Interim Targets" sheetId="2" r:id="rId2"/>
    <sheet name="Table - Interim Targe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DeltaRetirements">'[1]Data Check'!$N$4</definedName>
    <definedName name="Discount_Rate">'[2]ST Cost Summary'!$C$2</definedName>
    <definedName name="Discount_Rate___2021_IRP">'[3]Summary $ Portfolio'!$M$68</definedName>
    <definedName name="DiscountRate">'[4]Control Panel'!$F$31</definedName>
    <definedName name="Dynamic_EmissionsData">OFFSET('[5]Emissions Data'!$AF$1,0,0,COUNTA('[5]Emissions Data'!$AF:$AF),COUNTA('[5]Emissions Data'!$AF$1:$BS$1))</definedName>
    <definedName name="Dynamic_TransmissionData">OFFSET('[5]Transmission Annual Data'!$AF$1,0,0,COUNTA('[5]Transmission Annual Data'!$AF:$AF),COUNTA('[5]Transmission Annual Data'!$AF$1:$BG$1))</definedName>
    <definedName name="FileName">'[1]Control Form'!$B$3</definedName>
    <definedName name="HYS_LIST">'[1]Automation Support'!$M$102</definedName>
    <definedName name="NewGasError">'[1]Portfolio by Category'!$G$58</definedName>
    <definedName name="NPVCost">'[4]PVRR Table'!$X$54</definedName>
    <definedName name="NUC_LIST">'[1]Automation Support'!$L$102</definedName>
    <definedName name="OutputLocation">'[4]Control Panel'!$B$7</definedName>
    <definedName name="ResourceTbl">'[6]Proj Attrib List'!$A$1:$E$442</definedName>
    <definedName name="RetireCompareCol">'[1]Data Check'!$D$21</definedName>
    <definedName name="RunName">'[1]Control Form'!$B$7</definedName>
    <definedName name="StudyName">'[4]Control Panel'!$B$6</definedName>
    <definedName name="StudySaveName">'[4]Control Panel'!$B$8</definedName>
    <definedName name="StudyType">'[1]Data Check'!$M$3</definedName>
    <definedName name="Tbl_Coal_EndofLife">[4]CoalPlants!$O$77:$T$103</definedName>
    <definedName name="TBL_DSMFactor">'[4]EPM Tables'!$L$38:$M$44</definedName>
    <definedName name="Tbl_MasterResource">[4]TBL_ResourceMaster!$A:$W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F6" i="3"/>
  <c r="G6" i="3"/>
  <c r="H6" i="3"/>
  <c r="J6" i="3" l="1"/>
  <c r="S8" i="1"/>
  <c r="H8" i="1"/>
  <c r="I7" i="3" s="1"/>
  <c r="I8" i="3" s="1"/>
  <c r="AF3" i="1"/>
  <c r="AG3" i="1"/>
  <c r="AH3" i="1"/>
  <c r="AI3" i="1"/>
  <c r="AJ3" i="1"/>
  <c r="X3" i="1"/>
  <c r="V8" i="1" l="1"/>
  <c r="T8" i="1"/>
  <c r="Q8" i="1"/>
  <c r="E8" i="1"/>
  <c r="F7" i="3" s="1"/>
  <c r="F8" i="3" s="1"/>
  <c r="P8" i="1"/>
  <c r="G8" i="1"/>
  <c r="H7" i="3" s="1"/>
  <c r="U8" i="1"/>
  <c r="I9" i="3"/>
  <c r="I10" i="3" s="1"/>
  <c r="R8" i="1"/>
  <c r="W8" i="1"/>
  <c r="F8" i="1"/>
  <c r="G7" i="3" s="1"/>
  <c r="J8" i="1"/>
  <c r="M8" i="1"/>
  <c r="M11" i="1" s="1"/>
  <c r="O8" i="1"/>
  <c r="N8" i="1"/>
  <c r="K8" i="1"/>
  <c r="K11" i="1" s="1"/>
  <c r="D8" i="1"/>
  <c r="D11" i="1" s="1"/>
  <c r="I8" i="1"/>
  <c r="Z3" i="1"/>
  <c r="AA3" i="1"/>
  <c r="AB3" i="1"/>
  <c r="Y3" i="1"/>
  <c r="M12" i="1" l="1"/>
  <c r="M14" i="1"/>
  <c r="M15" i="1" s="1"/>
  <c r="E11" i="1"/>
  <c r="J9" i="3"/>
  <c r="F9" i="3"/>
  <c r="F10" i="3" s="1"/>
  <c r="J7" i="3"/>
  <c r="L8" i="1"/>
  <c r="L11" i="1" s="1"/>
  <c r="H9" i="3"/>
  <c r="H10" i="3" s="1"/>
  <c r="H8" i="3"/>
  <c r="G8" i="3"/>
  <c r="G9" i="3"/>
  <c r="G10" i="3" s="1"/>
  <c r="U11" i="1"/>
  <c r="T11" i="1"/>
  <c r="S11" i="1"/>
  <c r="W11" i="1"/>
  <c r="G11" i="1"/>
  <c r="R11" i="1"/>
  <c r="AJ6" i="1"/>
  <c r="AF6" i="1"/>
  <c r="AH6" i="1"/>
  <c r="AI6" i="1"/>
  <c r="AG6" i="1"/>
  <c r="J11" i="1"/>
  <c r="I11" i="1"/>
  <c r="P11" i="1"/>
  <c r="F11" i="1"/>
  <c r="N11" i="1"/>
  <c r="Q11" i="1"/>
  <c r="O11" i="1"/>
  <c r="Y6" i="1"/>
  <c r="X6" i="1"/>
  <c r="AB6" i="1"/>
  <c r="AA6" i="1"/>
  <c r="Z6" i="1"/>
  <c r="V11" i="1"/>
  <c r="H11" i="1"/>
  <c r="W12" i="1" l="1"/>
  <c r="W13" i="1" s="1"/>
  <c r="W14" i="1"/>
  <c r="S12" i="1"/>
  <c r="S14" i="1"/>
  <c r="T12" i="1"/>
  <c r="T14" i="1"/>
  <c r="U12" i="1"/>
  <c r="U14" i="1"/>
  <c r="Q12" i="1"/>
  <c r="Q14" i="1"/>
  <c r="V12" i="1"/>
  <c r="V14" i="1"/>
  <c r="N12" i="1"/>
  <c r="N14" i="1"/>
  <c r="O12" i="1"/>
  <c r="O14" i="1"/>
  <c r="P12" i="1"/>
  <c r="P14" i="1"/>
  <c r="R12" i="1"/>
  <c r="R14" i="1"/>
  <c r="J10" i="3"/>
  <c r="J8" i="3"/>
  <c r="AI7" i="1"/>
  <c r="AI8" i="1" s="1"/>
  <c r="AI11" i="1" s="1"/>
  <c r="AJ7" i="1"/>
  <c r="AJ8" i="1" s="1"/>
  <c r="AJ11" i="1" s="1"/>
  <c r="AF7" i="1"/>
  <c r="AF8" i="1" s="1"/>
  <c r="AF11" i="1" s="1"/>
  <c r="AH7" i="1"/>
  <c r="AH8" i="1" s="1"/>
  <c r="AH11" i="1" s="1"/>
  <c r="AG7" i="1"/>
  <c r="AG8" i="1" s="1"/>
  <c r="AG11" i="1" s="1"/>
  <c r="Z7" i="1"/>
  <c r="AB7" i="1"/>
  <c r="AB8" i="1" s="1"/>
  <c r="AA7" i="1"/>
  <c r="AA8" i="1" s="1"/>
  <c r="AA11" i="1" s="1"/>
  <c r="Y7" i="1"/>
  <c r="Y8" i="1" s="1"/>
  <c r="Y11" i="1" s="1"/>
  <c r="X7" i="1"/>
  <c r="X8" i="1" s="1"/>
  <c r="AA14" i="1" l="1"/>
  <c r="AA15" i="1" s="1"/>
  <c r="AA16" i="1" s="1"/>
  <c r="Y14" i="1"/>
  <c r="Y15" i="1" s="1"/>
  <c r="Y16" i="1" s="1"/>
  <c r="AI14" i="1"/>
  <c r="AI15" i="1" s="1"/>
  <c r="AI16" i="1" s="1"/>
  <c r="AG14" i="1"/>
  <c r="AG15" i="1" s="1"/>
  <c r="AG16" i="1" s="1"/>
  <c r="AH14" i="1"/>
  <c r="AH15" i="1" s="1"/>
  <c r="AH16" i="1" s="1"/>
  <c r="AF14" i="1"/>
  <c r="AF15" i="1" s="1"/>
  <c r="AF16" i="1" s="1"/>
  <c r="AJ14" i="1"/>
  <c r="AJ15" i="1" s="1"/>
  <c r="AJ16" i="1" s="1"/>
  <c r="AB11" i="1"/>
  <c r="Z8" i="1"/>
  <c r="Z11" i="1" s="1"/>
  <c r="X11" i="1"/>
  <c r="S15" i="1"/>
  <c r="S16" i="1" s="1"/>
  <c r="S13" i="1"/>
  <c r="N13" i="1"/>
  <c r="N15" i="1"/>
  <c r="N16" i="1" s="1"/>
  <c r="M13" i="1"/>
  <c r="W15" i="1"/>
  <c r="W16" i="1" s="1"/>
  <c r="O13" i="1"/>
  <c r="O15" i="1"/>
  <c r="O16" i="1" s="1"/>
  <c r="P15" i="1"/>
  <c r="P16" i="1" s="1"/>
  <c r="P13" i="1"/>
  <c r="T13" i="1"/>
  <c r="T15" i="1"/>
  <c r="T16" i="1" s="1"/>
  <c r="U13" i="1"/>
  <c r="U15" i="1"/>
  <c r="U16" i="1" s="1"/>
  <c r="Q15" i="1"/>
  <c r="Q16" i="1" s="1"/>
  <c r="Q13" i="1"/>
  <c r="V13" i="1"/>
  <c r="V15" i="1"/>
  <c r="V16" i="1" s="1"/>
  <c r="R15" i="1"/>
  <c r="R16" i="1" s="1"/>
  <c r="R13" i="1"/>
  <c r="AB14" i="1" l="1"/>
  <c r="AB15" i="1" s="1"/>
  <c r="AB16" i="1" s="1"/>
  <c r="Z14" i="1"/>
  <c r="Z15" i="1" s="1"/>
  <c r="Z16" i="1" s="1"/>
  <c r="X14" i="1"/>
  <c r="X15" i="1" s="1"/>
  <c r="X16" i="1" s="1"/>
  <c r="M16" i="1"/>
  <c r="AI4" i="1" l="1"/>
  <c r="AH4" i="1"/>
  <c r="AF4" i="1"/>
  <c r="AG4" i="1"/>
  <c r="AJ4" i="1"/>
  <c r="Z4" i="1"/>
  <c r="X4" i="1"/>
  <c r="AA4" i="1"/>
  <c r="AB4" i="1"/>
  <c r="Y4" i="1"/>
</calcChain>
</file>

<file path=xl/sharedStrings.xml><?xml version="1.0" encoding="utf-8"?>
<sst xmlns="http://schemas.openxmlformats.org/spreadsheetml/2006/main" count="62" uniqueCount="61">
  <si>
    <t>Notes</t>
  </si>
  <si>
    <t>WA Allocation of System Energy</t>
  </si>
  <si>
    <t>Proxy Market (allocation to Load)</t>
  </si>
  <si>
    <t>Assumed to be the source of energy covering the gap between allocaiton and load</t>
  </si>
  <si>
    <t>WA Non-emitting (MWh)</t>
  </si>
  <si>
    <t>Total CETA compliant</t>
  </si>
  <si>
    <t>Alt Compliance</t>
  </si>
  <si>
    <t>% shortfall from 80% bundled target</t>
  </si>
  <si>
    <t>MWh Shortfall / (Long Position)</t>
  </si>
  <si>
    <t>Capacity shortfall / (Long Position)</t>
  </si>
  <si>
    <t xml:space="preserve"> -----------------------------------------------------------------------------  Input data below ----------------------------------------------------------------------------</t>
  </si>
  <si>
    <t>Extrapolating on 2030 to 2040</t>
  </si>
  <si>
    <t>Extrapolating on 2021 to 2040</t>
  </si>
  <si>
    <t>existing and new proxy resources</t>
  </si>
  <si>
    <t>CETA compliant energy as % of WA Load: annual compliance period</t>
  </si>
  <si>
    <t>2022-2030 Interim Targets for 100% GHG Neutrality</t>
  </si>
  <si>
    <t>2031-2045 Interim Targets for 100% Renewable energy</t>
  </si>
  <si>
    <t>Interim Targets</t>
  </si>
  <si>
    <t>Extrapolated Targets</t>
  </si>
  <si>
    <t>Targets through IRP Horizon</t>
  </si>
  <si>
    <t>Neutrality Targets through 2030</t>
  </si>
  <si>
    <t>Coal</t>
  </si>
  <si>
    <t>Contract</t>
  </si>
  <si>
    <t>Contract Exchange</t>
  </si>
  <si>
    <t>Contract Interruptible</t>
  </si>
  <si>
    <t>Contract NonOwned Reserve</t>
  </si>
  <si>
    <t>Contracts Small QF</t>
  </si>
  <si>
    <t>Gas</t>
  </si>
  <si>
    <t>Geothermal</t>
  </si>
  <si>
    <t>Hydro</t>
  </si>
  <si>
    <t>New Hydro Storage</t>
  </si>
  <si>
    <t>New Non-emitting Peaking</t>
  </si>
  <si>
    <t>New Nuclear</t>
  </si>
  <si>
    <t>New Solar, Solar + Storage</t>
  </si>
  <si>
    <t>New Wind, Wind + Storage</t>
  </si>
  <si>
    <t>Solar</t>
  </si>
  <si>
    <t>Wind</t>
  </si>
  <si>
    <t>Total (Generation, no storage)</t>
  </si>
  <si>
    <t>Batteries</t>
  </si>
  <si>
    <t>New Nuclear Storage</t>
  </si>
  <si>
    <t>New PVS Batteries</t>
  </si>
  <si>
    <t>New Stand Alone</t>
  </si>
  <si>
    <t>Total (only storage)</t>
  </si>
  <si>
    <t>Grand Total</t>
  </si>
  <si>
    <t>Shortfall from load</t>
  </si>
  <si>
    <t>Assumed to be filled with Market Purchases</t>
  </si>
  <si>
    <t>Washington Retail Sales</t>
  </si>
  <si>
    <t>% of Retail Sales</t>
  </si>
  <si>
    <t>% of Retail Sales wt Alt Compliance</t>
  </si>
  <si>
    <t>Retail Electric Sales</t>
  </si>
  <si>
    <t>Projected Renewable and Nonemitting Energy</t>
  </si>
  <si>
    <t>Net Retail Sales</t>
  </si>
  <si>
    <t>Total</t>
  </si>
  <si>
    <t xml:space="preserve">Target Percentage      </t>
  </si>
  <si>
    <t>Interim Compliance Target</t>
  </si>
  <si>
    <t>Table 1.1 -- Interim Compliance Targets (MWh)</t>
  </si>
  <si>
    <t>includes nuclear and nonemitting peakers</t>
  </si>
  <si>
    <t>WA Renewable Resource Generation (MWh)</t>
  </si>
  <si>
    <t>includes wind, solar, and hydro less voluntary resources</t>
  </si>
  <si>
    <t>Generation Category</t>
  </si>
  <si>
    <t>Voluntary RECs (don't 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</si>
</sst>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wrapText="1"/>
    </xf>
    <xf numFmtId="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/>
    <xf numFmtId="9" fontId="2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982CB"/>
      <color rgb="FF70B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System Energy to WA</a:t>
            </a:r>
          </a:p>
          <a:p>
            <a:pPr>
              <a:defRPr/>
            </a:pPr>
            <a:r>
              <a:rPr lang="en-US"/>
              <a:t>extrapolated</a:t>
            </a:r>
            <a:r>
              <a:rPr lang="en-US" baseline="0"/>
              <a:t> 2030 - 2040 position</a:t>
            </a:r>
            <a:endParaRPr lang="en-US"/>
          </a:p>
        </c:rich>
      </c:tx>
      <c:layout>
        <c:manualLayout>
          <c:xMode val="edge"/>
          <c:yMode val="edge"/>
          <c:x val="0.25768557856025387"/>
          <c:y val="2.26290434566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CETA Compliant System Energy to WA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Summary'!$D$2:$AB$2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'WA CETA Summary'!$D$11:$AB$11</c:f>
              <c:numCache>
                <c:formatCode>0%</c:formatCode>
                <c:ptCount val="25"/>
                <c:pt idx="0">
                  <c:v>0.3061357519932531</c:v>
                </c:pt>
                <c:pt idx="1">
                  <c:v>0.31320550843751943</c:v>
                </c:pt>
                <c:pt idx="2">
                  <c:v>0.2943377334022575</c:v>
                </c:pt>
                <c:pt idx="3">
                  <c:v>0.34836355141125691</c:v>
                </c:pt>
                <c:pt idx="4">
                  <c:v>0.57737225720005148</c:v>
                </c:pt>
                <c:pt idx="5">
                  <c:v>0.66052128991354864</c:v>
                </c:pt>
                <c:pt idx="6">
                  <c:v>0.6630061783121769</c:v>
                </c:pt>
                <c:pt idx="7">
                  <c:v>0.74088912347837055</c:v>
                </c:pt>
                <c:pt idx="8">
                  <c:v>0.96005243688400776</c:v>
                </c:pt>
                <c:pt idx="9">
                  <c:v>0.96684032826374566</c:v>
                </c:pt>
                <c:pt idx="10">
                  <c:v>0.98495246758396848</c:v>
                </c:pt>
                <c:pt idx="11">
                  <c:v>1.0320221509419312</c:v>
                </c:pt>
                <c:pt idx="12">
                  <c:v>1.0290349999892952</c:v>
                </c:pt>
                <c:pt idx="13">
                  <c:v>1.024528747807212</c:v>
                </c:pt>
                <c:pt idx="14">
                  <c:v>1.0174940473253191</c:v>
                </c:pt>
                <c:pt idx="15">
                  <c:v>1.0045184693814924</c:v>
                </c:pt>
                <c:pt idx="16">
                  <c:v>1.0118412604136549</c:v>
                </c:pt>
                <c:pt idx="17">
                  <c:v>1.094213089846485</c:v>
                </c:pt>
                <c:pt idx="18">
                  <c:v>1.0920452746151592</c:v>
                </c:pt>
                <c:pt idx="19">
                  <c:v>1.0898509152754032</c:v>
                </c:pt>
                <c:pt idx="20">
                  <c:v>1.0945976494816341</c:v>
                </c:pt>
                <c:pt idx="21">
                  <c:v>1.1046993269098904</c:v>
                </c:pt>
                <c:pt idx="22">
                  <c:v>1.1147110845959716</c:v>
                </c:pt>
                <c:pt idx="23">
                  <c:v>1.1246341178462331</c:v>
                </c:pt>
                <c:pt idx="24">
                  <c:v>1.1344696008748234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4-480A-956D-49AA2441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System Energy to WA</a:t>
            </a:r>
          </a:p>
          <a:p>
            <a:pPr>
              <a:defRPr/>
            </a:pPr>
            <a:r>
              <a:rPr lang="en-US"/>
              <a:t>extrapolated</a:t>
            </a:r>
            <a:r>
              <a:rPr lang="en-US" baseline="0"/>
              <a:t> 2021 - 2040 position</a:t>
            </a:r>
            <a:endParaRPr lang="en-US"/>
          </a:p>
        </c:rich>
      </c:tx>
      <c:layout>
        <c:manualLayout>
          <c:xMode val="edge"/>
          <c:yMode val="edge"/>
          <c:x val="0.25768557856025387"/>
          <c:y val="2.26290434566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CETA Compliant System Energy to WA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Summary'!$D$2:$AB$2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('WA CETA Summary'!$D$11:$W$11,'WA CETA Summary'!$AF$11:$AJ$11)</c:f>
              <c:numCache>
                <c:formatCode>0%</c:formatCode>
                <c:ptCount val="25"/>
                <c:pt idx="0">
                  <c:v>0.3061357519932531</c:v>
                </c:pt>
                <c:pt idx="1">
                  <c:v>0.31320550843751943</c:v>
                </c:pt>
                <c:pt idx="2">
                  <c:v>0.2943377334022575</c:v>
                </c:pt>
                <c:pt idx="3">
                  <c:v>0.34836355141125691</c:v>
                </c:pt>
                <c:pt idx="4">
                  <c:v>0.57737225720005148</c:v>
                </c:pt>
                <c:pt idx="5">
                  <c:v>0.66052128991354864</c:v>
                </c:pt>
                <c:pt idx="6">
                  <c:v>0.6630061783121769</c:v>
                </c:pt>
                <c:pt idx="7">
                  <c:v>0.74088912347837055</c:v>
                </c:pt>
                <c:pt idx="8">
                  <c:v>0.96005243688400776</c:v>
                </c:pt>
                <c:pt idx="9">
                  <c:v>0.96684032826374566</c:v>
                </c:pt>
                <c:pt idx="10">
                  <c:v>0.98495246758396848</c:v>
                </c:pt>
                <c:pt idx="11">
                  <c:v>1.0320221509419312</c:v>
                </c:pt>
                <c:pt idx="12">
                  <c:v>1.0290349999892952</c:v>
                </c:pt>
                <c:pt idx="13">
                  <c:v>1.024528747807212</c:v>
                </c:pt>
                <c:pt idx="14">
                  <c:v>1.0174940473253191</c:v>
                </c:pt>
                <c:pt idx="15">
                  <c:v>1.0045184693814924</c:v>
                </c:pt>
                <c:pt idx="16">
                  <c:v>1.0118412604136549</c:v>
                </c:pt>
                <c:pt idx="17">
                  <c:v>1.094213089846485</c:v>
                </c:pt>
                <c:pt idx="18">
                  <c:v>1.0920452746151592</c:v>
                </c:pt>
                <c:pt idx="19">
                  <c:v>1.0898509152754032</c:v>
                </c:pt>
                <c:pt idx="20">
                  <c:v>1.2901533442381503</c:v>
                </c:pt>
                <c:pt idx="21">
                  <c:v>1.3353690491732957</c:v>
                </c:pt>
                <c:pt idx="22">
                  <c:v>1.3805064808638405</c:v>
                </c:pt>
                <c:pt idx="23">
                  <c:v>1.4255658423831095</c:v>
                </c:pt>
                <c:pt idx="24">
                  <c:v>1.4705473361025652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F-442E-AEFA-FA002B8A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</a:t>
            </a:r>
            <a:r>
              <a:rPr lang="en-US" baseline="0"/>
              <a:t> to Achieve GHG Neutrality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Summary'!$E$2:$M$2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Summary'!$E$11:$M$11</c:f>
              <c:numCache>
                <c:formatCode>0%</c:formatCode>
                <c:ptCount val="9"/>
                <c:pt idx="0">
                  <c:v>0.31320550843751943</c:v>
                </c:pt>
                <c:pt idx="1">
                  <c:v>0.2943377334022575</c:v>
                </c:pt>
                <c:pt idx="2">
                  <c:v>0.34836355141125691</c:v>
                </c:pt>
                <c:pt idx="3">
                  <c:v>0.57737225720005148</c:v>
                </c:pt>
                <c:pt idx="4">
                  <c:v>0.66052128991354864</c:v>
                </c:pt>
                <c:pt idx="5">
                  <c:v>0.6630061783121769</c:v>
                </c:pt>
                <c:pt idx="6">
                  <c:v>0.74088912347837055</c:v>
                </c:pt>
                <c:pt idx="7">
                  <c:v>0.96005243688400776</c:v>
                </c:pt>
                <c:pt idx="8">
                  <c:v>0.96684032826374566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5-4FC3-8AE8-94EF31DAC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 to Achieve 100%</a:t>
            </a:r>
            <a:r>
              <a:rPr lang="en-US" baseline="0"/>
              <a:t> Renewble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Summary'!$N$2:$AB$2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Summary'!$N$11:$AB$11</c:f>
              <c:numCache>
                <c:formatCode>0%</c:formatCode>
                <c:ptCount val="15"/>
                <c:pt idx="0">
                  <c:v>0.98495246758396848</c:v>
                </c:pt>
                <c:pt idx="1">
                  <c:v>1.0320221509419312</c:v>
                </c:pt>
                <c:pt idx="2">
                  <c:v>1.0290349999892952</c:v>
                </c:pt>
                <c:pt idx="3">
                  <c:v>1.024528747807212</c:v>
                </c:pt>
                <c:pt idx="4">
                  <c:v>1.0174940473253191</c:v>
                </c:pt>
                <c:pt idx="5">
                  <c:v>1.0045184693814924</c:v>
                </c:pt>
                <c:pt idx="6">
                  <c:v>1.0118412604136549</c:v>
                </c:pt>
                <c:pt idx="7">
                  <c:v>1.094213089846485</c:v>
                </c:pt>
                <c:pt idx="8">
                  <c:v>1.0920452746151592</c:v>
                </c:pt>
                <c:pt idx="9">
                  <c:v>1.0898509152754032</c:v>
                </c:pt>
                <c:pt idx="10">
                  <c:v>1.0945976494816341</c:v>
                </c:pt>
                <c:pt idx="11">
                  <c:v>1.1046993269098904</c:v>
                </c:pt>
                <c:pt idx="12">
                  <c:v>1.1147110845959716</c:v>
                </c:pt>
                <c:pt idx="13">
                  <c:v>1.1246341178462331</c:v>
                </c:pt>
                <c:pt idx="14">
                  <c:v>1.1344696008748234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730-9DBA-2CEABF6F2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GHG Neutrality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45168631377726"/>
          <c:y val="0.16353741496598642"/>
          <c:w val="0.74115910366695492"/>
          <c:h val="0.73517143690372033"/>
        </c:manualLayout>
      </c:layout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rgbClr val="70B4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Summary'!$E$2:$M$2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Summary'!$E$11:$M$11</c:f>
              <c:numCache>
                <c:formatCode>0%</c:formatCode>
                <c:ptCount val="9"/>
                <c:pt idx="0">
                  <c:v>0.31320550843751943</c:v>
                </c:pt>
                <c:pt idx="1">
                  <c:v>0.2943377334022575</c:v>
                </c:pt>
                <c:pt idx="2">
                  <c:v>0.34836355141125691</c:v>
                </c:pt>
                <c:pt idx="3">
                  <c:v>0.57737225720005148</c:v>
                </c:pt>
                <c:pt idx="4">
                  <c:v>0.66052128991354864</c:v>
                </c:pt>
                <c:pt idx="5">
                  <c:v>0.6630061783121769</c:v>
                </c:pt>
                <c:pt idx="6">
                  <c:v>0.74088912347837055</c:v>
                </c:pt>
                <c:pt idx="7">
                  <c:v>0.96005243688400776</c:v>
                </c:pt>
                <c:pt idx="8">
                  <c:v>0.96684032826374566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0-4381-9C74-75F166F780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Clean Energy / Net Reetail Sales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Non-emitting or Renewable 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420229405630868E-3"/>
          <c:y val="0.16532314413079319"/>
          <c:w val="0.96871741397288846"/>
          <c:h val="0.73354997292005164"/>
        </c:manualLayout>
      </c:layout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rgbClr val="5982CB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C3-42B7-B72D-91E1AFD9A6D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C3-42B7-B72D-91E1AFD9A6D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C3-42B7-B72D-91E1AFD9A6D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C3-42B7-B72D-91E1AFD9A6D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C3-42B7-B72D-91E1AFD9A6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Summary'!$N$2:$AB$2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Summary'!$N$11:$AB$11</c:f>
              <c:numCache>
                <c:formatCode>0%</c:formatCode>
                <c:ptCount val="15"/>
                <c:pt idx="0">
                  <c:v>0.98495246758396848</c:v>
                </c:pt>
                <c:pt idx="1">
                  <c:v>1.0320221509419312</c:v>
                </c:pt>
                <c:pt idx="2">
                  <c:v>1.0290349999892952</c:v>
                </c:pt>
                <c:pt idx="3">
                  <c:v>1.024528747807212</c:v>
                </c:pt>
                <c:pt idx="4">
                  <c:v>1.0174940473253191</c:v>
                </c:pt>
                <c:pt idx="5">
                  <c:v>1.0045184693814924</c:v>
                </c:pt>
                <c:pt idx="6">
                  <c:v>1.0118412604136549</c:v>
                </c:pt>
                <c:pt idx="7">
                  <c:v>1.094213089846485</c:v>
                </c:pt>
                <c:pt idx="8">
                  <c:v>1.0920452746151592</c:v>
                </c:pt>
                <c:pt idx="9">
                  <c:v>1.0898509152754032</c:v>
                </c:pt>
                <c:pt idx="10">
                  <c:v>1.0945976494816341</c:v>
                </c:pt>
                <c:pt idx="11">
                  <c:v>1.1046993269098904</c:v>
                </c:pt>
                <c:pt idx="12">
                  <c:v>1.1147110845959716</c:v>
                </c:pt>
                <c:pt idx="13">
                  <c:v>1.1246341178462331</c:v>
                </c:pt>
                <c:pt idx="14">
                  <c:v>1.1344696008748234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3-42B7-B72D-91E1AFD9A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2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413810</xdr:colOff>
      <xdr:row>17</xdr:row>
      <xdr:rowOff>0</xdr:rowOff>
    </xdr:from>
    <xdr:to>
      <xdr:col>31</xdr:col>
      <xdr:colOff>639763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C78EC-6603-469A-93E6-75CDF439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47626</xdr:colOff>
      <xdr:row>17</xdr:row>
      <xdr:rowOff>0</xdr:rowOff>
    </xdr:from>
    <xdr:to>
      <xdr:col>39</xdr:col>
      <xdr:colOff>166423</xdr:colOff>
      <xdr:row>33</xdr:row>
      <xdr:rowOff>43128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46D7A8-892D-4AD6-805C-DC5088976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0</xdr:rowOff>
    </xdr:from>
    <xdr:to>
      <xdr:col>10</xdr:col>
      <xdr:colOff>600076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463B9-E73A-4075-900A-DEC736FA2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3</xdr:row>
      <xdr:rowOff>9525</xdr:rowOff>
    </xdr:from>
    <xdr:to>
      <xdr:col>20</xdr:col>
      <xdr:colOff>590550</xdr:colOff>
      <xdr:row>19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52BE0-AC4C-490A-973D-BFD6C010A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258532</xdr:colOff>
      <xdr:row>25</xdr:row>
      <xdr:rowOff>27214</xdr:rowOff>
    </xdr:from>
    <xdr:to>
      <xdr:col>11</xdr:col>
      <xdr:colOff>367390</xdr:colOff>
      <xdr:row>50</xdr:row>
      <xdr:rowOff>40821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43849-16D2-4F1A-9E5E-B22BC58F3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272140</xdr:colOff>
      <xdr:row>25</xdr:row>
      <xdr:rowOff>13607</xdr:rowOff>
    </xdr:from>
    <xdr:to>
      <xdr:col>20</xdr:col>
      <xdr:colOff>435426</xdr:colOff>
      <xdr:row>50</xdr:row>
      <xdr:rowOff>40821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D0F5AC-E319-4358-B05F-02F21A639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258532</xdr:colOff>
      <xdr:row>24</xdr:row>
      <xdr:rowOff>171449</xdr:rowOff>
    </xdr:from>
    <xdr:to>
      <xdr:col>20</xdr:col>
      <xdr:colOff>530674</xdr:colOff>
      <xdr:row>52</xdr:row>
      <xdr:rowOff>163284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208B3B0C-3232-45AE-84EA-CA246F2B96E2}"/>
            </a:ext>
          </a:extLst>
        </xdr:cNvPr>
        <xdr:cNvSpPr/>
      </xdr:nvSpPr>
      <xdr:spPr>
        <a:xfrm>
          <a:off x="2707818" y="4811485"/>
          <a:ext cx="10069285" cy="5325835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231319</xdr:colOff>
      <xdr:row>29</xdr:row>
      <xdr:rowOff>68035</xdr:rowOff>
    </xdr:from>
    <xdr:to>
      <xdr:col>11</xdr:col>
      <xdr:colOff>234044</xdr:colOff>
      <xdr:row>49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A8D69F-4313-4ECD-911F-B01DC4039DAC}"/>
            </a:ext>
          </a:extLst>
        </xdr:cNvPr>
        <xdr:cNvCxnSpPr/>
      </xdr:nvCxnSpPr>
      <xdr:spPr>
        <a:xfrm>
          <a:off x="6966855" y="5660571"/>
          <a:ext cx="2725" cy="3875315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393246</xdr:colOff>
      <xdr:row>50</xdr:row>
      <xdr:rowOff>159204</xdr:rowOff>
    </xdr:from>
    <xdr:to>
      <xdr:col>7</xdr:col>
      <xdr:colOff>593271</xdr:colOff>
      <xdr:row>51</xdr:row>
      <xdr:rowOff>168729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8A9C8B-8344-454C-8C3F-37BBB3C03BF7}"/>
            </a:ext>
          </a:extLst>
        </xdr:cNvPr>
        <xdr:cNvSpPr/>
      </xdr:nvSpPr>
      <xdr:spPr>
        <a:xfrm>
          <a:off x="3454853" y="9180740"/>
          <a:ext cx="200025" cy="200025"/>
        </a:xfrm>
        <a:prstGeom prst="rect">
          <a:avLst/>
        </a:prstGeom>
        <a:solidFill>
          <a:srgbClr val="70B4D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381000</xdr:colOff>
      <xdr:row>51</xdr:row>
      <xdr:rowOff>0</xdr:rowOff>
    </xdr:from>
    <xdr:to>
      <xdr:col>11</xdr:col>
      <xdr:colOff>581025</xdr:colOff>
      <xdr:row>52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AAAE6D3-07B3-4543-83BF-E0F4CBF9A0D4}"/>
            </a:ext>
          </a:extLst>
        </xdr:cNvPr>
        <xdr:cNvSpPr/>
      </xdr:nvSpPr>
      <xdr:spPr>
        <a:xfrm>
          <a:off x="5867400" y="9201150"/>
          <a:ext cx="200025" cy="200025"/>
        </a:xfrm>
        <a:prstGeom prst="rect">
          <a:avLst/>
        </a:prstGeom>
        <a:solidFill>
          <a:srgbClr val="5982C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361950</xdr:colOff>
      <xdr:row>51</xdr:row>
      <xdr:rowOff>9525</xdr:rowOff>
    </xdr:from>
    <xdr:to>
      <xdr:col>15</xdr:col>
      <xdr:colOff>561975</xdr:colOff>
      <xdr:row>52</xdr:row>
      <xdr:rowOff>19050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C258918-D70A-4DD7-85BF-A600631854A1}"/>
            </a:ext>
          </a:extLst>
        </xdr:cNvPr>
        <xdr:cNvSpPr/>
      </xdr:nvSpPr>
      <xdr:spPr>
        <a:xfrm>
          <a:off x="8286750" y="9210675"/>
          <a:ext cx="200025" cy="20002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149676</xdr:colOff>
      <xdr:row>28</xdr:row>
      <xdr:rowOff>40821</xdr:rowOff>
    </xdr:from>
    <xdr:to>
      <xdr:col>20</xdr:col>
      <xdr:colOff>231320</xdr:colOff>
      <xdr:row>28</xdr:row>
      <xdr:rowOff>81643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1A19D4B-A962-4E8C-BB72-9CBA48B0BB12}"/>
            </a:ext>
          </a:extLst>
        </xdr:cNvPr>
        <xdr:cNvCxnSpPr/>
      </xdr:nvCxnSpPr>
      <xdr:spPr>
        <a:xfrm flipH="1">
          <a:off x="7497533" y="5442857"/>
          <a:ext cx="4980216" cy="40822"/>
        </a:xfrm>
        <a:prstGeom prst="line">
          <a:avLst/>
        </a:prstGeom>
        <a:ln w="412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408211</xdr:colOff>
      <xdr:row>27</xdr:row>
      <xdr:rowOff>163286</xdr:rowOff>
    </xdr:from>
    <xdr:to>
      <xdr:col>17</xdr:col>
      <xdr:colOff>235404</xdr:colOff>
      <xdr:row>28</xdr:row>
      <xdr:rowOff>149679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8DC95C-4F8C-4951-B4E4-9DF53B3F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93032" y="5374822"/>
          <a:ext cx="1058186" cy="176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7981765C" TargetMode="External"/><Relationship Id="rId1" Type="http://schemas.openxmlformats.org/officeDocument/2006/relationships/externalLinkPath" Target="file:///\\7981765C\Final%20Indicative%20Portfolio%20-%20Plexos%20Portfolio%20-%203112%20-%20_LT%2021IRP%2020yr%20-%20P02-MMR%20(CO,NG)%20Intl%20UT+WY%20EOL%20-%20%20MTST%20Modified%20(0618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75AF-03B2-41B4-A1F2-EF2D6F1A1337}">
  <sheetPr codeName="Sheet1"/>
  <dimension ref="A1:AJ80"/>
  <sheetViews>
    <sheetView tabSelected="1" topLeftCell="C1" zoomScaleNormal="100" workbookViewId="0">
      <selection activeCell="B55" sqref="B55"/>
    </sheetView>
  </sheetViews>
  <sheetFormatPr defaultColWidth="9.1796875" defaultRowHeight="14" x14ac:dyDescent="0.3"/>
  <cols>
    <col min="1" max="1" width="4.1796875" style="3" customWidth="1"/>
    <col min="2" max="2" width="80.54296875" style="3" bestFit="1" customWidth="1"/>
    <col min="3" max="3" width="108.1796875" style="3" bestFit="1" customWidth="1"/>
    <col min="4" max="5" width="14.81640625" style="14" bestFit="1" customWidth="1"/>
    <col min="6" max="21" width="15" style="14" bestFit="1" customWidth="1"/>
    <col min="22" max="22" width="14.81640625" style="14" bestFit="1" customWidth="1"/>
    <col min="23" max="23" width="14.54296875" style="14" bestFit="1" customWidth="1"/>
    <col min="24" max="24" width="30" style="14" bestFit="1" customWidth="1"/>
    <col min="25" max="28" width="15" style="3" bestFit="1" customWidth="1"/>
    <col min="29" max="31" width="9.1796875" style="3"/>
    <col min="32" max="32" width="29.54296875" style="3" bestFit="1" customWidth="1"/>
    <col min="33" max="36" width="12.453125" style="3" bestFit="1" customWidth="1"/>
    <col min="37" max="16384" width="9.1796875" style="3"/>
  </cols>
  <sheetData>
    <row r="1" spans="2:36" x14ac:dyDescent="0.3">
      <c r="X1" s="14" t="s">
        <v>11</v>
      </c>
      <c r="AF1" s="3" t="s">
        <v>12</v>
      </c>
    </row>
    <row r="2" spans="2:36" x14ac:dyDescent="0.3">
      <c r="C2" s="3" t="s">
        <v>0</v>
      </c>
      <c r="D2" s="6">
        <v>2021</v>
      </c>
      <c r="E2" s="6">
        <v>2022</v>
      </c>
      <c r="F2" s="6">
        <v>2023</v>
      </c>
      <c r="G2" s="6">
        <v>2024</v>
      </c>
      <c r="H2" s="6">
        <v>2025</v>
      </c>
      <c r="I2" s="6">
        <v>2026</v>
      </c>
      <c r="J2" s="6">
        <v>2027</v>
      </c>
      <c r="K2" s="6">
        <v>2028</v>
      </c>
      <c r="L2" s="6">
        <v>2029</v>
      </c>
      <c r="M2" s="6">
        <v>2030</v>
      </c>
      <c r="N2" s="6">
        <v>2031</v>
      </c>
      <c r="O2" s="6">
        <v>2032</v>
      </c>
      <c r="P2" s="6">
        <v>2033</v>
      </c>
      <c r="Q2" s="6">
        <v>2034</v>
      </c>
      <c r="R2" s="6">
        <v>2035</v>
      </c>
      <c r="S2" s="6">
        <v>2036</v>
      </c>
      <c r="T2" s="6">
        <v>2037</v>
      </c>
      <c r="U2" s="6">
        <v>2038</v>
      </c>
      <c r="V2" s="6">
        <v>2039</v>
      </c>
      <c r="W2" s="6">
        <v>2040</v>
      </c>
      <c r="X2" s="6">
        <v>2041</v>
      </c>
      <c r="Y2" s="6">
        <v>2042</v>
      </c>
      <c r="Z2" s="6">
        <v>2043</v>
      </c>
      <c r="AA2" s="6">
        <v>2044</v>
      </c>
      <c r="AB2" s="6">
        <v>2045</v>
      </c>
      <c r="AF2" s="6">
        <v>2041</v>
      </c>
      <c r="AG2" s="6">
        <v>2042</v>
      </c>
      <c r="AH2" s="6">
        <v>2043</v>
      </c>
      <c r="AI2" s="6">
        <v>2044</v>
      </c>
      <c r="AJ2" s="6">
        <v>2045</v>
      </c>
    </row>
    <row r="3" spans="2:36" x14ac:dyDescent="0.3">
      <c r="B3" s="3" t="s">
        <v>46</v>
      </c>
      <c r="D3" s="7">
        <v>4007053.7225526078</v>
      </c>
      <c r="E3" s="7">
        <v>4111203.9651894025</v>
      </c>
      <c r="F3" s="7">
        <v>4097638.9518315271</v>
      </c>
      <c r="G3" s="7">
        <v>4085232.0439829654</v>
      </c>
      <c r="H3" s="7">
        <v>4053804.8458667598</v>
      </c>
      <c r="I3" s="7">
        <v>4034651.1031147367</v>
      </c>
      <c r="J3" s="7">
        <v>4018492.9311057478</v>
      </c>
      <c r="K3" s="7">
        <v>4016356.1675644736</v>
      </c>
      <c r="L3" s="7">
        <v>3996372.6672449298</v>
      </c>
      <c r="M3" s="7">
        <v>3990073.637679155</v>
      </c>
      <c r="N3" s="7">
        <v>3989077.3734431518</v>
      </c>
      <c r="O3" s="7">
        <v>4007256.2526096161</v>
      </c>
      <c r="P3" s="7">
        <v>4007377.0844081854</v>
      </c>
      <c r="Q3" s="7">
        <v>4022014.582532221</v>
      </c>
      <c r="R3" s="7">
        <v>4046556.217145348</v>
      </c>
      <c r="S3" s="7">
        <v>4105828.8733503143</v>
      </c>
      <c r="T3" s="7">
        <v>4115647.2523840689</v>
      </c>
      <c r="U3" s="7">
        <v>4126392.4766666577</v>
      </c>
      <c r="V3" s="7">
        <v>4134635.6218026862</v>
      </c>
      <c r="W3" s="7">
        <v>4154655.9361130954</v>
      </c>
      <c r="X3" s="8">
        <f>_xlfn.FORECAST.LINEAR(X$2,$M3:$W3,$M$2:$W$2)</f>
        <v>4176114.5435330719</v>
      </c>
      <c r="Y3" s="8">
        <f t="shared" ref="Y3:AB7" si="0">_xlfn.FORECAST.LINEAR(Y$2,$M3:$W3,$M$2:$W$2)</f>
        <v>4194868.2506653294</v>
      </c>
      <c r="Z3" s="8">
        <f t="shared" si="0"/>
        <v>4213621.9577975944</v>
      </c>
      <c r="AA3" s="8">
        <f t="shared" si="0"/>
        <v>4232375.6649298593</v>
      </c>
      <c r="AB3" s="8">
        <f t="shared" si="0"/>
        <v>4251129.3720621169</v>
      </c>
      <c r="AF3" s="5">
        <f>_xlfn.FORECAST.LINEAR(AF$2,$D3:$W3,$D$2:$W$2)</f>
        <v>4093281.6255910103</v>
      </c>
      <c r="AG3" s="5">
        <f t="shared" ref="AG3:AJ7" si="1">_xlfn.FORECAST.LINEAR(AG$2,$D3:$W3,$D$2:$W$2)</f>
        <v>4096830.7246635468</v>
      </c>
      <c r="AH3" s="5">
        <f t="shared" si="1"/>
        <v>4100379.8237360823</v>
      </c>
      <c r="AI3" s="5">
        <f t="shared" si="1"/>
        <v>4103928.9228086188</v>
      </c>
      <c r="AJ3" s="5">
        <f t="shared" si="1"/>
        <v>4107478.0218811543</v>
      </c>
    </row>
    <row r="4" spans="2:36" ht="42.75" customHeight="1" x14ac:dyDescent="0.3">
      <c r="B4" s="3" t="s">
        <v>1</v>
      </c>
      <c r="C4" s="1" t="s">
        <v>13</v>
      </c>
      <c r="D4" s="7">
        <v>3821006.6799487993</v>
      </c>
      <c r="E4" s="7">
        <v>4112152.4183727</v>
      </c>
      <c r="F4" s="7">
        <v>3746194.5260418868</v>
      </c>
      <c r="G4" s="7">
        <v>4231868.4413296282</v>
      </c>
      <c r="H4" s="7">
        <v>5296519.5827187551</v>
      </c>
      <c r="I4" s="7">
        <v>5377996.4192646798</v>
      </c>
      <c r="J4" s="7">
        <v>5192978.6849846244</v>
      </c>
      <c r="K4" s="7">
        <v>5659378.2749618748</v>
      </c>
      <c r="L4" s="7">
        <v>6796186.9016348869</v>
      </c>
      <c r="M4" s="7">
        <v>6580982.1559775909</v>
      </c>
      <c r="N4" s="7">
        <v>6873597.4655693667</v>
      </c>
      <c r="O4" s="7">
        <v>7242067.6267556073</v>
      </c>
      <c r="P4" s="7">
        <v>7261985.7366106147</v>
      </c>
      <c r="Q4" s="7">
        <v>7365202.6258950531</v>
      </c>
      <c r="R4" s="7">
        <v>7565906.711860884</v>
      </c>
      <c r="S4" s="7">
        <v>7451283.6893838728</v>
      </c>
      <c r="T4" s="7">
        <v>7827224.5639963429</v>
      </c>
      <c r="U4" s="7">
        <v>7968607.8896780396</v>
      </c>
      <c r="V4" s="7">
        <v>7975908.037796488</v>
      </c>
      <c r="W4" s="7">
        <v>8017624.2609903961</v>
      </c>
      <c r="X4" s="5">
        <f>_xlfn.FORECAST.LINEAR(X$2,$M4:$W4,$M$2:$W$2)</f>
        <v>8283960.9233740568</v>
      </c>
      <c r="Y4" s="5">
        <f>_xlfn.FORECAST.LINEAR(Y$2,$M4:$W4,$M$2:$W$2)</f>
        <v>8420221.2172012925</v>
      </c>
      <c r="Z4" s="5">
        <f>_xlfn.FORECAST.LINEAR(Z$2,$M4:$W4,$M$2:$W$2)</f>
        <v>8556481.5110285878</v>
      </c>
      <c r="AA4" s="5">
        <f t="shared" si="0"/>
        <v>8692741.8048558235</v>
      </c>
      <c r="AB4" s="5">
        <f>_xlfn.FORECAST.LINEAR(AB$2,$M4:$W4,$M$2:$W$2)</f>
        <v>8829002.0986831188</v>
      </c>
      <c r="AF4" s="5">
        <f>_xlfn.FORECAST.LINEAR(AF$2,$D4:$W4,$D$2:$W$2)</f>
        <v>8874058.9226264358</v>
      </c>
      <c r="AG4" s="5">
        <f t="shared" si="1"/>
        <v>9117470.8548109531</v>
      </c>
      <c r="AH4" s="5">
        <f t="shared" si="1"/>
        <v>9360882.7869955301</v>
      </c>
      <c r="AI4" s="5">
        <f t="shared" si="1"/>
        <v>9604294.7191801071</v>
      </c>
      <c r="AJ4" s="5">
        <f>_xlfn.FORECAST.LINEAR(AJ$2,$D4:$W4,$D$2:$W$2)</f>
        <v>9847706.6513646245</v>
      </c>
    </row>
    <row r="5" spans="2:36" x14ac:dyDescent="0.3">
      <c r="B5" s="3" t="s">
        <v>2</v>
      </c>
      <c r="C5" s="3" t="s">
        <v>3</v>
      </c>
      <c r="D5" s="7">
        <v>186047.04260380846</v>
      </c>
      <c r="E5" s="7">
        <v>0</v>
      </c>
      <c r="F5" s="7">
        <v>351444.42578964029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5"/>
      <c r="Y5" s="5"/>
      <c r="Z5" s="5"/>
      <c r="AA5" s="5"/>
      <c r="AB5" s="5"/>
      <c r="AF5" s="5"/>
      <c r="AG5" s="5"/>
      <c r="AH5" s="5"/>
      <c r="AI5" s="5"/>
      <c r="AJ5" s="5"/>
    </row>
    <row r="6" spans="2:36" x14ac:dyDescent="0.3">
      <c r="B6" s="3" t="s">
        <v>4</v>
      </c>
      <c r="C6" s="1" t="s">
        <v>56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209380.04782693752</v>
      </c>
      <c r="L6" s="7">
        <v>208762.40756786094</v>
      </c>
      <c r="M6" s="7">
        <v>208762.40756786094</v>
      </c>
      <c r="N6" s="7">
        <v>208762.40756786094</v>
      </c>
      <c r="O6" s="7">
        <v>209380.04782693752</v>
      </c>
      <c r="P6" s="7">
        <v>208762.40756786094</v>
      </c>
      <c r="Q6" s="7">
        <v>208428.22926509249</v>
      </c>
      <c r="R6" s="7">
        <v>208465.09724679374</v>
      </c>
      <c r="S6" s="7">
        <v>209336.42224802455</v>
      </c>
      <c r="T6" s="7">
        <v>208769.64717060223</v>
      </c>
      <c r="U6" s="7">
        <v>487807.37673393684</v>
      </c>
      <c r="V6" s="7">
        <v>487524.57515089511</v>
      </c>
      <c r="W6" s="7">
        <v>488118.00044567458</v>
      </c>
      <c r="X6" s="5">
        <f>_xlfn.FORECAST.LINEAR(X$2,$M6:$W6,$M$2:$W$2)</f>
        <v>467539.58136090636</v>
      </c>
      <c r="Y6" s="5">
        <f t="shared" si="0"/>
        <v>497976.22948481888</v>
      </c>
      <c r="Z6" s="5">
        <f t="shared" si="0"/>
        <v>528412.87760873884</v>
      </c>
      <c r="AA6" s="5">
        <f t="shared" si="0"/>
        <v>558849.52573265135</v>
      </c>
      <c r="AB6" s="5">
        <f t="shared" si="0"/>
        <v>589286.17385656387</v>
      </c>
      <c r="AF6" s="5">
        <f>_xlfn.FORECAST.LINEAR(AF$2,$D6:$W6,$D$2:$W$2)</f>
        <v>439954.46445574611</v>
      </c>
      <c r="AG6" s="5">
        <f t="shared" si="1"/>
        <v>464939.37024112046</v>
      </c>
      <c r="AH6" s="5">
        <f t="shared" si="1"/>
        <v>489924.2760264948</v>
      </c>
      <c r="AI6" s="5">
        <f t="shared" si="1"/>
        <v>514909.18181186169</v>
      </c>
      <c r="AJ6" s="5">
        <f t="shared" si="1"/>
        <v>539894.08759723604</v>
      </c>
    </row>
    <row r="7" spans="2:36" x14ac:dyDescent="0.3">
      <c r="B7" s="3" t="s">
        <v>57</v>
      </c>
      <c r="C7" s="3" t="s">
        <v>58</v>
      </c>
      <c r="D7" s="7">
        <v>1226702.4046310068</v>
      </c>
      <c r="E7" s="7">
        <v>1287651.7282074927</v>
      </c>
      <c r="F7" s="7">
        <v>1206089.7613828939</v>
      </c>
      <c r="G7" s="7">
        <v>1423145.9431809739</v>
      </c>
      <c r="H7" s="7">
        <v>2340554.4541065977</v>
      </c>
      <c r="I7" s="7">
        <v>2664972.9509804677</v>
      </c>
      <c r="J7" s="7">
        <v>2664285.64082692</v>
      </c>
      <c r="K7" s="7">
        <v>2766294.5527368528</v>
      </c>
      <c r="L7" s="7">
        <v>3627964.9103172757</v>
      </c>
      <c r="M7" s="7">
        <v>3649001.6980823711</v>
      </c>
      <c r="N7" s="7">
        <v>3720289.194788347</v>
      </c>
      <c r="O7" s="7">
        <v>3926197.1693667411</v>
      </c>
      <c r="P7" s="7">
        <v>3914968.8704432175</v>
      </c>
      <c r="Q7" s="7">
        <v>3912241.3346389909</v>
      </c>
      <c r="R7" s="7">
        <v>3908881.7658658591</v>
      </c>
      <c r="S7" s="7">
        <v>3915044.5131521705</v>
      </c>
      <c r="T7" s="7">
        <v>3955612.0560996891</v>
      </c>
      <c r="U7" s="7">
        <v>4027345.285078777</v>
      </c>
      <c r="V7" s="7">
        <v>4027684.7178942389</v>
      </c>
      <c r="W7" s="7">
        <v>4039837.5741815693</v>
      </c>
      <c r="X7" s="5">
        <f>_xlfn.FORECAST.LINEAR(X$2,$M7:$W7,$M$2:$W$2)</f>
        <v>4103625.5819564611</v>
      </c>
      <c r="Y7" s="5">
        <f t="shared" si="0"/>
        <v>4136091.9035008401</v>
      </c>
      <c r="Z7" s="5">
        <f t="shared" si="0"/>
        <v>4168558.2250452191</v>
      </c>
      <c r="AA7" s="5">
        <f t="shared" si="0"/>
        <v>4201024.5465896055</v>
      </c>
      <c r="AB7" s="5">
        <f t="shared" si="0"/>
        <v>4233490.8681339845</v>
      </c>
      <c r="AF7" s="5">
        <f>_xlfn.FORECAST.LINEAR(AF$2,$D7:$W7,$D$2:$W$2)</f>
        <v>4841006.5137090683</v>
      </c>
      <c r="AG7" s="5">
        <f t="shared" si="1"/>
        <v>5005841.5791767836</v>
      </c>
      <c r="AH7" s="5">
        <f t="shared" si="1"/>
        <v>5170676.6446444988</v>
      </c>
      <c r="AI7" s="5">
        <f t="shared" si="1"/>
        <v>5335511.7101122141</v>
      </c>
      <c r="AJ7" s="5">
        <f t="shared" si="1"/>
        <v>5500346.7755799294</v>
      </c>
    </row>
    <row r="8" spans="2:36" s="9" customFormat="1" x14ac:dyDescent="0.3">
      <c r="B8" s="9" t="s">
        <v>5</v>
      </c>
      <c r="D8" s="10">
        <f>D7+D6</f>
        <v>1226702.4046310068</v>
      </c>
      <c r="E8" s="10">
        <f t="shared" ref="E8:W8" si="2">E7+E6</f>
        <v>1287651.7282074927</v>
      </c>
      <c r="F8" s="10">
        <f t="shared" si="2"/>
        <v>1206089.7613828939</v>
      </c>
      <c r="G8" s="10">
        <f t="shared" si="2"/>
        <v>1423145.9431809739</v>
      </c>
      <c r="H8" s="10">
        <f t="shared" si="2"/>
        <v>2340554.4541065977</v>
      </c>
      <c r="I8" s="10">
        <f t="shared" si="2"/>
        <v>2664972.9509804677</v>
      </c>
      <c r="J8" s="10">
        <f t="shared" si="2"/>
        <v>2664285.64082692</v>
      </c>
      <c r="K8" s="10">
        <f t="shared" si="2"/>
        <v>2975674.6005637902</v>
      </c>
      <c r="L8" s="10">
        <f t="shared" si="2"/>
        <v>3836727.3178851367</v>
      </c>
      <c r="M8" s="10">
        <f t="shared" si="2"/>
        <v>3857764.1056502322</v>
      </c>
      <c r="N8" s="10">
        <f t="shared" si="2"/>
        <v>3929051.602356208</v>
      </c>
      <c r="O8" s="10">
        <f t="shared" si="2"/>
        <v>4135577.2171936785</v>
      </c>
      <c r="P8" s="10">
        <f t="shared" si="2"/>
        <v>4123731.2780110785</v>
      </c>
      <c r="Q8" s="10">
        <f t="shared" si="2"/>
        <v>4120669.5639040833</v>
      </c>
      <c r="R8" s="10">
        <f t="shared" si="2"/>
        <v>4117346.8631126527</v>
      </c>
      <c r="S8" s="10">
        <f t="shared" si="2"/>
        <v>4124380.935400195</v>
      </c>
      <c r="T8" s="10">
        <f t="shared" si="2"/>
        <v>4164381.7032702914</v>
      </c>
      <c r="U8" s="10">
        <f t="shared" si="2"/>
        <v>4515152.6618127134</v>
      </c>
      <c r="V8" s="10">
        <f t="shared" si="2"/>
        <v>4515209.2930451343</v>
      </c>
      <c r="W8" s="10">
        <f t="shared" si="2"/>
        <v>4527955.5746272439</v>
      </c>
      <c r="X8" s="8">
        <f>SUM(X6,X7)</f>
        <v>4571165.1633173674</v>
      </c>
      <c r="Y8" s="8">
        <f t="shared" ref="Y8:AB8" si="3">SUM(Y6,Y7)</f>
        <v>4634068.1329856589</v>
      </c>
      <c r="Z8" s="8">
        <f t="shared" si="3"/>
        <v>4696971.1026539579</v>
      </c>
      <c r="AA8" s="8">
        <f t="shared" si="3"/>
        <v>4759874.0723222569</v>
      </c>
      <c r="AB8" s="8">
        <f t="shared" si="3"/>
        <v>4822777.0419905484</v>
      </c>
      <c r="AF8" s="5">
        <f>SUM(AF6:AF7)</f>
        <v>5280960.9781648144</v>
      </c>
      <c r="AG8" s="5">
        <f>SUM(AG6:AG7)</f>
        <v>5470780.949417904</v>
      </c>
      <c r="AH8" s="5">
        <f>SUM(AH6:AH7)</f>
        <v>5660600.9206709936</v>
      </c>
      <c r="AI8" s="5">
        <f>SUM(AI6:AI7)</f>
        <v>5850420.8919240758</v>
      </c>
      <c r="AJ8" s="5">
        <f>SUM(AJ6:AJ7)</f>
        <v>6040240.8631771654</v>
      </c>
    </row>
    <row r="9" spans="2:36" s="9" customFormat="1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5"/>
      <c r="Y9" s="5"/>
      <c r="Z9" s="5"/>
      <c r="AA9" s="5"/>
      <c r="AB9" s="5"/>
      <c r="AF9" s="5"/>
      <c r="AG9" s="5"/>
      <c r="AH9" s="5"/>
      <c r="AI9" s="5"/>
      <c r="AJ9" s="5"/>
    </row>
    <row r="10" spans="2:36" s="9" customFormat="1" x14ac:dyDescent="0.3">
      <c r="B10" s="9" t="s">
        <v>14</v>
      </c>
      <c r="D10" s="10"/>
      <c r="E10" s="10"/>
      <c r="F10" s="10"/>
      <c r="G10" s="10"/>
      <c r="H10" s="10"/>
      <c r="I10" s="10"/>
      <c r="J10" s="10"/>
      <c r="K10" s="10"/>
      <c r="L10" s="10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5"/>
      <c r="Y10" s="5"/>
      <c r="Z10" s="5"/>
      <c r="AA10" s="5"/>
      <c r="AB10" s="5"/>
      <c r="AF10" s="5"/>
      <c r="AG10" s="5"/>
      <c r="AH10" s="5"/>
      <c r="AI10" s="5"/>
      <c r="AJ10" s="5"/>
    </row>
    <row r="11" spans="2:36" ht="15" x14ac:dyDescent="0.3">
      <c r="B11" s="3" t="s">
        <v>47</v>
      </c>
      <c r="D11" s="11">
        <f>D8/D3</f>
        <v>0.3061357519932531</v>
      </c>
      <c r="E11" s="11">
        <f t="shared" ref="E11:W11" si="4">E8/E3</f>
        <v>0.31320550843751943</v>
      </c>
      <c r="F11" s="11">
        <f t="shared" si="4"/>
        <v>0.2943377334022575</v>
      </c>
      <c r="G11" s="11">
        <f t="shared" si="4"/>
        <v>0.34836355141125691</v>
      </c>
      <c r="H11" s="11">
        <f t="shared" si="4"/>
        <v>0.57737225720005148</v>
      </c>
      <c r="I11" s="11">
        <f t="shared" si="4"/>
        <v>0.66052128991354864</v>
      </c>
      <c r="J11" s="11">
        <f t="shared" si="4"/>
        <v>0.6630061783121769</v>
      </c>
      <c r="K11" s="11">
        <f t="shared" si="4"/>
        <v>0.74088912347837055</v>
      </c>
      <c r="L11" s="11">
        <f t="shared" si="4"/>
        <v>0.96005243688400776</v>
      </c>
      <c r="M11" s="11">
        <f>M8/M3</f>
        <v>0.96684032826374566</v>
      </c>
      <c r="N11" s="11">
        <f t="shared" si="4"/>
        <v>0.98495246758396848</v>
      </c>
      <c r="O11" s="11">
        <f t="shared" si="4"/>
        <v>1.0320221509419312</v>
      </c>
      <c r="P11" s="11">
        <f t="shared" si="4"/>
        <v>1.0290349999892952</v>
      </c>
      <c r="Q11" s="11">
        <f t="shared" si="4"/>
        <v>1.024528747807212</v>
      </c>
      <c r="R11" s="11">
        <f t="shared" si="4"/>
        <v>1.0174940473253191</v>
      </c>
      <c r="S11" s="11">
        <f t="shared" si="4"/>
        <v>1.0045184693814924</v>
      </c>
      <c r="T11" s="11">
        <f t="shared" si="4"/>
        <v>1.0118412604136549</v>
      </c>
      <c r="U11" s="11">
        <f t="shared" si="4"/>
        <v>1.094213089846485</v>
      </c>
      <c r="V11" s="11">
        <f t="shared" si="4"/>
        <v>1.0920452746151592</v>
      </c>
      <c r="W11" s="11">
        <f t="shared" si="4"/>
        <v>1.0898509152754032</v>
      </c>
      <c r="X11" s="12">
        <f>X8/X3</f>
        <v>1.0945976494816341</v>
      </c>
      <c r="Y11" s="12">
        <f>Y8/Y3</f>
        <v>1.1046993269098904</v>
      </c>
      <c r="Z11" s="12">
        <f>Z8/Z3</f>
        <v>1.1147110845959716</v>
      </c>
      <c r="AA11" s="12">
        <f>AA8/AA3</f>
        <v>1.1246341178462331</v>
      </c>
      <c r="AB11" s="12">
        <f>AB8/AB3</f>
        <v>1.1344696008748234</v>
      </c>
      <c r="AF11" s="12">
        <f>AF8/AF3</f>
        <v>1.2901533442381503</v>
      </c>
      <c r="AG11" s="12">
        <f>AG8/AG3</f>
        <v>1.3353690491732957</v>
      </c>
      <c r="AH11" s="12">
        <f>AH8/AH3</f>
        <v>1.3805064808638405</v>
      </c>
      <c r="AI11" s="12">
        <f>AI8/AI3</f>
        <v>1.4255658423831095</v>
      </c>
      <c r="AJ11" s="12">
        <f>AJ8/AJ3</f>
        <v>1.4705473361025652</v>
      </c>
    </row>
    <row r="12" spans="2:36" x14ac:dyDescent="0.3">
      <c r="B12" s="3" t="s">
        <v>6</v>
      </c>
      <c r="D12" s="7"/>
      <c r="M12" s="4">
        <f>IF(1-M11&lt;0, 0, 1-M11)</f>
        <v>3.3159671736254337E-2</v>
      </c>
      <c r="N12" s="4">
        <f t="shared" ref="N12:W12" si="5">IF(1-N11&lt;0, 0, 1-N11)</f>
        <v>1.5047532416031517E-2</v>
      </c>
      <c r="O12" s="4">
        <f t="shared" si="5"/>
        <v>0</v>
      </c>
      <c r="P12" s="4">
        <f t="shared" si="5"/>
        <v>0</v>
      </c>
      <c r="Q12" s="4">
        <f t="shared" si="5"/>
        <v>0</v>
      </c>
      <c r="R12" s="4">
        <f t="shared" si="5"/>
        <v>0</v>
      </c>
      <c r="S12" s="4">
        <f t="shared" si="5"/>
        <v>0</v>
      </c>
      <c r="T12" s="4">
        <f t="shared" si="5"/>
        <v>0</v>
      </c>
      <c r="U12" s="4">
        <f t="shared" si="5"/>
        <v>0</v>
      </c>
      <c r="V12" s="4">
        <f t="shared" si="5"/>
        <v>0</v>
      </c>
      <c r="W12" s="4">
        <f t="shared" si="5"/>
        <v>0</v>
      </c>
      <c r="X12" s="4"/>
      <c r="Y12" s="4"/>
      <c r="Z12" s="4"/>
      <c r="AA12" s="4"/>
      <c r="AB12" s="4"/>
      <c r="AF12" s="4"/>
      <c r="AG12" s="4"/>
      <c r="AH12" s="4"/>
      <c r="AI12" s="4"/>
      <c r="AJ12" s="4"/>
    </row>
    <row r="13" spans="2:36" x14ac:dyDescent="0.3">
      <c r="B13" s="3" t="s">
        <v>48</v>
      </c>
      <c r="D13" s="7"/>
      <c r="M13" s="2">
        <f>M11+M12</f>
        <v>1</v>
      </c>
      <c r="N13" s="2">
        <f>N11+N12</f>
        <v>1</v>
      </c>
      <c r="O13" s="2">
        <f t="shared" ref="O13:V13" si="6">O11+O12</f>
        <v>1.0320221509419312</v>
      </c>
      <c r="P13" s="2">
        <f t="shared" si="6"/>
        <v>1.0290349999892952</v>
      </c>
      <c r="Q13" s="2">
        <f t="shared" si="6"/>
        <v>1.024528747807212</v>
      </c>
      <c r="R13" s="2">
        <f t="shared" si="6"/>
        <v>1.0174940473253191</v>
      </c>
      <c r="S13" s="2">
        <f t="shared" si="6"/>
        <v>1.0045184693814924</v>
      </c>
      <c r="T13" s="2">
        <f t="shared" si="6"/>
        <v>1.0118412604136549</v>
      </c>
      <c r="U13" s="2">
        <f t="shared" si="6"/>
        <v>1.094213089846485</v>
      </c>
      <c r="V13" s="2">
        <f t="shared" si="6"/>
        <v>1.0920452746151592</v>
      </c>
      <c r="W13" s="2">
        <f>W11+W12</f>
        <v>1.0898509152754032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F13" s="2">
        <v>1</v>
      </c>
      <c r="AG13" s="2">
        <v>1</v>
      </c>
      <c r="AH13" s="2">
        <v>1</v>
      </c>
      <c r="AI13" s="2">
        <v>1</v>
      </c>
      <c r="AJ13" s="2">
        <v>1</v>
      </c>
    </row>
    <row r="14" spans="2:36" x14ac:dyDescent="0.3">
      <c r="B14" s="3" t="s">
        <v>7</v>
      </c>
      <c r="D14" s="7"/>
      <c r="M14" s="4">
        <f>IF(M11&lt;0.8, M11-0.8,)</f>
        <v>0</v>
      </c>
      <c r="N14" s="4">
        <f t="shared" ref="N14:W14" si="7">IF(N11&lt;0.8, N11-0.8,)</f>
        <v>0</v>
      </c>
      <c r="O14" s="4">
        <f t="shared" si="7"/>
        <v>0</v>
      </c>
      <c r="P14" s="4">
        <f t="shared" si="7"/>
        <v>0</v>
      </c>
      <c r="Q14" s="4">
        <f t="shared" si="7"/>
        <v>0</v>
      </c>
      <c r="R14" s="4">
        <f t="shared" si="7"/>
        <v>0</v>
      </c>
      <c r="S14" s="4">
        <f t="shared" si="7"/>
        <v>0</v>
      </c>
      <c r="T14" s="4">
        <f t="shared" si="7"/>
        <v>0</v>
      </c>
      <c r="U14" s="4">
        <f t="shared" si="7"/>
        <v>0</v>
      </c>
      <c r="V14" s="4">
        <f t="shared" si="7"/>
        <v>0</v>
      </c>
      <c r="W14" s="4">
        <f t="shared" si="7"/>
        <v>0</v>
      </c>
      <c r="X14" s="4">
        <f>IF(X11&lt;1, X13-X11,0)</f>
        <v>0</v>
      </c>
      <c r="Y14" s="4">
        <f t="shared" ref="Y14:AB14" si="8">IF(Y11&lt;1, Y13-Y11,0)</f>
        <v>0</v>
      </c>
      <c r="Z14" s="4">
        <f t="shared" si="8"/>
        <v>0</v>
      </c>
      <c r="AA14" s="4">
        <f t="shared" si="8"/>
        <v>0</v>
      </c>
      <c r="AB14" s="4">
        <f t="shared" si="8"/>
        <v>0</v>
      </c>
      <c r="AF14" s="4">
        <f>IF(AF11&lt;1,AF13-AF11,0)</f>
        <v>0</v>
      </c>
      <c r="AG14" s="4">
        <f t="shared" ref="AG14:AJ14" si="9">IF(AG11&lt;1,AG13-AG11,0)</f>
        <v>0</v>
      </c>
      <c r="AH14" s="4">
        <f t="shared" si="9"/>
        <v>0</v>
      </c>
      <c r="AI14" s="4">
        <f t="shared" si="9"/>
        <v>0</v>
      </c>
      <c r="AJ14" s="4">
        <f t="shared" si="9"/>
        <v>0</v>
      </c>
    </row>
    <row r="15" spans="2:36" x14ac:dyDescent="0.3">
      <c r="B15" s="3" t="s">
        <v>8</v>
      </c>
      <c r="D15" s="7"/>
      <c r="M15" s="5">
        <f>M3*(-M14)</f>
        <v>0</v>
      </c>
      <c r="N15" s="5">
        <f t="shared" ref="N15:W15" si="10">N3*(-N14)</f>
        <v>0</v>
      </c>
      <c r="O15" s="5">
        <f t="shared" si="10"/>
        <v>0</v>
      </c>
      <c r="P15" s="5">
        <f t="shared" si="10"/>
        <v>0</v>
      </c>
      <c r="Q15" s="5">
        <f t="shared" si="10"/>
        <v>0</v>
      </c>
      <c r="R15" s="5">
        <f t="shared" si="10"/>
        <v>0</v>
      </c>
      <c r="S15" s="5">
        <f t="shared" si="10"/>
        <v>0</v>
      </c>
      <c r="T15" s="5">
        <f t="shared" si="10"/>
        <v>0</v>
      </c>
      <c r="U15" s="5">
        <f t="shared" si="10"/>
        <v>0</v>
      </c>
      <c r="V15" s="5">
        <f t="shared" si="10"/>
        <v>0</v>
      </c>
      <c r="W15" s="5">
        <f t="shared" si="10"/>
        <v>0</v>
      </c>
      <c r="X15" s="5">
        <f>X14*X3</f>
        <v>0</v>
      </c>
      <c r="Y15" s="5">
        <f>Y14*Y3</f>
        <v>0</v>
      </c>
      <c r="Z15" s="5">
        <f>Z14*Z3</f>
        <v>0</v>
      </c>
      <c r="AA15" s="5">
        <f>AA14*AA3</f>
        <v>0</v>
      </c>
      <c r="AB15" s="5">
        <f>AB14*AB3</f>
        <v>0</v>
      </c>
      <c r="AF15" s="5">
        <f>AF14*AF3</f>
        <v>0</v>
      </c>
      <c r="AG15" s="5">
        <f>AG14*AG3</f>
        <v>0</v>
      </c>
      <c r="AH15" s="5">
        <f>AH14*AH3</f>
        <v>0</v>
      </c>
      <c r="AI15" s="5">
        <f>AI14*AI3</f>
        <v>0</v>
      </c>
      <c r="AJ15" s="5">
        <f>AJ14*AJ3</f>
        <v>0</v>
      </c>
    </row>
    <row r="16" spans="2:36" x14ac:dyDescent="0.3">
      <c r="B16" s="3" t="s">
        <v>9</v>
      </c>
      <c r="D16" s="7"/>
      <c r="M16" s="13">
        <f>(M15)/8760</f>
        <v>0</v>
      </c>
      <c r="N16" s="13">
        <f t="shared" ref="N16:W16" si="11">(N15)/8760</f>
        <v>0</v>
      </c>
      <c r="O16" s="13">
        <f t="shared" si="11"/>
        <v>0</v>
      </c>
      <c r="P16" s="13">
        <f t="shared" si="11"/>
        <v>0</v>
      </c>
      <c r="Q16" s="13">
        <f t="shared" si="11"/>
        <v>0</v>
      </c>
      <c r="R16" s="13">
        <f t="shared" si="11"/>
        <v>0</v>
      </c>
      <c r="S16" s="13">
        <f t="shared" si="11"/>
        <v>0</v>
      </c>
      <c r="T16" s="13">
        <f t="shared" si="11"/>
        <v>0</v>
      </c>
      <c r="U16" s="13">
        <f t="shared" si="11"/>
        <v>0</v>
      </c>
      <c r="V16" s="13">
        <f t="shared" si="11"/>
        <v>0</v>
      </c>
      <c r="W16" s="13">
        <f t="shared" si="11"/>
        <v>0</v>
      </c>
      <c r="X16" s="5">
        <f t="shared" ref="X16:AA16" si="12">X15/8760</f>
        <v>0</v>
      </c>
      <c r="Y16" s="5">
        <f t="shared" si="12"/>
        <v>0</v>
      </c>
      <c r="Z16" s="5">
        <f t="shared" si="12"/>
        <v>0</v>
      </c>
      <c r="AA16" s="5">
        <f t="shared" si="12"/>
        <v>0</v>
      </c>
      <c r="AB16" s="5">
        <f>AB15/8760</f>
        <v>0</v>
      </c>
      <c r="AF16" s="5">
        <f t="shared" ref="AF16:AI16" si="13">AF15/8760</f>
        <v>0</v>
      </c>
      <c r="AG16" s="5">
        <f t="shared" si="13"/>
        <v>0</v>
      </c>
      <c r="AH16" s="5">
        <f t="shared" si="13"/>
        <v>0</v>
      </c>
      <c r="AI16" s="5">
        <f t="shared" si="13"/>
        <v>0</v>
      </c>
      <c r="AJ16" s="5">
        <f>AJ15/8760</f>
        <v>0</v>
      </c>
    </row>
    <row r="17" spans="2:24" ht="18" customHeight="1" x14ac:dyDescent="0.3">
      <c r="D17" s="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2:24" x14ac:dyDescent="0.3">
      <c r="B18" s="26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5"/>
    </row>
    <row r="19" spans="2:24" x14ac:dyDescent="0.3">
      <c r="X19" s="5"/>
    </row>
    <row r="20" spans="2:24" ht="17.5" x14ac:dyDescent="0.35">
      <c r="B20" s="15" t="s">
        <v>59</v>
      </c>
      <c r="D20" s="6">
        <v>2021</v>
      </c>
      <c r="E20" s="6">
        <v>2022</v>
      </c>
      <c r="F20" s="6">
        <v>2023</v>
      </c>
      <c r="G20" s="6">
        <v>2024</v>
      </c>
      <c r="H20" s="6">
        <v>2025</v>
      </c>
      <c r="I20" s="6">
        <v>2026</v>
      </c>
      <c r="J20" s="6">
        <v>2027</v>
      </c>
      <c r="K20" s="6">
        <v>2028</v>
      </c>
      <c r="L20" s="6">
        <v>2029</v>
      </c>
      <c r="M20" s="6">
        <v>2030</v>
      </c>
      <c r="N20" s="6">
        <v>2031</v>
      </c>
      <c r="O20" s="6">
        <v>2032</v>
      </c>
      <c r="P20" s="6">
        <v>2033</v>
      </c>
      <c r="Q20" s="6">
        <v>2034</v>
      </c>
      <c r="R20" s="6">
        <v>2035</v>
      </c>
      <c r="S20" s="6">
        <v>2036</v>
      </c>
      <c r="T20" s="6">
        <v>2037</v>
      </c>
      <c r="U20" s="6">
        <v>2038</v>
      </c>
      <c r="V20" s="6">
        <v>2039</v>
      </c>
      <c r="W20" s="6">
        <v>2040</v>
      </c>
      <c r="X20" s="5"/>
    </row>
    <row r="21" spans="2:24" x14ac:dyDescent="0.3">
      <c r="B21" s="16" t="s">
        <v>21</v>
      </c>
      <c r="D21" s="5">
        <v>1622168.3695805154</v>
      </c>
      <c r="E21" s="5">
        <v>1882290.993318852</v>
      </c>
      <c r="F21" s="5">
        <v>1508831.6032341602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/>
    </row>
    <row r="22" spans="2:24" x14ac:dyDescent="0.3">
      <c r="B22" s="16" t="s">
        <v>22</v>
      </c>
      <c r="D22" s="5">
        <v>2312.5513865092498</v>
      </c>
      <c r="E22" s="5">
        <v>6058.6074427368676</v>
      </c>
      <c r="F22" s="5">
        <v>6208.8646683012385</v>
      </c>
      <c r="G22" s="5">
        <v>18306.999735366382</v>
      </c>
      <c r="H22" s="5">
        <v>-29975.251668683632</v>
      </c>
      <c r="I22" s="5">
        <v>-29975.251668683632</v>
      </c>
      <c r="J22" s="5">
        <v>-29975.251668683632</v>
      </c>
      <c r="K22" s="5">
        <v>-29972.622715465903</v>
      </c>
      <c r="L22" s="5">
        <v>-29975.251668683632</v>
      </c>
      <c r="M22" s="5">
        <v>-29975.251668683632</v>
      </c>
      <c r="N22" s="5">
        <v>-29975.251668683632</v>
      </c>
      <c r="O22" s="5">
        <v>-30071.456004900891</v>
      </c>
      <c r="P22" s="5">
        <v>-29975.251668683632</v>
      </c>
      <c r="Q22" s="5">
        <v>-29876.418379248626</v>
      </c>
      <c r="R22" s="5">
        <v>-29975.251668683632</v>
      </c>
      <c r="S22" s="5">
        <v>-30071.456004900891</v>
      </c>
      <c r="T22" s="5">
        <v>-29975.251668683632</v>
      </c>
      <c r="U22" s="5">
        <v>-29975.251668683632</v>
      </c>
      <c r="V22" s="5">
        <v>-29975.251668683632</v>
      </c>
      <c r="W22" s="5">
        <v>-29879.047332466354</v>
      </c>
      <c r="X22" s="5"/>
    </row>
    <row r="23" spans="2:24" x14ac:dyDescent="0.3">
      <c r="B23" s="16" t="s">
        <v>23</v>
      </c>
      <c r="D23" s="5">
        <v>-27394.919995257405</v>
      </c>
      <c r="E23" s="5">
        <v>-4958.4002661117274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/>
    </row>
    <row r="24" spans="2:24" x14ac:dyDescent="0.3">
      <c r="B24" s="16" t="s">
        <v>24</v>
      </c>
      <c r="D24" s="5">
        <v>4.1383813856130232</v>
      </c>
      <c r="E24" s="5">
        <v>3.8236896537546152</v>
      </c>
      <c r="F24" s="5">
        <v>4.0674588034998687</v>
      </c>
      <c r="G24" s="5">
        <v>3.8379778276099259</v>
      </c>
      <c r="H24" s="5">
        <v>3.8380020190967126</v>
      </c>
      <c r="I24" s="5">
        <v>3.8380396423916183</v>
      </c>
      <c r="J24" s="5">
        <v>3.8379858024211764</v>
      </c>
      <c r="K24" s="5">
        <v>3.8379671239004596</v>
      </c>
      <c r="L24" s="5">
        <v>3.8379927873771713</v>
      </c>
      <c r="M24" s="5">
        <v>3.8380573574425618</v>
      </c>
      <c r="N24" s="5">
        <v>3.838004787972924</v>
      </c>
      <c r="O24" s="5">
        <v>3.8379608865330468</v>
      </c>
      <c r="P24" s="5">
        <v>3.8379794075404483</v>
      </c>
      <c r="Q24" s="5">
        <v>3.8379153579886056</v>
      </c>
      <c r="R24" s="5">
        <v>3.8379835980343056</v>
      </c>
      <c r="S24" s="5">
        <v>3.8379802047017497</v>
      </c>
      <c r="T24" s="5">
        <v>3.8379816790903547</v>
      </c>
      <c r="U24" s="5">
        <v>3.8379741608278528</v>
      </c>
      <c r="V24" s="5">
        <v>3.837986099857488</v>
      </c>
      <c r="W24" s="5">
        <v>3.8302275280041407</v>
      </c>
      <c r="X24" s="5"/>
    </row>
    <row r="25" spans="2:24" x14ac:dyDescent="0.3">
      <c r="B25" s="16" t="s">
        <v>25</v>
      </c>
      <c r="D25" s="5">
        <v>-54446.775009669233</v>
      </c>
      <c r="E25" s="5">
        <v>-54289.054008522638</v>
      </c>
      <c r="F25" s="5">
        <v>-54108.529745533888</v>
      </c>
      <c r="G25" s="5">
        <v>-54641.545316941534</v>
      </c>
      <c r="H25" s="5">
        <v>-54492.251477277743</v>
      </c>
      <c r="I25" s="5">
        <v>-54492.251477277743</v>
      </c>
      <c r="J25" s="5">
        <v>-54492.251477277743</v>
      </c>
      <c r="K25" s="5">
        <v>-54641.545316941534</v>
      </c>
      <c r="L25" s="5">
        <v>-54492.251477277743</v>
      </c>
      <c r="M25" s="5">
        <v>-54492.251477277743</v>
      </c>
      <c r="N25" s="5">
        <v>-54492.251477277743</v>
      </c>
      <c r="O25" s="5">
        <v>-54641.545316941534</v>
      </c>
      <c r="P25" s="5">
        <v>-54492.251477277743</v>
      </c>
      <c r="Q25" s="5">
        <v>-54492.251477277743</v>
      </c>
      <c r="R25" s="5">
        <v>-54492.251477277743</v>
      </c>
      <c r="S25" s="5">
        <v>-54641.545316941534</v>
      </c>
      <c r="T25" s="5">
        <v>-54492.251477277743</v>
      </c>
      <c r="U25" s="5">
        <v>-54492.251477277743</v>
      </c>
      <c r="V25" s="5">
        <v>-54492.251477277743</v>
      </c>
      <c r="W25" s="5">
        <v>-54342.957637613974</v>
      </c>
      <c r="X25" s="5"/>
    </row>
    <row r="26" spans="2:24" x14ac:dyDescent="0.3">
      <c r="B26" s="16" t="s">
        <v>26</v>
      </c>
      <c r="D26" s="5">
        <v>23749.854194546697</v>
      </c>
      <c r="E26" s="5">
        <v>24309.653470553632</v>
      </c>
      <c r="F26" s="5">
        <v>24982.493592802679</v>
      </c>
      <c r="G26" s="5">
        <v>24582.976938685653</v>
      </c>
      <c r="H26" s="5">
        <v>23762.686750214285</v>
      </c>
      <c r="I26" s="5">
        <v>23809.246750214286</v>
      </c>
      <c r="J26" s="5">
        <v>24487.4387502143</v>
      </c>
      <c r="K26" s="5">
        <v>25178.15260682708</v>
      </c>
      <c r="L26" s="5">
        <v>24583.270750214288</v>
      </c>
      <c r="M26" s="5">
        <v>6708.9343200000121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/>
    </row>
    <row r="27" spans="2:24" x14ac:dyDescent="0.3">
      <c r="B27" s="16" t="s">
        <v>27</v>
      </c>
      <c r="D27" s="5">
        <v>955285.63041842659</v>
      </c>
      <c r="E27" s="5">
        <v>897617.56684187194</v>
      </c>
      <c r="F27" s="5">
        <v>982641.01215481991</v>
      </c>
      <c r="G27" s="5">
        <v>2685193.194110991</v>
      </c>
      <c r="H27" s="5">
        <v>2845097.9069191506</v>
      </c>
      <c r="I27" s="5">
        <v>2489940.461869413</v>
      </c>
      <c r="J27" s="5">
        <v>2305236.9845654522</v>
      </c>
      <c r="K27" s="5">
        <v>2428324.2565603843</v>
      </c>
      <c r="L27" s="5">
        <v>2507780.1911592921</v>
      </c>
      <c r="M27" s="5">
        <v>2222229.5066765551</v>
      </c>
      <c r="N27" s="5">
        <v>2370941.3827546639</v>
      </c>
      <c r="O27" s="5">
        <v>2426205.3531917701</v>
      </c>
      <c r="P27" s="5">
        <v>2448087.5693621431</v>
      </c>
      <c r="Q27" s="5">
        <v>2549721.0690448894</v>
      </c>
      <c r="R27" s="5">
        <v>2745423.5488051642</v>
      </c>
      <c r="S27" s="5">
        <v>2629107.3543553739</v>
      </c>
      <c r="T27" s="5">
        <v>2942687.6694478272</v>
      </c>
      <c r="U27" s="5">
        <v>2736270.088398003</v>
      </c>
      <c r="V27" s="5">
        <v>2774185.478211314</v>
      </c>
      <c r="W27" s="5">
        <v>2778059.2726299129</v>
      </c>
      <c r="X27" s="5"/>
    </row>
    <row r="28" spans="2:24" x14ac:dyDescent="0.3">
      <c r="B28" s="16" t="s">
        <v>28</v>
      </c>
      <c r="D28" s="5">
        <v>21753.85645169433</v>
      </c>
      <c r="E28" s="5">
        <v>21705.958434021566</v>
      </c>
      <c r="F28" s="5">
        <v>21607.558034493824</v>
      </c>
      <c r="G28" s="5">
        <v>21831.731980603654</v>
      </c>
      <c r="H28" s="5">
        <v>21661.651898930508</v>
      </c>
      <c r="I28" s="5">
        <v>21742.176228313754</v>
      </c>
      <c r="J28" s="5">
        <v>20464.985578859163</v>
      </c>
      <c r="K28" s="5">
        <v>21815.65027246685</v>
      </c>
      <c r="L28" s="5">
        <v>21772.026279900136</v>
      </c>
      <c r="M28" s="5">
        <v>21774.273043446919</v>
      </c>
      <c r="N28" s="5">
        <v>21754.052171525884</v>
      </c>
      <c r="O28" s="5">
        <v>21730.273257689121</v>
      </c>
      <c r="P28" s="5">
        <v>21754.052171525873</v>
      </c>
      <c r="Q28" s="5">
        <v>20489.699977873774</v>
      </c>
      <c r="R28" s="5">
        <v>21801.234206008307</v>
      </c>
      <c r="S28" s="5">
        <v>21865.079070496064</v>
      </c>
      <c r="T28" s="5">
        <v>21805.727733101867</v>
      </c>
      <c r="U28" s="5">
        <v>0</v>
      </c>
      <c r="V28" s="5">
        <v>0</v>
      </c>
      <c r="W28" s="5">
        <v>0</v>
      </c>
      <c r="X28" s="5"/>
    </row>
    <row r="29" spans="2:24" x14ac:dyDescent="0.3">
      <c r="B29" s="16" t="s">
        <v>29</v>
      </c>
      <c r="D29" s="5">
        <v>325535.95874675928</v>
      </c>
      <c r="E29" s="5">
        <v>417451.94907623361</v>
      </c>
      <c r="F29" s="5">
        <v>327139.69698220456</v>
      </c>
      <c r="G29" s="5">
        <v>324668.14020110847</v>
      </c>
      <c r="H29" s="5">
        <v>322683.78964691109</v>
      </c>
      <c r="I29" s="5">
        <v>325115.34298931633</v>
      </c>
      <c r="J29" s="5">
        <v>326512.40671570803</v>
      </c>
      <c r="K29" s="5">
        <v>326736.22956780071</v>
      </c>
      <c r="L29" s="5">
        <v>328710.76460237405</v>
      </c>
      <c r="M29" s="5">
        <v>328185.26383565564</v>
      </c>
      <c r="N29" s="5">
        <v>325405.02134836145</v>
      </c>
      <c r="O29" s="5">
        <v>327954.9023217049</v>
      </c>
      <c r="P29" s="5">
        <v>328874.57892984879</v>
      </c>
      <c r="Q29" s="5">
        <v>328594.55359484669</v>
      </c>
      <c r="R29" s="5">
        <v>327808.99542401679</v>
      </c>
      <c r="S29" s="5">
        <v>326260.14463737502</v>
      </c>
      <c r="T29" s="5">
        <v>326719.99901313242</v>
      </c>
      <c r="U29" s="5">
        <v>327581.39900164003</v>
      </c>
      <c r="V29" s="5">
        <v>329941.42305403185</v>
      </c>
      <c r="W29" s="5">
        <v>325757.38654490595</v>
      </c>
      <c r="X29" s="5"/>
    </row>
    <row r="30" spans="2:24" x14ac:dyDescent="0.3">
      <c r="B30" s="16" t="s">
        <v>30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42259.083582328865</v>
      </c>
      <c r="X30" s="5"/>
    </row>
    <row r="31" spans="2:24" x14ac:dyDescent="0.3">
      <c r="B31" s="16" t="s">
        <v>31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7.2396027412786959</v>
      </c>
      <c r="U31" s="5">
        <v>735.0157590780957</v>
      </c>
      <c r="V31" s="5">
        <v>539.01235767701314</v>
      </c>
      <c r="W31" s="5">
        <v>2134.2911488909322</v>
      </c>
      <c r="X31" s="5"/>
    </row>
    <row r="32" spans="2:24" x14ac:dyDescent="0.3">
      <c r="B32" s="16" t="s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209380.04782693752</v>
      </c>
      <c r="L32" s="5">
        <v>208762.40756786094</v>
      </c>
      <c r="M32" s="5">
        <v>208762.40756786094</v>
      </c>
      <c r="N32" s="5">
        <v>208762.40756786094</v>
      </c>
      <c r="O32" s="5">
        <v>209380.04782693752</v>
      </c>
      <c r="P32" s="5">
        <v>208762.40756786094</v>
      </c>
      <c r="Q32" s="5">
        <v>208428.22926509249</v>
      </c>
      <c r="R32" s="5">
        <v>208465.09724679374</v>
      </c>
      <c r="S32" s="5">
        <v>209336.42224802455</v>
      </c>
      <c r="T32" s="5">
        <v>208762.40756786094</v>
      </c>
      <c r="U32" s="5">
        <v>487072.36097485875</v>
      </c>
      <c r="V32" s="5">
        <v>486985.56279321807</v>
      </c>
      <c r="W32" s="5">
        <v>485983.70929678367</v>
      </c>
      <c r="X32" s="5"/>
    </row>
    <row r="33" spans="1:28" x14ac:dyDescent="0.3">
      <c r="B33" s="16" t="s">
        <v>33</v>
      </c>
      <c r="D33" s="5">
        <v>0</v>
      </c>
      <c r="E33" s="5">
        <v>0</v>
      </c>
      <c r="F33" s="5">
        <v>0</v>
      </c>
      <c r="G33" s="5">
        <v>129234.70470622806</v>
      </c>
      <c r="H33" s="5">
        <v>387216.87589966238</v>
      </c>
      <c r="I33" s="5">
        <v>545039.14046557574</v>
      </c>
      <c r="J33" s="5">
        <v>543963.39826369984</v>
      </c>
      <c r="K33" s="5">
        <v>572779.59754114761</v>
      </c>
      <c r="L33" s="5">
        <v>917824.96358408011</v>
      </c>
      <c r="M33" s="5">
        <v>999718.62385672657</v>
      </c>
      <c r="N33" s="5">
        <v>1109300.7441216807</v>
      </c>
      <c r="O33" s="5">
        <v>1302996.1570712191</v>
      </c>
      <c r="P33" s="5">
        <v>1300620.0365230949</v>
      </c>
      <c r="Q33" s="5">
        <v>1299180.9736574278</v>
      </c>
      <c r="R33" s="5">
        <v>1297736.7633063535</v>
      </c>
      <c r="S33" s="5">
        <v>1295979.2307145917</v>
      </c>
      <c r="T33" s="5">
        <v>1350227.8213829214</v>
      </c>
      <c r="U33" s="5">
        <v>1349011.1563165903</v>
      </c>
      <c r="V33" s="5">
        <v>1347642.0683149979</v>
      </c>
      <c r="W33" s="5">
        <v>1340414.9799936686</v>
      </c>
      <c r="X33" s="5"/>
    </row>
    <row r="34" spans="1:28" x14ac:dyDescent="0.3">
      <c r="B34" s="16" t="s">
        <v>34</v>
      </c>
      <c r="D34" s="5">
        <v>0</v>
      </c>
      <c r="E34" s="5">
        <v>0</v>
      </c>
      <c r="F34" s="5">
        <v>0</v>
      </c>
      <c r="G34" s="5">
        <v>68785.781121649023</v>
      </c>
      <c r="H34" s="5">
        <v>731875.4539268465</v>
      </c>
      <c r="I34" s="5">
        <v>908344.15452305588</v>
      </c>
      <c r="J34" s="5">
        <v>908520.17827417224</v>
      </c>
      <c r="K34" s="5">
        <v>976844.61693331145</v>
      </c>
      <c r="L34" s="5">
        <v>1499769.9960595404</v>
      </c>
      <c r="M34" s="5">
        <v>1570860.9331924673</v>
      </c>
      <c r="N34" s="5">
        <v>1575638.873985078</v>
      </c>
      <c r="O34" s="5">
        <v>1581549.2218741998</v>
      </c>
      <c r="P34" s="5">
        <v>1575640.412040126</v>
      </c>
      <c r="Q34" s="5">
        <v>1575325.9909055051</v>
      </c>
      <c r="R34" s="5">
        <v>1574719.584696942</v>
      </c>
      <c r="S34" s="5">
        <v>1580520.9143126763</v>
      </c>
      <c r="T34" s="5">
        <v>1570056.3884442626</v>
      </c>
      <c r="U34" s="5">
        <v>1642221.4094035525</v>
      </c>
      <c r="V34" s="5">
        <v>1641599.9476645887</v>
      </c>
      <c r="W34" s="5">
        <v>1666273.1330368903</v>
      </c>
      <c r="X34" s="5"/>
    </row>
    <row r="35" spans="1:28" x14ac:dyDescent="0.3">
      <c r="B35" s="16" t="s">
        <v>35</v>
      </c>
      <c r="D35" s="5">
        <v>99052.574633416254</v>
      </c>
      <c r="E35" s="5">
        <v>97708.547200134955</v>
      </c>
      <c r="F35" s="5">
        <v>108347.10715966983</v>
      </c>
      <c r="G35" s="5">
        <v>108765.58034752599</v>
      </c>
      <c r="H35" s="5">
        <v>107831.89856017756</v>
      </c>
      <c r="I35" s="5">
        <v>107057.475610111</v>
      </c>
      <c r="J35" s="5">
        <v>106291.20762697776</v>
      </c>
      <c r="K35" s="5">
        <v>105530.63265200236</v>
      </c>
      <c r="L35" s="5">
        <v>104772.36418450964</v>
      </c>
      <c r="M35" s="5">
        <v>29235.375687587701</v>
      </c>
      <c r="N35" s="5">
        <v>29090.7554855282</v>
      </c>
      <c r="O35" s="5">
        <v>28944.190934195794</v>
      </c>
      <c r="P35" s="5">
        <v>28801.403480363846</v>
      </c>
      <c r="Q35" s="5">
        <v>28654.838928143028</v>
      </c>
      <c r="R35" s="5">
        <v>28512.52523504429</v>
      </c>
      <c r="S35" s="5">
        <v>28369.737781479598</v>
      </c>
      <c r="T35" s="5">
        <v>28229.368438603291</v>
      </c>
      <c r="U35" s="5">
        <v>28088.887492508198</v>
      </c>
      <c r="V35" s="5">
        <v>27946.100038070628</v>
      </c>
      <c r="W35" s="5">
        <v>27750.845774037803</v>
      </c>
      <c r="X35" s="5"/>
    </row>
    <row r="36" spans="1:28" x14ac:dyDescent="0.3">
      <c r="B36" s="16" t="s">
        <v>36</v>
      </c>
      <c r="D36" s="5">
        <v>859740.93548047193</v>
      </c>
      <c r="E36" s="5">
        <v>831686.45949327562</v>
      </c>
      <c r="F36" s="5">
        <v>828665.34682216542</v>
      </c>
      <c r="G36" s="5">
        <v>851722.10032496729</v>
      </c>
      <c r="H36" s="5">
        <v>859093.01882961788</v>
      </c>
      <c r="I36" s="5">
        <v>847421.87469176855</v>
      </c>
      <c r="J36" s="5">
        <v>846234.08688592794</v>
      </c>
      <c r="K36" s="5">
        <v>851276.6649191411</v>
      </c>
      <c r="L36" s="5">
        <v>843844.21010680508</v>
      </c>
      <c r="M36" s="5">
        <v>805740.18505367427</v>
      </c>
      <c r="N36" s="5">
        <v>769383.66926595464</v>
      </c>
      <c r="O36" s="5">
        <v>772897.24149179622</v>
      </c>
      <c r="P36" s="5">
        <v>769130.84651609417</v>
      </c>
      <c r="Q36" s="5">
        <v>769333.33902189427</v>
      </c>
      <c r="R36" s="5">
        <v>769471.18077828293</v>
      </c>
      <c r="S36" s="5">
        <v>773729.52316648862</v>
      </c>
      <c r="T36" s="5">
        <v>769674.87491263507</v>
      </c>
      <c r="U36" s="5">
        <v>769526.2420702813</v>
      </c>
      <c r="V36" s="5">
        <v>769698.88337674097</v>
      </c>
      <c r="W36" s="5">
        <v>764692.68189645628</v>
      </c>
      <c r="X36" s="5"/>
    </row>
    <row r="37" spans="1:28" x14ac:dyDescent="0.3">
      <c r="B37" s="16"/>
      <c r="C37" s="9" t="s">
        <v>37</v>
      </c>
      <c r="D37" s="8">
        <v>3827762.1742687989</v>
      </c>
      <c r="E37" s="8">
        <v>4119586.1046926999</v>
      </c>
      <c r="F37" s="8">
        <v>3754319.2203618875</v>
      </c>
      <c r="G37" s="8">
        <v>4178453.5021280111</v>
      </c>
      <c r="H37" s="8">
        <v>5214759.6172875678</v>
      </c>
      <c r="I37" s="8">
        <v>5184006.2080214489</v>
      </c>
      <c r="J37" s="8">
        <v>4997247.0215008529</v>
      </c>
      <c r="K37" s="8">
        <v>5433255.5188147351</v>
      </c>
      <c r="L37" s="8">
        <v>6373356.5291414028</v>
      </c>
      <c r="M37" s="8">
        <v>6108751.8381453715</v>
      </c>
      <c r="N37" s="8">
        <v>6325813.2415594803</v>
      </c>
      <c r="O37" s="8">
        <v>6586948.2246085573</v>
      </c>
      <c r="P37" s="8">
        <v>6597207.6414245041</v>
      </c>
      <c r="Q37" s="8">
        <v>6695363.8624545028</v>
      </c>
      <c r="R37" s="8">
        <v>6889475.2645362411</v>
      </c>
      <c r="S37" s="8">
        <v>6780459.2429448692</v>
      </c>
      <c r="T37" s="8">
        <v>7133707.8313788045</v>
      </c>
      <c r="U37" s="8">
        <v>7256042.8942447118</v>
      </c>
      <c r="V37" s="8">
        <v>7294074.8106507771</v>
      </c>
      <c r="W37" s="8">
        <v>7349107.2091613226</v>
      </c>
      <c r="X37" s="5"/>
    </row>
    <row r="38" spans="1:28" x14ac:dyDescent="0.3">
      <c r="B38" s="9" t="s">
        <v>38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5"/>
    </row>
    <row r="39" spans="1:28" x14ac:dyDescent="0.3">
      <c r="B39" s="3" t="s">
        <v>39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36225.503531388633</v>
      </c>
      <c r="L39" s="5">
        <v>35299.217950635699</v>
      </c>
      <c r="M39" s="5">
        <v>35204.063669713396</v>
      </c>
      <c r="N39" s="5">
        <v>35781.700071958847</v>
      </c>
      <c r="O39" s="5">
        <v>34379.629679739119</v>
      </c>
      <c r="P39" s="5">
        <v>34740.745615563719</v>
      </c>
      <c r="Q39" s="5">
        <v>34689.900822068266</v>
      </c>
      <c r="R39" s="5">
        <v>34297.453898031265</v>
      </c>
      <c r="S39" s="5">
        <v>34479.249697605439</v>
      </c>
      <c r="T39" s="5">
        <v>33079.351166487715</v>
      </c>
      <c r="U39" s="5">
        <v>68190.197539606539</v>
      </c>
      <c r="V39" s="5">
        <v>69124.882426715703</v>
      </c>
      <c r="W39" s="5">
        <v>67129.504060222316</v>
      </c>
      <c r="X39" s="5"/>
    </row>
    <row r="40" spans="1:28" x14ac:dyDescent="0.3">
      <c r="A40" s="16"/>
      <c r="B40" s="16" t="s">
        <v>40</v>
      </c>
      <c r="D40" s="5">
        <v>0</v>
      </c>
      <c r="E40" s="5">
        <v>0</v>
      </c>
      <c r="F40" s="5">
        <v>0</v>
      </c>
      <c r="G40" s="5">
        <v>8376.216307551038</v>
      </c>
      <c r="H40" s="5">
        <v>38287.39056581835</v>
      </c>
      <c r="I40" s="5">
        <v>120707.93599337703</v>
      </c>
      <c r="J40" s="5">
        <v>121644.35018638567</v>
      </c>
      <c r="K40" s="5">
        <v>122564.93739442941</v>
      </c>
      <c r="L40" s="5">
        <v>276803.75906429475</v>
      </c>
      <c r="M40" s="5">
        <v>325375.64042946394</v>
      </c>
      <c r="N40" s="5">
        <v>375904.34303156188</v>
      </c>
      <c r="O40" s="5">
        <v>479765.78549483302</v>
      </c>
      <c r="P40" s="5">
        <v>486845.82486245071</v>
      </c>
      <c r="Q40" s="5">
        <v>488888.70674486679</v>
      </c>
      <c r="R40" s="5">
        <v>494927.57044068922</v>
      </c>
      <c r="S40" s="5">
        <v>489870.68187947513</v>
      </c>
      <c r="T40" s="5">
        <v>515671.00823004323</v>
      </c>
      <c r="U40" s="5">
        <v>505333.14422491915</v>
      </c>
      <c r="V40" s="5">
        <v>523416.76337487262</v>
      </c>
      <c r="W40" s="5">
        <v>512473.15225477144</v>
      </c>
      <c r="X40" s="16"/>
      <c r="Y40" s="16"/>
      <c r="Z40" s="16"/>
      <c r="AA40" s="16"/>
      <c r="AB40" s="16"/>
    </row>
    <row r="41" spans="1:28" x14ac:dyDescent="0.3">
      <c r="A41" s="16"/>
      <c r="B41" s="16" t="s">
        <v>41</v>
      </c>
      <c r="D41" s="5">
        <v>0</v>
      </c>
      <c r="E41" s="5">
        <v>0</v>
      </c>
      <c r="F41" s="5">
        <v>0</v>
      </c>
      <c r="G41" s="5">
        <v>52568.2412140655</v>
      </c>
      <c r="H41" s="5">
        <v>50181.509185367744</v>
      </c>
      <c r="I41" s="5">
        <v>80037.76956985383</v>
      </c>
      <c r="J41" s="5">
        <v>81520.999617384557</v>
      </c>
      <c r="K41" s="5">
        <v>75457.009541318199</v>
      </c>
      <c r="L41" s="5">
        <v>118256.91379855492</v>
      </c>
      <c r="M41" s="5">
        <v>118359.548053045</v>
      </c>
      <c r="N41" s="5">
        <v>136098.18090636574</v>
      </c>
      <c r="O41" s="5">
        <v>140973.98697247927</v>
      </c>
      <c r="P41" s="5">
        <v>143191.52470809911</v>
      </c>
      <c r="Q41" s="5">
        <v>146260.15587361495</v>
      </c>
      <c r="R41" s="5">
        <v>147206.42298592365</v>
      </c>
      <c r="S41" s="5">
        <v>146474.51486192312</v>
      </c>
      <c r="T41" s="5">
        <v>144766.37322100831</v>
      </c>
      <c r="U41" s="5">
        <v>139041.65366880101</v>
      </c>
      <c r="V41" s="5">
        <v>89291.581344123653</v>
      </c>
      <c r="W41" s="5">
        <v>88914.395514079384</v>
      </c>
      <c r="X41" s="16"/>
      <c r="Y41" s="16"/>
      <c r="Z41" s="16"/>
      <c r="AA41" s="16"/>
      <c r="AB41" s="16"/>
    </row>
    <row r="42" spans="1:28" x14ac:dyDescent="0.3">
      <c r="A42" s="16"/>
      <c r="B42" s="16"/>
      <c r="C42" s="17" t="s">
        <v>42</v>
      </c>
      <c r="D42" s="8">
        <v>0</v>
      </c>
      <c r="E42" s="8">
        <v>0</v>
      </c>
      <c r="F42" s="8">
        <v>0</v>
      </c>
      <c r="G42" s="8">
        <v>60944.457521616539</v>
      </c>
      <c r="H42" s="8">
        <v>88468.899751186094</v>
      </c>
      <c r="I42" s="8">
        <v>200745.70556323085</v>
      </c>
      <c r="J42" s="8">
        <v>203165.34980377022</v>
      </c>
      <c r="K42" s="8">
        <v>234247.45046713625</v>
      </c>
      <c r="L42" s="8">
        <v>430359.89081348537</v>
      </c>
      <c r="M42" s="8">
        <v>478939.25215222233</v>
      </c>
      <c r="N42" s="8">
        <v>547784.22400988638</v>
      </c>
      <c r="O42" s="8">
        <v>655119.40214705141</v>
      </c>
      <c r="P42" s="8">
        <v>664778.0951861135</v>
      </c>
      <c r="Q42" s="8">
        <v>669838.76344055007</v>
      </c>
      <c r="R42" s="8">
        <v>676431.44732464408</v>
      </c>
      <c r="S42" s="8">
        <v>670824.4464390038</v>
      </c>
      <c r="T42" s="8">
        <v>693516.73261753924</v>
      </c>
      <c r="U42" s="8">
        <v>712564.99543332681</v>
      </c>
      <c r="V42" s="8">
        <v>681833.22714571201</v>
      </c>
      <c r="W42" s="8">
        <v>668517.05182907311</v>
      </c>
      <c r="X42" s="16"/>
      <c r="Y42" s="16"/>
      <c r="Z42" s="16"/>
      <c r="AA42" s="16"/>
      <c r="AB42" s="16"/>
    </row>
    <row r="43" spans="1:28" x14ac:dyDescent="0.3">
      <c r="A43" s="16"/>
      <c r="B43" s="16"/>
      <c r="C43" s="1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6"/>
      <c r="Y43" s="16"/>
      <c r="Z43" s="16"/>
      <c r="AA43" s="16"/>
      <c r="AB43" s="16"/>
    </row>
    <row r="44" spans="1:28" x14ac:dyDescent="0.3">
      <c r="A44" s="16"/>
      <c r="C44" s="17" t="s">
        <v>43</v>
      </c>
      <c r="D44" s="18">
        <v>3827762.1742687989</v>
      </c>
      <c r="E44" s="18">
        <v>4119586.1046926999</v>
      </c>
      <c r="F44" s="18">
        <v>3754319.2203618875</v>
      </c>
      <c r="G44" s="18">
        <v>4239397.959649628</v>
      </c>
      <c r="H44" s="18">
        <v>5303228.5170387542</v>
      </c>
      <c r="I44" s="18">
        <v>5384751.9135846794</v>
      </c>
      <c r="J44" s="18">
        <v>5200412.3713046229</v>
      </c>
      <c r="K44" s="18">
        <v>5667502.9692818718</v>
      </c>
      <c r="L44" s="18">
        <v>6803716.4199548885</v>
      </c>
      <c r="M44" s="18">
        <v>6587691.0902975937</v>
      </c>
      <c r="N44" s="18">
        <v>6873597.4655693667</v>
      </c>
      <c r="O44" s="18">
        <v>7242067.6267556082</v>
      </c>
      <c r="P44" s="18">
        <v>7261985.7366106175</v>
      </c>
      <c r="Q44" s="18">
        <v>7365202.6258950531</v>
      </c>
      <c r="R44" s="18">
        <v>7565906.7118608849</v>
      </c>
      <c r="S44" s="18">
        <v>7451283.6893838728</v>
      </c>
      <c r="T44" s="18">
        <v>7827224.5639963439</v>
      </c>
      <c r="U44" s="18">
        <v>7968607.8896780387</v>
      </c>
      <c r="V44" s="18">
        <v>7975908.037796489</v>
      </c>
      <c r="W44" s="18">
        <v>8017624.2609903961</v>
      </c>
      <c r="X44" s="16"/>
      <c r="Y44" s="16"/>
      <c r="Z44" s="16"/>
      <c r="AA44" s="16"/>
      <c r="AB44" s="16"/>
    </row>
    <row r="45" spans="1:28" x14ac:dyDescent="0.3">
      <c r="A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6"/>
      <c r="Y45" s="16"/>
      <c r="Z45" s="16"/>
      <c r="AA45" s="16"/>
      <c r="AB45" s="16"/>
    </row>
    <row r="46" spans="1:28" x14ac:dyDescent="0.3">
      <c r="B46" s="3" t="s">
        <v>44</v>
      </c>
      <c r="C46" s="3" t="s">
        <v>45</v>
      </c>
      <c r="D46" s="19">
        <v>179291.54828380886</v>
      </c>
      <c r="E46" s="19">
        <v>-8382.139503297396</v>
      </c>
      <c r="F46" s="19">
        <v>343319.73146963958</v>
      </c>
      <c r="G46" s="19">
        <v>-154165.91566666262</v>
      </c>
      <c r="H46" s="19">
        <v>-1249423.6711719944</v>
      </c>
      <c r="I46" s="19">
        <v>-1350100.8104699426</v>
      </c>
      <c r="J46" s="19">
        <v>-1181919.440198875</v>
      </c>
      <c r="K46" s="19">
        <v>-1651146.8017173982</v>
      </c>
      <c r="L46" s="19">
        <v>-2807343.7527099587</v>
      </c>
      <c r="M46" s="19">
        <v>-2597617.4526184388</v>
      </c>
      <c r="N46" s="19">
        <v>-2884520.0921262149</v>
      </c>
      <c r="O46" s="19">
        <v>-3234811.3741459921</v>
      </c>
      <c r="P46" s="19">
        <v>-3254608.652202432</v>
      </c>
      <c r="Q46" s="19">
        <v>-3343188.0433628322</v>
      </c>
      <c r="R46" s="19">
        <v>-3519350.4947155369</v>
      </c>
      <c r="S46" s="19">
        <v>-3345454.8160335585</v>
      </c>
      <c r="T46" s="19">
        <v>-3711577.311612275</v>
      </c>
      <c r="U46" s="19">
        <v>-3842215.4130113809</v>
      </c>
      <c r="V46" s="19">
        <v>-3841272.4159938027</v>
      </c>
      <c r="W46" s="19">
        <v>-3862968.3248773008</v>
      </c>
      <c r="X46" s="5"/>
    </row>
    <row r="47" spans="1:28" x14ac:dyDescent="0.3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5"/>
    </row>
    <row r="48" spans="1:28" x14ac:dyDescent="0.3">
      <c r="B48" s="3" t="s">
        <v>60</v>
      </c>
      <c r="X48" s="5"/>
    </row>
    <row r="49" spans="2:24" x14ac:dyDescent="0.3">
      <c r="B49" s="1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3">
      <c r="B50" s="16"/>
      <c r="C50" s="3" t="s">
        <v>52</v>
      </c>
      <c r="D50" s="5">
        <v>81376.918424187286</v>
      </c>
      <c r="E50" s="5">
        <v>83504.881032705031</v>
      </c>
      <c r="F50" s="5">
        <v>83044.883173948547</v>
      </c>
      <c r="G50" s="5">
        <v>84613.340459190775</v>
      </c>
      <c r="H50" s="5">
        <v>91909.269506831726</v>
      </c>
      <c r="I50" s="5">
        <v>91814.284049574024</v>
      </c>
      <c r="J50" s="5">
        <v>91723.075689780002</v>
      </c>
      <c r="K50" s="5">
        <v>92051.341483377168</v>
      </c>
      <c r="L50" s="5">
        <v>91540.65897024794</v>
      </c>
      <c r="M50" s="5">
        <v>91447.617863740365</v>
      </c>
      <c r="N50" s="5">
        <v>88529.869418255577</v>
      </c>
      <c r="O50" s="5">
        <v>88144.5443263747</v>
      </c>
      <c r="P50" s="5">
        <v>88098.407046310749</v>
      </c>
      <c r="Q50" s="5">
        <v>88848.361468826057</v>
      </c>
      <c r="R50" s="5">
        <v>89367.283574780537</v>
      </c>
      <c r="S50" s="5">
        <v>89815.037460440639</v>
      </c>
      <c r="T50" s="5">
        <v>89296.396091865783</v>
      </c>
      <c r="U50" s="5">
        <v>89083.809205795842</v>
      </c>
      <c r="V50" s="5">
        <v>89143.704554191208</v>
      </c>
      <c r="W50" s="5">
        <v>85051.453064389701</v>
      </c>
      <c r="X50" s="5"/>
    </row>
    <row r="51" spans="2:24" x14ac:dyDescent="0.3">
      <c r="B51" s="1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14.25" customHeight="1" x14ac:dyDescent="0.3">
      <c r="B52" s="1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4" x14ac:dyDescent="0.3">
      <c r="B53" s="1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4" x14ac:dyDescent="0.3">
      <c r="B54" s="1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4" x14ac:dyDescent="0.3">
      <c r="B55" s="1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4" x14ac:dyDescent="0.3"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2:24" x14ac:dyDescent="0.3">
      <c r="C57" s="16"/>
    </row>
    <row r="58" spans="2:24" x14ac:dyDescent="0.3">
      <c r="C58" s="16"/>
      <c r="D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2:24" x14ac:dyDescent="0.3">
      <c r="B59" s="16"/>
      <c r="C59" s="16"/>
    </row>
    <row r="60" spans="2:24" x14ac:dyDescent="0.3">
      <c r="B60" s="16"/>
      <c r="C60" s="16"/>
    </row>
    <row r="61" spans="2:24" x14ac:dyDescent="0.3">
      <c r="B61" s="16"/>
      <c r="C61" s="16"/>
    </row>
    <row r="62" spans="2:24" x14ac:dyDescent="0.3">
      <c r="B62" s="16"/>
      <c r="C62" s="16"/>
    </row>
    <row r="63" spans="2:24" x14ac:dyDescent="0.3">
      <c r="B63" s="16"/>
      <c r="C63" s="16"/>
    </row>
    <row r="64" spans="2:24" x14ac:dyDescent="0.3">
      <c r="B64" s="16"/>
      <c r="C64" s="16"/>
    </row>
    <row r="65" spans="2:3" x14ac:dyDescent="0.3">
      <c r="B65" s="16"/>
      <c r="C65" s="16"/>
    </row>
    <row r="66" spans="2:3" x14ac:dyDescent="0.3">
      <c r="B66" s="16"/>
      <c r="C66" s="16"/>
    </row>
    <row r="67" spans="2:3" x14ac:dyDescent="0.3">
      <c r="B67" s="16"/>
      <c r="C67" s="16"/>
    </row>
    <row r="68" spans="2:3" x14ac:dyDescent="0.3">
      <c r="C68" s="16"/>
    </row>
    <row r="69" spans="2:3" x14ac:dyDescent="0.3">
      <c r="C69" s="16"/>
    </row>
    <row r="70" spans="2:3" x14ac:dyDescent="0.3">
      <c r="C70" s="16"/>
    </row>
    <row r="71" spans="2:3" x14ac:dyDescent="0.3">
      <c r="C71" s="16"/>
    </row>
    <row r="72" spans="2:3" x14ac:dyDescent="0.3">
      <c r="C72" s="16"/>
    </row>
    <row r="73" spans="2:3" x14ac:dyDescent="0.3">
      <c r="C73" s="16"/>
    </row>
    <row r="74" spans="2:3" x14ac:dyDescent="0.3">
      <c r="C74" s="16"/>
    </row>
    <row r="75" spans="2:3" x14ac:dyDescent="0.3">
      <c r="C75" s="16"/>
    </row>
    <row r="76" spans="2:3" x14ac:dyDescent="0.3">
      <c r="C76" s="16"/>
    </row>
    <row r="77" spans="2:3" x14ac:dyDescent="0.3">
      <c r="C77" s="16"/>
    </row>
    <row r="78" spans="2:3" x14ac:dyDescent="0.3">
      <c r="C78" s="16"/>
    </row>
    <row r="79" spans="2:3" x14ac:dyDescent="0.3">
      <c r="C79" s="16"/>
    </row>
    <row r="80" spans="2:3" x14ac:dyDescent="0.3">
      <c r="C80" s="16"/>
    </row>
  </sheetData>
  <mergeCells count="1">
    <mergeCell ref="B18:W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9B79-BD2D-4628-9436-E7F883D19E6B}">
  <sheetPr codeName="Sheet2"/>
  <dimension ref="E2:U52"/>
  <sheetViews>
    <sheetView showGridLines="0" zoomScaleNormal="100" workbookViewId="0"/>
  </sheetViews>
  <sheetFormatPr defaultColWidth="8.81640625" defaultRowHeight="14" x14ac:dyDescent="0.3"/>
  <cols>
    <col min="1" max="16384" width="8.81640625" style="3"/>
  </cols>
  <sheetData>
    <row r="2" spans="5:15" ht="18" x14ac:dyDescent="0.3">
      <c r="E2" s="21" t="s">
        <v>15</v>
      </c>
      <c r="O2" s="21" t="s">
        <v>16</v>
      </c>
    </row>
    <row r="19" spans="5:21" x14ac:dyDescent="0.3">
      <c r="E19" s="16"/>
    </row>
    <row r="24" spans="5:21" ht="15.5" x14ac:dyDescent="0.35">
      <c r="E24" s="22" t="s">
        <v>17</v>
      </c>
    </row>
    <row r="32" spans="5:21" x14ac:dyDescent="0.3">
      <c r="U32" s="23"/>
    </row>
    <row r="52" spans="9:17" x14ac:dyDescent="0.3">
      <c r="I52" s="3" t="s">
        <v>20</v>
      </c>
      <c r="M52" s="3" t="s">
        <v>19</v>
      </c>
      <c r="Q52" s="3" t="s">
        <v>18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C365-920B-4665-A124-B60B0B25ED97}">
  <sheetPr codeName="Sheet3"/>
  <dimension ref="E3:J10"/>
  <sheetViews>
    <sheetView showGridLines="0" zoomScaleNormal="100" workbookViewId="0"/>
  </sheetViews>
  <sheetFormatPr defaultColWidth="8.81640625" defaultRowHeight="14" x14ac:dyDescent="0.3"/>
  <cols>
    <col min="1" max="4" width="8.81640625" style="3"/>
    <col min="5" max="5" width="41.81640625" style="3" customWidth="1"/>
    <col min="6" max="6" width="9.90625" style="3" bestFit="1" customWidth="1"/>
    <col min="7" max="9" width="9.08984375" style="3" bestFit="1" customWidth="1"/>
    <col min="10" max="10" width="10.36328125" style="3" bestFit="1" customWidth="1"/>
    <col min="11" max="16384" width="8.81640625" style="3"/>
  </cols>
  <sheetData>
    <row r="3" spans="5:10" x14ac:dyDescent="0.3">
      <c r="E3" s="9" t="s">
        <v>55</v>
      </c>
    </row>
    <row r="5" spans="5:10" ht="13.5" customHeight="1" x14ac:dyDescent="0.3">
      <c r="E5" s="14"/>
      <c r="F5" s="6">
        <v>2022</v>
      </c>
      <c r="G5" s="6">
        <v>2023</v>
      </c>
      <c r="H5" s="6">
        <v>2024</v>
      </c>
      <c r="I5" s="6">
        <v>2025</v>
      </c>
      <c r="J5" s="6" t="s">
        <v>52</v>
      </c>
    </row>
    <row r="6" spans="5:10" ht="13.5" customHeight="1" x14ac:dyDescent="0.3">
      <c r="E6" s="3" t="s">
        <v>49</v>
      </c>
      <c r="F6" s="24">
        <f>'WA CETA Summary'!E3</f>
        <v>4111203.9651894025</v>
      </c>
      <c r="G6" s="24">
        <f>'WA CETA Summary'!F3</f>
        <v>4097638.9518315271</v>
      </c>
      <c r="H6" s="24">
        <f>'WA CETA Summary'!G3</f>
        <v>4085232.0439829654</v>
      </c>
      <c r="I6" s="24">
        <f>'WA CETA Summary'!H3</f>
        <v>4053804.8458667598</v>
      </c>
      <c r="J6" s="24">
        <f>SUM(F6:I6)</f>
        <v>16347879.806870656</v>
      </c>
    </row>
    <row r="7" spans="5:10" ht="13.5" customHeight="1" x14ac:dyDescent="0.3">
      <c r="E7" s="3" t="s">
        <v>50</v>
      </c>
      <c r="F7" s="24">
        <f>'WA CETA Summary'!E8</f>
        <v>1287651.7282074927</v>
      </c>
      <c r="G7" s="24">
        <f>'WA CETA Summary'!F8</f>
        <v>1206089.7613828939</v>
      </c>
      <c r="H7" s="24">
        <f>'WA CETA Summary'!G8</f>
        <v>1423145.9431809739</v>
      </c>
      <c r="I7" s="24">
        <f>'WA CETA Summary'!H8</f>
        <v>2340554.4541065977</v>
      </c>
      <c r="J7" s="24">
        <f t="shared" ref="J7:J10" si="0">SUM(F7:I7)</f>
        <v>6257441.8868779577</v>
      </c>
    </row>
    <row r="8" spans="5:10" ht="13.5" customHeight="1" x14ac:dyDescent="0.3">
      <c r="E8" s="9" t="s">
        <v>51</v>
      </c>
      <c r="F8" s="24">
        <f>F6-F7</f>
        <v>2823552.2369819097</v>
      </c>
      <c r="G8" s="24">
        <f t="shared" ref="G8:I8" si="1">G6-G7</f>
        <v>2891549.1904486334</v>
      </c>
      <c r="H8" s="24">
        <f t="shared" si="1"/>
        <v>2662086.1008019913</v>
      </c>
      <c r="I8" s="24">
        <f t="shared" si="1"/>
        <v>1713250.3917601621</v>
      </c>
      <c r="J8" s="24">
        <f t="shared" si="0"/>
        <v>10090437.919992696</v>
      </c>
    </row>
    <row r="9" spans="5:10" ht="13.5" customHeight="1" x14ac:dyDescent="0.3">
      <c r="E9" s="25" t="s">
        <v>53</v>
      </c>
      <c r="F9" s="23">
        <f>F7/F6</f>
        <v>0.31320550843751943</v>
      </c>
      <c r="G9" s="23">
        <f t="shared" ref="G9:I9" si="2">G7/G6</f>
        <v>0.2943377334022575</v>
      </c>
      <c r="H9" s="23">
        <f t="shared" si="2"/>
        <v>0.34836355141125691</v>
      </c>
      <c r="I9" s="23">
        <f t="shared" si="2"/>
        <v>0.57737225720005148</v>
      </c>
      <c r="J9" s="23">
        <f>I9</f>
        <v>0.57737225720005148</v>
      </c>
    </row>
    <row r="10" spans="5:10" ht="13.5" customHeight="1" x14ac:dyDescent="0.3">
      <c r="E10" s="9" t="s">
        <v>54</v>
      </c>
      <c r="F10" s="24">
        <f>F9*F6</f>
        <v>1287651.7282074927</v>
      </c>
      <c r="G10" s="24">
        <f t="shared" ref="G10:I10" si="3">G9*G6</f>
        <v>1206089.7613828939</v>
      </c>
      <c r="H10" s="24">
        <f t="shared" si="3"/>
        <v>1423145.9431809739</v>
      </c>
      <c r="I10" s="24">
        <f t="shared" si="3"/>
        <v>2340554.4541065977</v>
      </c>
      <c r="J10" s="24">
        <f t="shared" si="0"/>
        <v>6257441.8868779577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0590AE-8FE1-4D1C-AF64-FB21D1106CFD}"/>
</file>

<file path=customXml/itemProps2.xml><?xml version="1.0" encoding="utf-8"?>
<ds:datastoreItem xmlns:ds="http://schemas.openxmlformats.org/officeDocument/2006/customXml" ds:itemID="{A8C99995-AA39-4112-928D-D8B8F5D7732E}"/>
</file>

<file path=customXml/itemProps3.xml><?xml version="1.0" encoding="utf-8"?>
<ds:datastoreItem xmlns:ds="http://schemas.openxmlformats.org/officeDocument/2006/customXml" ds:itemID="{66135E2D-C3E4-49E8-8D32-49C865ADCE9F}"/>
</file>

<file path=customXml/itemProps4.xml><?xml version="1.0" encoding="utf-8"?>
<ds:datastoreItem xmlns:ds="http://schemas.openxmlformats.org/officeDocument/2006/customXml" ds:itemID="{4B4379BB-7E06-41D8-A071-27661BF1F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 CETA Summary</vt:lpstr>
      <vt:lpstr>Interim Targets</vt:lpstr>
      <vt:lpstr>Table - Interim 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Ghosh, Rohini (PacifiCorp)</cp:lastModifiedBy>
  <cp:lastPrinted>2022-03-24T21:40:50Z</cp:lastPrinted>
  <dcterms:created xsi:type="dcterms:W3CDTF">2021-08-19T03:59:22Z</dcterms:created>
  <dcterms:modified xsi:type="dcterms:W3CDTF">2022-03-31T22:20:28Z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