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840" windowHeight="12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Sheet1!$A$1:$S$62</definedName>
  </definedNames>
  <calcPr calcId="145621"/>
</workbook>
</file>

<file path=xl/calcChain.xml><?xml version="1.0" encoding="utf-8"?>
<calcChain xmlns="http://schemas.openxmlformats.org/spreadsheetml/2006/main">
  <c r="I74" i="1" l="1"/>
  <c r="H62" i="1"/>
  <c r="E62" i="1"/>
  <c r="C62" i="1"/>
  <c r="N59" i="1"/>
  <c r="H58" i="1"/>
  <c r="E58" i="1"/>
  <c r="C58" i="1"/>
  <c r="H57" i="1"/>
  <c r="E57" i="1"/>
  <c r="C57" i="1"/>
  <c r="H56" i="1"/>
  <c r="E56" i="1"/>
  <c r="C56" i="1"/>
  <c r="H55" i="1"/>
  <c r="E55" i="1"/>
  <c r="F55" i="1" s="1"/>
  <c r="C55" i="1"/>
  <c r="H54" i="1"/>
  <c r="E54" i="1"/>
  <c r="C54" i="1"/>
  <c r="N51" i="1"/>
  <c r="H48" i="1"/>
  <c r="E48" i="1"/>
  <c r="C48" i="1"/>
  <c r="B48" i="1"/>
  <c r="H47" i="1"/>
  <c r="E47" i="1"/>
  <c r="C47" i="1"/>
  <c r="H43" i="1"/>
  <c r="E43" i="1"/>
  <c r="C43" i="1"/>
  <c r="B43" i="1"/>
  <c r="H42" i="1"/>
  <c r="E42" i="1"/>
  <c r="C42" i="1"/>
  <c r="B42" i="1"/>
  <c r="H41" i="1"/>
  <c r="E41" i="1"/>
  <c r="C41" i="1"/>
  <c r="B41" i="1"/>
  <c r="H40" i="1"/>
  <c r="E40" i="1"/>
  <c r="C40" i="1"/>
  <c r="B40" i="1"/>
  <c r="K39" i="1"/>
  <c r="F39" i="1"/>
  <c r="I39" i="1" s="1"/>
  <c r="B39" i="1"/>
  <c r="H38" i="1"/>
  <c r="C38" i="1"/>
  <c r="F38" i="1" s="1"/>
  <c r="B38" i="1"/>
  <c r="H37" i="1"/>
  <c r="E37" i="1"/>
  <c r="C37" i="1"/>
  <c r="B37" i="1"/>
  <c r="H36" i="1"/>
  <c r="E36" i="1"/>
  <c r="C36" i="1"/>
  <c r="B36" i="1"/>
  <c r="H35" i="1"/>
  <c r="E35" i="1"/>
  <c r="C35" i="1"/>
  <c r="B35" i="1"/>
  <c r="H34" i="1"/>
  <c r="E34" i="1"/>
  <c r="C34" i="1"/>
  <c r="B34" i="1"/>
  <c r="H33" i="1"/>
  <c r="E33" i="1"/>
  <c r="C33" i="1"/>
  <c r="B33" i="1"/>
  <c r="K32" i="1"/>
  <c r="H32" i="1"/>
  <c r="C32" i="1"/>
  <c r="F32" i="1" s="1"/>
  <c r="B32" i="1"/>
  <c r="H31" i="1"/>
  <c r="E31" i="1"/>
  <c r="C31" i="1"/>
  <c r="B31" i="1"/>
  <c r="H30" i="1"/>
  <c r="E30" i="1"/>
  <c r="C30" i="1"/>
  <c r="B30" i="1"/>
  <c r="H29" i="1"/>
  <c r="E29" i="1"/>
  <c r="C29" i="1"/>
  <c r="B29" i="1"/>
  <c r="H28" i="1"/>
  <c r="E28" i="1"/>
  <c r="C28" i="1"/>
  <c r="B28" i="1"/>
  <c r="H27" i="1"/>
  <c r="E27" i="1"/>
  <c r="C27" i="1"/>
  <c r="B27" i="1"/>
  <c r="H26" i="1"/>
  <c r="E26" i="1"/>
  <c r="C26" i="1"/>
  <c r="B26" i="1"/>
  <c r="H25" i="1"/>
  <c r="E25" i="1"/>
  <c r="C25" i="1"/>
  <c r="B25" i="1"/>
  <c r="H24" i="1"/>
  <c r="E24" i="1"/>
  <c r="C24" i="1"/>
  <c r="B24" i="1"/>
  <c r="H23" i="1"/>
  <c r="E23" i="1"/>
  <c r="C23" i="1"/>
  <c r="B23" i="1"/>
  <c r="H22" i="1"/>
  <c r="E22" i="1"/>
  <c r="C22" i="1"/>
  <c r="B22" i="1"/>
  <c r="H21" i="1"/>
  <c r="E21" i="1"/>
  <c r="C21" i="1"/>
  <c r="B21" i="1"/>
  <c r="H20" i="1"/>
  <c r="E20" i="1"/>
  <c r="C20" i="1"/>
  <c r="B20" i="1"/>
  <c r="R19" i="1"/>
  <c r="Q19" i="1"/>
  <c r="H19" i="1"/>
  <c r="E19" i="1"/>
  <c r="C19" i="1"/>
  <c r="B19" i="1"/>
  <c r="H18" i="1"/>
  <c r="E18" i="1"/>
  <c r="C18" i="1"/>
  <c r="B18" i="1"/>
  <c r="R16" i="1"/>
  <c r="Q16" i="1"/>
  <c r="N15" i="1"/>
  <c r="K15" i="1"/>
  <c r="H14" i="1"/>
  <c r="E14" i="1"/>
  <c r="C14" i="1"/>
  <c r="B14" i="1"/>
  <c r="H13" i="1"/>
  <c r="E13" i="1"/>
  <c r="C13" i="1"/>
  <c r="B13" i="1"/>
  <c r="H12" i="1"/>
  <c r="E12" i="1"/>
  <c r="C12" i="1"/>
  <c r="B12" i="1"/>
  <c r="H11" i="1"/>
  <c r="E11" i="1"/>
  <c r="C11" i="1"/>
  <c r="B11" i="1"/>
  <c r="H10" i="1"/>
  <c r="E10" i="1"/>
  <c r="C10" i="1"/>
  <c r="F10" i="1" s="1"/>
  <c r="B10" i="1"/>
  <c r="H9" i="1"/>
  <c r="H15" i="1" s="1"/>
  <c r="E9" i="1"/>
  <c r="F9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8" i="1"/>
  <c r="L6" i="1"/>
  <c r="K6" i="1"/>
  <c r="H6" i="1"/>
  <c r="E6" i="1"/>
  <c r="A4" i="1"/>
  <c r="A3" i="1"/>
  <c r="A2" i="1"/>
  <c r="A1" i="1"/>
  <c r="I10" i="1" l="1"/>
  <c r="F11" i="1"/>
  <c r="I11" i="1" s="1"/>
  <c r="L39" i="1"/>
  <c r="F56" i="1"/>
  <c r="I56" i="1" s="1"/>
  <c r="L56" i="1" s="1"/>
  <c r="F48" i="1"/>
  <c r="I48" i="1" s="1"/>
  <c r="I32" i="1"/>
  <c r="L32" i="1" s="1"/>
  <c r="I38" i="1"/>
  <c r="C44" i="1"/>
  <c r="C49" i="1" s="1"/>
  <c r="F40" i="1"/>
  <c r="I40" i="1" s="1"/>
  <c r="L40" i="1" s="1"/>
  <c r="F41" i="1"/>
  <c r="F42" i="1"/>
  <c r="I42" i="1" s="1"/>
  <c r="L42" i="1" s="1"/>
  <c r="F43" i="1"/>
  <c r="I43" i="1" s="1"/>
  <c r="L43" i="1" s="1"/>
  <c r="F54" i="1"/>
  <c r="F58" i="1"/>
  <c r="I58" i="1" s="1"/>
  <c r="L58" i="1" s="1"/>
  <c r="F20" i="1"/>
  <c r="I20" i="1" s="1"/>
  <c r="L20" i="1" s="1"/>
  <c r="F13" i="1"/>
  <c r="I13" i="1" s="1"/>
  <c r="N13" i="1" s="1"/>
  <c r="O13" i="1" s="1"/>
  <c r="F14" i="1"/>
  <c r="I14" i="1" s="1"/>
  <c r="N14" i="1" s="1"/>
  <c r="O14" i="1" s="1"/>
  <c r="F47" i="1"/>
  <c r="C15" i="1"/>
  <c r="C46" i="1" s="1"/>
  <c r="C51" i="1" s="1"/>
  <c r="I47" i="1"/>
  <c r="L47" i="1" s="1"/>
  <c r="H59" i="1"/>
  <c r="E15" i="1"/>
  <c r="H44" i="1"/>
  <c r="C59" i="1"/>
  <c r="F57" i="1"/>
  <c r="I57" i="1" s="1"/>
  <c r="L57" i="1" s="1"/>
  <c r="F62" i="1"/>
  <c r="I62" i="1" s="1"/>
  <c r="L62" i="1" s="1"/>
  <c r="H46" i="1"/>
  <c r="H50" i="1" s="1"/>
  <c r="F12" i="1"/>
  <c r="I12" i="1" s="1"/>
  <c r="L12" i="1" s="1"/>
  <c r="F19" i="1"/>
  <c r="I19" i="1" s="1"/>
  <c r="L19" i="1" s="1"/>
  <c r="F21" i="1"/>
  <c r="I21" i="1" s="1"/>
  <c r="L21" i="1" s="1"/>
  <c r="F23" i="1"/>
  <c r="I23" i="1" s="1"/>
  <c r="L23" i="1" s="1"/>
  <c r="F25" i="1"/>
  <c r="I25" i="1" s="1"/>
  <c r="L25" i="1" s="1"/>
  <c r="F27" i="1"/>
  <c r="I27" i="1" s="1"/>
  <c r="L27" i="1" s="1"/>
  <c r="F29" i="1"/>
  <c r="I29" i="1" s="1"/>
  <c r="L29" i="1" s="1"/>
  <c r="F31" i="1"/>
  <c r="I31" i="1" s="1"/>
  <c r="L31" i="1" s="1"/>
  <c r="F33" i="1"/>
  <c r="I33" i="1" s="1"/>
  <c r="L33" i="1" s="1"/>
  <c r="F35" i="1"/>
  <c r="I35" i="1" s="1"/>
  <c r="L35" i="1" s="1"/>
  <c r="F37" i="1"/>
  <c r="I37" i="1" s="1"/>
  <c r="L37" i="1" s="1"/>
  <c r="L10" i="1"/>
  <c r="N10" i="1"/>
  <c r="O10" i="1" s="1"/>
  <c r="L11" i="1"/>
  <c r="N11" i="1"/>
  <c r="O11" i="1" s="1"/>
  <c r="N12" i="1"/>
  <c r="O12" i="1" s="1"/>
  <c r="L14" i="1"/>
  <c r="I9" i="1"/>
  <c r="F22" i="1"/>
  <c r="I22" i="1" s="1"/>
  <c r="L22" i="1" s="1"/>
  <c r="F24" i="1"/>
  <c r="I24" i="1" s="1"/>
  <c r="L24" i="1" s="1"/>
  <c r="F26" i="1"/>
  <c r="I26" i="1" s="1"/>
  <c r="L26" i="1" s="1"/>
  <c r="F28" i="1"/>
  <c r="I28" i="1" s="1"/>
  <c r="L28" i="1" s="1"/>
  <c r="F30" i="1"/>
  <c r="I30" i="1" s="1"/>
  <c r="L30" i="1" s="1"/>
  <c r="I55" i="1"/>
  <c r="L55" i="1" s="1"/>
  <c r="F34" i="1"/>
  <c r="I34" i="1" s="1"/>
  <c r="L34" i="1" s="1"/>
  <c r="F36" i="1"/>
  <c r="I36" i="1" s="1"/>
  <c r="L36" i="1" s="1"/>
  <c r="E44" i="1"/>
  <c r="F18" i="1"/>
  <c r="I41" i="1"/>
  <c r="L41" i="1" s="1"/>
  <c r="L13" i="1" l="1"/>
  <c r="F59" i="1"/>
  <c r="C50" i="1"/>
  <c r="E46" i="1"/>
  <c r="E50" i="1" s="1"/>
  <c r="I54" i="1"/>
  <c r="I59" i="1" s="1"/>
  <c r="F15" i="1"/>
  <c r="C61" i="1"/>
  <c r="F44" i="1"/>
  <c r="F49" i="1" s="1"/>
  <c r="F50" i="1" s="1"/>
  <c r="I18" i="1"/>
  <c r="L9" i="1"/>
  <c r="N9" i="1"/>
  <c r="O9" i="1" s="1"/>
  <c r="I15" i="1"/>
  <c r="L54" i="1"/>
  <c r="L59" i="1" s="1"/>
  <c r="N16" i="1"/>
  <c r="O16" i="1" s="1"/>
  <c r="L15" i="1" l="1"/>
  <c r="F46" i="1"/>
  <c r="F51" i="1" s="1"/>
  <c r="F61" i="1" s="1"/>
  <c r="N61" i="1"/>
  <c r="K38" i="1"/>
  <c r="I44" i="1"/>
  <c r="I49" i="1" s="1"/>
  <c r="I50" i="1" s="1"/>
  <c r="L18" i="1"/>
  <c r="T20" i="1" l="1"/>
  <c r="L38" i="1"/>
  <c r="L44" i="1" s="1"/>
  <c r="K44" i="1"/>
  <c r="I46" i="1"/>
  <c r="I51" i="1" s="1"/>
  <c r="I61" i="1" s="1"/>
  <c r="L46" i="1" l="1"/>
  <c r="T18" i="1"/>
  <c r="L48" i="1" l="1"/>
  <c r="L49" i="1" s="1"/>
  <c r="L50" i="1" s="1"/>
  <c r="N48" i="1"/>
  <c r="L51" i="1" l="1"/>
  <c r="L61" i="1" s="1"/>
</calcChain>
</file>

<file path=xl/sharedStrings.xml><?xml version="1.0" encoding="utf-8"?>
<sst xmlns="http://schemas.openxmlformats.org/spreadsheetml/2006/main" count="56" uniqueCount="51">
  <si>
    <t>(a)</t>
  </si>
  <si>
    <t>(b)</t>
  </si>
  <si>
    <t>(c)</t>
  </si>
  <si>
    <t>(d)</t>
  </si>
  <si>
    <t>(e)</t>
  </si>
  <si>
    <t>(f)</t>
  </si>
  <si>
    <t>(g)</t>
  </si>
  <si>
    <t>(h)</t>
  </si>
  <si>
    <t>Line No.</t>
  </si>
  <si>
    <t>Description</t>
  </si>
  <si>
    <t>Company End of Year</t>
  </si>
  <si>
    <t>Restated Results</t>
  </si>
  <si>
    <t>Pro Forma Results</t>
  </si>
  <si>
    <t>Source</t>
  </si>
  <si>
    <t>Input</t>
  </si>
  <si>
    <t>Schedule 1</t>
  </si>
  <si>
    <t>(b) + (c)</t>
  </si>
  <si>
    <t>(d) + (e)</t>
  </si>
  <si>
    <t>Schedule 5</t>
  </si>
  <si>
    <t>(f) + (g)</t>
  </si>
  <si>
    <t>Overrides</t>
  </si>
  <si>
    <t>REVENUES</t>
  </si>
  <si>
    <t>Select Party</t>
  </si>
  <si>
    <t>Company</t>
  </si>
  <si>
    <t>Regulatory Capital Structure</t>
  </si>
  <si>
    <t>Normal Formula Calculations</t>
  </si>
  <si>
    <t>OPERATING REVENUE</t>
  </si>
  <si>
    <t>(number check)</t>
  </si>
  <si>
    <t>Federal Income Tax (FIT)</t>
  </si>
  <si>
    <t>Suggested FIT Rate</t>
  </si>
  <si>
    <t>EXPENSES</t>
  </si>
  <si>
    <t>Conversion Factor (CF)</t>
  </si>
  <si>
    <t>Suggested CF</t>
  </si>
  <si>
    <t>(total wages per total expenses)</t>
  </si>
  <si>
    <t>(benefits per wages)</t>
  </si>
  <si>
    <t>Percentage of Plant (Useful)</t>
  </si>
  <si>
    <t>OPERATING EXPENSES</t>
  </si>
  <si>
    <t>Operating Incom before Taxes</t>
  </si>
  <si>
    <t>Interest Expense</t>
  </si>
  <si>
    <t>TOTAL OPERATING EXPENSE</t>
  </si>
  <si>
    <t>NET INCOME (LOSS)</t>
  </si>
  <si>
    <t>NET OPERATING INCOME</t>
  </si>
  <si>
    <t>RATE BASE</t>
  </si>
  <si>
    <t>Utility Plant in Service (UPIS)</t>
  </si>
  <si>
    <t xml:space="preserve">    Accumulated Depreciation</t>
  </si>
  <si>
    <t>Acquisition Adjustment</t>
  </si>
  <si>
    <t>Contributions In Aid of Construction (CIAC) Plant in Service</t>
  </si>
  <si>
    <t xml:space="preserve">    Accumulated Amortization</t>
  </si>
  <si>
    <t>NET RATE BASE</t>
  </si>
  <si>
    <t>Rate of Return</t>
  </si>
  <si>
    <t>Customer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</si>
</sst>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_(* #,##0_);_(* \(#,##0\);_(* &quot;-&quot;??_);_(@_)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Alignment="1" applyProtection="1"/>
    <xf numFmtId="37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  <protection hidden="1"/>
    </xf>
    <xf numFmtId="37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15" fontId="3" fillId="0" borderId="5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/>
    <xf numFmtId="37" fontId="2" fillId="0" borderId="0" xfId="0" applyNumberFormat="1" applyFont="1" applyProtection="1"/>
    <xf numFmtId="0" fontId="2" fillId="0" borderId="0" xfId="0" applyNumberFormat="1" applyFont="1" applyFill="1" applyAlignment="1" applyProtection="1"/>
    <xf numFmtId="3" fontId="2" fillId="0" borderId="0" xfId="0" applyNumberFormat="1" applyFont="1" applyProtection="1"/>
    <xf numFmtId="3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Border="1" applyProtection="1"/>
    <xf numFmtId="37" fontId="5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10" fontId="6" fillId="0" borderId="0" xfId="3" applyNumberFormat="1" applyFont="1" applyAlignment="1" applyProtection="1"/>
    <xf numFmtId="0" fontId="6" fillId="0" borderId="0" xfId="0" applyNumberFormat="1" applyFont="1" applyAlignment="1" applyProtection="1"/>
    <xf numFmtId="0" fontId="2" fillId="2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37" fontId="4" fillId="3" borderId="6" xfId="0" applyNumberFormat="1" applyFon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</xf>
    <xf numFmtId="164" fontId="2" fillId="0" borderId="7" xfId="0" applyNumberFormat="1" applyFont="1" applyBorder="1" applyProtection="1"/>
    <xf numFmtId="164" fontId="2" fillId="0" borderId="7" xfId="0" applyNumberFormat="1" applyFont="1" applyBorder="1" applyAlignment="1" applyProtection="1">
      <alignment horizontal="center"/>
    </xf>
    <xf numFmtId="5" fontId="2" fillId="0" borderId="7" xfId="0" applyNumberFormat="1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5" fontId="2" fillId="0" borderId="7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6" fillId="0" borderId="0" xfId="0" applyNumberFormat="1" applyFont="1" applyBorder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Border="1" applyAlignment="1" applyProtection="1">
      <alignment horizontal="center"/>
    </xf>
    <xf numFmtId="10" fontId="2" fillId="0" borderId="0" xfId="0" applyNumberFormat="1" applyFont="1" applyBorder="1" applyAlignment="1" applyProtection="1"/>
    <xf numFmtId="10" fontId="2" fillId="0" borderId="0" xfId="0" applyNumberFormat="1" applyFont="1" applyFill="1" applyBorder="1" applyAlignment="1" applyProtection="1"/>
    <xf numFmtId="9" fontId="4" fillId="3" borderId="6" xfId="3" applyFont="1" applyFill="1" applyBorder="1" applyAlignment="1" applyProtection="1">
      <alignment horizontal="center" vertical="center"/>
      <protection locked="0"/>
    </xf>
    <xf numFmtId="9" fontId="2" fillId="4" borderId="8" xfId="3" applyFont="1" applyFill="1" applyBorder="1" applyAlignment="1" applyProtection="1">
      <alignment horizontal="center"/>
    </xf>
    <xf numFmtId="3" fontId="5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Fill="1" applyBorder="1" applyProtection="1"/>
    <xf numFmtId="0" fontId="0" fillId="2" borderId="0" xfId="0" applyNumberFormat="1" applyFont="1" applyFill="1" applyAlignment="1" applyProtection="1"/>
    <xf numFmtId="166" fontId="4" fillId="3" borderId="6" xfId="3" applyNumberFormat="1" applyFont="1" applyFill="1" applyBorder="1" applyAlignment="1" applyProtection="1">
      <alignment horizontal="center" vertical="center"/>
      <protection locked="0"/>
    </xf>
    <xf numFmtId="166" fontId="2" fillId="4" borderId="8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 applyProtection="1"/>
    <xf numFmtId="3" fontId="7" fillId="0" borderId="0" xfId="0" applyNumberFormat="1" applyFont="1" applyFill="1" applyAlignment="1" applyProtection="1">
      <alignment horizontal="center"/>
    </xf>
    <xf numFmtId="44" fontId="6" fillId="0" borderId="0" xfId="2" applyNumberFormat="1" applyFont="1" applyAlignment="1" applyProtection="1"/>
    <xf numFmtId="37" fontId="2" fillId="0" borderId="0" xfId="0" applyNumberFormat="1" applyFont="1" applyFill="1" applyAlignment="1" applyProtection="1">
      <alignment horizontal="center"/>
    </xf>
    <xf numFmtId="44" fontId="6" fillId="0" borderId="0" xfId="2" applyFont="1" applyAlignment="1" applyProtection="1"/>
    <xf numFmtId="37" fontId="8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/>
    <xf numFmtId="5" fontId="2" fillId="0" borderId="7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Protection="1"/>
    <xf numFmtId="3" fontId="7" fillId="0" borderId="0" xfId="0" applyNumberFormat="1" applyFont="1" applyFill="1" applyBorder="1" applyAlignment="1" applyProtection="1">
      <alignment horizontal="center"/>
    </xf>
    <xf numFmtId="37" fontId="9" fillId="0" borderId="0" xfId="0" applyNumberFormat="1" applyFont="1" applyAlignment="1" applyProtection="1"/>
    <xf numFmtId="10" fontId="9" fillId="0" borderId="0" xfId="3" applyNumberFormat="1" applyFont="1" applyAlignment="1" applyProtection="1"/>
    <xf numFmtId="167" fontId="6" fillId="0" borderId="0" xfId="1" applyNumberFormat="1" applyFont="1" applyBorder="1" applyProtection="1"/>
    <xf numFmtId="3" fontId="2" fillId="0" borderId="0" xfId="0" applyNumberFormat="1" applyFont="1" applyFill="1" applyBorder="1" applyProtection="1"/>
    <xf numFmtId="3" fontId="7" fillId="0" borderId="0" xfId="0" applyNumberFormat="1" applyFont="1" applyFill="1" applyProtection="1"/>
    <xf numFmtId="5" fontId="2" fillId="0" borderId="7" xfId="0" applyNumberFormat="1" applyFont="1" applyFill="1" applyBorder="1" applyProtection="1"/>
    <xf numFmtId="5" fontId="2" fillId="0" borderId="0" xfId="0" applyNumberFormat="1" applyFont="1" applyFill="1" applyBorder="1" applyProtection="1"/>
    <xf numFmtId="5" fontId="7" fillId="0" borderId="7" xfId="0" applyNumberFormat="1" applyFont="1" applyFill="1" applyBorder="1" applyProtection="1"/>
    <xf numFmtId="5" fontId="7" fillId="0" borderId="0" xfId="0" applyNumberFormat="1" applyFont="1" applyFill="1" applyBorder="1" applyProtection="1"/>
    <xf numFmtId="5" fontId="2" fillId="0" borderId="0" xfId="0" applyNumberFormat="1" applyFont="1" applyFill="1" applyProtection="1"/>
    <xf numFmtId="5" fontId="2" fillId="0" borderId="0" xfId="0" applyNumberFormat="1" applyFont="1" applyFill="1" applyAlignment="1" applyProtection="1">
      <alignment horizontal="center"/>
    </xf>
    <xf numFmtId="5" fontId="7" fillId="0" borderId="0" xfId="0" applyNumberFormat="1" applyFont="1" applyFill="1" applyProtection="1"/>
    <xf numFmtId="0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Alignment="1" applyProtection="1"/>
    <xf numFmtId="37" fontId="6" fillId="0" borderId="0" xfId="0" applyNumberFormat="1" applyFont="1" applyProtection="1"/>
    <xf numFmtId="37" fontId="2" fillId="2" borderId="0" xfId="0" applyNumberFormat="1" applyFont="1" applyFill="1" applyProtection="1"/>
    <xf numFmtId="37" fontId="2" fillId="0" borderId="0" xfId="0" applyNumberFormat="1" applyFont="1" applyAlignment="1" applyProtection="1"/>
    <xf numFmtId="37" fontId="2" fillId="0" borderId="9" xfId="0" applyNumberFormat="1" applyFont="1" applyFill="1" applyBorder="1" applyAlignment="1" applyProtection="1"/>
    <xf numFmtId="164" fontId="2" fillId="0" borderId="7" xfId="0" applyNumberFormat="1" applyFont="1" applyFill="1" applyBorder="1" applyProtection="1"/>
    <xf numFmtId="164" fontId="2" fillId="0" borderId="7" xfId="0" applyNumberFormat="1" applyFont="1" applyFill="1" applyBorder="1" applyAlignment="1" applyProtection="1">
      <alignment horizontal="center"/>
    </xf>
    <xf numFmtId="10" fontId="7" fillId="0" borderId="0" xfId="3" applyNumberFormat="1" applyFont="1" applyFill="1" applyProtection="1"/>
    <xf numFmtId="10" fontId="2" fillId="0" borderId="0" xfId="0" applyNumberFormat="1" applyFont="1" applyFill="1" applyProtection="1"/>
    <xf numFmtId="10" fontId="2" fillId="0" borderId="0" xfId="0" applyNumberFormat="1" applyFont="1" applyFill="1" applyAlignment="1" applyProtection="1">
      <alignment horizontal="center"/>
    </xf>
    <xf numFmtId="10" fontId="2" fillId="0" borderId="0" xfId="0" applyNumberFormat="1" applyFont="1" applyFill="1" applyBorder="1" applyProtection="1"/>
    <xf numFmtId="10" fontId="7" fillId="0" borderId="0" xfId="0" applyNumberFormat="1" applyFont="1" applyFill="1" applyProtection="1"/>
    <xf numFmtId="10" fontId="6" fillId="0" borderId="0" xfId="3" applyNumberFormat="1" applyFont="1" applyBorder="1" applyProtection="1"/>
    <xf numFmtId="0" fontId="2" fillId="0" borderId="0" xfId="0" applyNumberFormat="1" applyFont="1" applyBorder="1" applyAlignment="1" applyProtection="1"/>
    <xf numFmtId="10" fontId="7" fillId="0" borderId="0" xfId="3" applyNumberFormat="1" applyFont="1" applyProtection="1"/>
    <xf numFmtId="0" fontId="2" fillId="0" borderId="0" xfId="0" applyFont="1" applyAlignment="1" applyProtection="1">
      <alignment horizontal="left"/>
    </xf>
    <xf numFmtId="14" fontId="2" fillId="0" borderId="1" xfId="0" applyNumberFormat="1" applyFont="1" applyBorder="1" applyAlignment="1" applyProtection="1">
      <alignment horizontal="left"/>
    </xf>
    <xf numFmtId="0" fontId="4" fillId="2" borderId="0" xfId="0" applyNumberFormat="1" applyFont="1" applyFill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iad%20Water%20Co%20%20LLC_GRUTC_%20Workbook%20092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Info"/>
      <sheetName val="PFIS"/>
      <sheetName val="Sch 1 ADJs"/>
      <sheetName val="Sch 2.1 Co Restating"/>
      <sheetName val="Sch 2.2 Co ProForma"/>
      <sheetName val="Sch 3.1 Staff Restating"/>
      <sheetName val="Sch 3.2 Staff ProForma"/>
      <sheetName val="Sch 4 Cap"/>
      <sheetName val="Sch 5 NTG Factor"/>
      <sheetName val="Sch 6 Rev Req"/>
      <sheetName val="Sch 7 Interest Sync"/>
      <sheetName val="Sch 8 Thirteen-Point"/>
      <sheetName val="Sch 9 DEPN + CIAC"/>
      <sheetName val="Sch 10.1 Rate Design"/>
      <sheetName val="Sch 10.2 Data"/>
      <sheetName val="Sch 11 Crossover"/>
      <sheetName val="Sch 12 Bill Calculator"/>
      <sheetName val="Sch 13 Capacity Factors"/>
      <sheetName val="Sch 14 Service Lives"/>
      <sheetName val="Sch 15 Worksheet Cal Adjs"/>
      <sheetName val="Sch 16 Memo Table"/>
      <sheetName val="Bill Revised"/>
    </sheetNames>
    <sheetDataSet>
      <sheetData sheetId="0">
        <row r="6">
          <cell r="AW6">
            <v>0.15</v>
          </cell>
          <cell r="AZ6">
            <v>0.14202000000000001</v>
          </cell>
        </row>
        <row r="7">
          <cell r="I7" t="str">
            <v>Metered Sales</v>
          </cell>
        </row>
        <row r="8">
          <cell r="I8" t="str">
            <v>Un-Metered Sales</v>
          </cell>
          <cell r="J8">
            <v>179572</v>
          </cell>
        </row>
        <row r="9">
          <cell r="I9" t="str">
            <v>Ready-to-Serve</v>
          </cell>
          <cell r="J9"/>
        </row>
        <row r="10">
          <cell r="B10"/>
          <cell r="I10" t="str">
            <v>Fire Protection / Irrigation</v>
          </cell>
          <cell r="J10"/>
        </row>
        <row r="11">
          <cell r="B11"/>
          <cell r="I11" t="str">
            <v>Jobbing</v>
          </cell>
          <cell r="J11"/>
        </row>
        <row r="12">
          <cell r="B12">
            <v>500</v>
          </cell>
          <cell r="I12" t="str">
            <v>Other Income, Ancillary Charges</v>
          </cell>
          <cell r="J12">
            <v>19825.64</v>
          </cell>
        </row>
        <row r="16">
          <cell r="I16" t="str">
            <v xml:space="preserve">Salary and Wages - Employees  </v>
          </cell>
          <cell r="J16"/>
        </row>
        <row r="17">
          <cell r="I17" t="str">
            <v>Salary and Wages - Officers</v>
          </cell>
          <cell r="J17"/>
        </row>
        <row r="18">
          <cell r="I18" t="str">
            <v>Employee Pensions and Benefits</v>
          </cell>
          <cell r="J18"/>
        </row>
        <row r="19">
          <cell r="I19" t="str">
            <v>Purchased Power/Water</v>
          </cell>
          <cell r="J19">
            <v>70466.67</v>
          </cell>
        </row>
        <row r="20">
          <cell r="I20" t="str">
            <v>Chemicals &amp; Testing</v>
          </cell>
          <cell r="J20">
            <v>6136.52</v>
          </cell>
        </row>
        <row r="21">
          <cell r="I21" t="str">
            <v>Material &amp; Supplies</v>
          </cell>
          <cell r="J21">
            <v>12278.89</v>
          </cell>
        </row>
        <row r="22">
          <cell r="I22" t="str">
            <v>Contractual Engineer</v>
          </cell>
          <cell r="J22"/>
        </row>
        <row r="23">
          <cell r="I23" t="str">
            <v>Contractual Accounting</v>
          </cell>
          <cell r="J23">
            <v>6500</v>
          </cell>
        </row>
        <row r="24">
          <cell r="I24" t="str">
            <v>Contractual Legal</v>
          </cell>
          <cell r="J24">
            <v>6978.5</v>
          </cell>
        </row>
        <row r="25">
          <cell r="I25" t="str">
            <v>Contractual Operations</v>
          </cell>
          <cell r="J25">
            <v>266857</v>
          </cell>
        </row>
        <row r="26">
          <cell r="I26" t="str">
            <v>Jobbing</v>
          </cell>
          <cell r="J26"/>
        </row>
        <row r="27">
          <cell r="I27" t="str">
            <v>Rental of Building, Property, and Equipment</v>
          </cell>
          <cell r="J27"/>
        </row>
        <row r="28">
          <cell r="I28" t="str">
            <v>Transportation</v>
          </cell>
          <cell r="J28">
            <v>10.87</v>
          </cell>
        </row>
        <row r="29">
          <cell r="I29" t="str">
            <v>Insurance - Vehicle, General Liability, Workman's Comp.</v>
          </cell>
          <cell r="J29">
            <v>5344</v>
          </cell>
        </row>
        <row r="30">
          <cell r="I30" t="str">
            <v>Regulatory Commission Expenses - Fees</v>
          </cell>
          <cell r="J30">
            <v>305.41000000000003</v>
          </cell>
        </row>
        <row r="31">
          <cell r="I31" t="str">
            <v>Regulatory Commission Expenses - Amort. Rate Case</v>
          </cell>
          <cell r="J31"/>
        </row>
        <row r="32">
          <cell r="I32" t="str">
            <v>Travel, Education, CCR, and Public Relations</v>
          </cell>
          <cell r="J32"/>
        </row>
        <row r="33">
          <cell r="I33" t="str">
            <v>Office, Postage, Phone, and Bank Charges</v>
          </cell>
          <cell r="J33">
            <v>15790</v>
          </cell>
        </row>
        <row r="34">
          <cell r="I34" t="str">
            <v>Bad Debt</v>
          </cell>
          <cell r="J34">
            <v>14266.02</v>
          </cell>
        </row>
        <row r="35">
          <cell r="I35" t="str">
            <v>Repairs</v>
          </cell>
          <cell r="J35"/>
        </row>
        <row r="36">
          <cell r="I36" t="str">
            <v>Net Depreciation/Amortization</v>
          </cell>
          <cell r="J36">
            <v>29491</v>
          </cell>
        </row>
        <row r="37">
          <cell r="I37" t="str">
            <v>Utility Excise Tax</v>
          </cell>
        </row>
        <row r="38">
          <cell r="I38" t="str">
            <v>Property Tax</v>
          </cell>
          <cell r="J38">
            <v>852.41</v>
          </cell>
        </row>
        <row r="39">
          <cell r="I39" t="str">
            <v xml:space="preserve">Payroll Tax  </v>
          </cell>
          <cell r="J39"/>
        </row>
        <row r="40">
          <cell r="I40" t="str">
            <v>Other Taxes &amp; Licenses (DOH/PWB/ESD/DOE)</v>
          </cell>
          <cell r="J40">
            <v>506.52</v>
          </cell>
        </row>
        <row r="41">
          <cell r="I41" t="str">
            <v>Miscellaneous</v>
          </cell>
          <cell r="J41"/>
        </row>
        <row r="44">
          <cell r="J44"/>
        </row>
        <row r="45">
          <cell r="J45"/>
        </row>
        <row r="51">
          <cell r="J51">
            <v>2062275</v>
          </cell>
        </row>
        <row r="52">
          <cell r="J52">
            <v>-791035</v>
          </cell>
        </row>
        <row r="53">
          <cell r="J53">
            <v>0</v>
          </cell>
        </row>
        <row r="54">
          <cell r="J54">
            <v>-238403</v>
          </cell>
        </row>
        <row r="55">
          <cell r="J55">
            <v>46853</v>
          </cell>
        </row>
      </sheetData>
      <sheetData sheetId="1"/>
      <sheetData sheetId="2">
        <row r="4">
          <cell r="B4" t="str">
            <v>Iliad Water Co LLC</v>
          </cell>
        </row>
        <row r="5">
          <cell r="B5"/>
        </row>
        <row r="6">
          <cell r="B6" t="str">
            <v>For the test period ending August 31, 2016</v>
          </cell>
        </row>
        <row r="17">
          <cell r="B17" t="str">
            <v>Pro Forma Income Statement (Results of Operations)</v>
          </cell>
        </row>
      </sheetData>
      <sheetData sheetId="3">
        <row r="10">
          <cell r="Q10" t="str">
            <v>Company</v>
          </cell>
        </row>
      </sheetData>
      <sheetData sheetId="4"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G35">
            <v>3500.666666666667</v>
          </cell>
          <cell r="H35">
            <v>0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</row>
        <row r="38">
          <cell r="C38">
            <v>-14266.02</v>
          </cell>
          <cell r="D38">
            <v>-14266.02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2">
          <cell r="C42">
            <v>0</v>
          </cell>
          <cell r="D42">
            <v>0</v>
          </cell>
          <cell r="G42">
            <v>0</v>
          </cell>
          <cell r="H42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</row>
        <row r="44">
          <cell r="C44">
            <v>0</v>
          </cell>
          <cell r="D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</row>
        <row r="49">
          <cell r="C49">
            <v>0</v>
          </cell>
          <cell r="D49">
            <v>0</v>
          </cell>
          <cell r="H49">
            <v>13976.798169174323</v>
          </cell>
        </row>
        <row r="50">
          <cell r="C50">
            <v>0</v>
          </cell>
          <cell r="D50">
            <v>0</v>
          </cell>
          <cell r="H50">
            <v>0</v>
          </cell>
        </row>
        <row r="56">
          <cell r="D56">
            <v>-282203</v>
          </cell>
          <cell r="H56">
            <v>0</v>
          </cell>
        </row>
        <row r="57">
          <cell r="D57">
            <v>-252475.36472075863</v>
          </cell>
          <cell r="H57">
            <v>0</v>
          </cell>
        </row>
        <row r="58">
          <cell r="D58">
            <v>0</v>
          </cell>
          <cell r="H58">
            <v>0</v>
          </cell>
        </row>
        <row r="59">
          <cell r="D59">
            <v>75632</v>
          </cell>
          <cell r="H59">
            <v>0</v>
          </cell>
        </row>
        <row r="60">
          <cell r="D60">
            <v>39734.46510853534</v>
          </cell>
          <cell r="H60">
            <v>0</v>
          </cell>
        </row>
        <row r="64">
          <cell r="C64">
            <v>2</v>
          </cell>
          <cell r="D64">
            <v>2</v>
          </cell>
          <cell r="G64">
            <v>0</v>
          </cell>
          <cell r="H64">
            <v>0</v>
          </cell>
        </row>
      </sheetData>
      <sheetData sheetId="5"/>
      <sheetData sheetId="6"/>
      <sheetData sheetId="7">
        <row r="56"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</row>
        <row r="57"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</row>
        <row r="58"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</row>
        <row r="59"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</row>
        <row r="60"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</row>
      </sheetData>
      <sheetData sheetId="8">
        <row r="56"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</row>
        <row r="57"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</row>
        <row r="58"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</row>
        <row r="59"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</row>
        <row r="60"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</row>
      </sheetData>
      <sheetData sheetId="9">
        <row r="46">
          <cell r="K46">
            <v>8.4659368086053063E-3</v>
          </cell>
        </row>
        <row r="52">
          <cell r="I52">
            <v>2.12E-2</v>
          </cell>
          <cell r="K52">
            <v>8.0500000000000002E-2</v>
          </cell>
        </row>
      </sheetData>
      <sheetData sheetId="10">
        <row r="12">
          <cell r="G12">
            <v>513.0248346967403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13578.95733521004</v>
          </cell>
        </row>
        <row r="21">
          <cell r="D21">
            <v>0.15</v>
          </cell>
        </row>
        <row r="23">
          <cell r="I23">
            <v>0.15</v>
          </cell>
        </row>
        <row r="25">
          <cell r="I25">
            <v>2.1315898019512412E-2</v>
          </cell>
        </row>
        <row r="33">
          <cell r="C33">
            <v>50000</v>
          </cell>
          <cell r="F33">
            <v>0.15</v>
          </cell>
        </row>
        <row r="34">
          <cell r="B34">
            <v>50000</v>
          </cell>
          <cell r="C34">
            <v>75000</v>
          </cell>
          <cell r="D34">
            <v>7500</v>
          </cell>
          <cell r="F34">
            <v>0.25</v>
          </cell>
          <cell r="G34">
            <v>50000</v>
          </cell>
        </row>
        <row r="35">
          <cell r="B35">
            <v>75000</v>
          </cell>
          <cell r="C35">
            <v>100000</v>
          </cell>
          <cell r="D35">
            <v>13750</v>
          </cell>
          <cell r="F35">
            <v>0.34</v>
          </cell>
          <cell r="G35">
            <v>75000</v>
          </cell>
        </row>
        <row r="36">
          <cell r="B36">
            <v>100000</v>
          </cell>
          <cell r="C36">
            <v>335000</v>
          </cell>
          <cell r="D36">
            <v>22250</v>
          </cell>
          <cell r="F36">
            <v>0.39</v>
          </cell>
          <cell r="G36">
            <v>100000</v>
          </cell>
        </row>
        <row r="37">
          <cell r="B37">
            <v>335000</v>
          </cell>
          <cell r="C37">
            <v>10000000</v>
          </cell>
          <cell r="D37">
            <v>113900</v>
          </cell>
          <cell r="F37">
            <v>0.34</v>
          </cell>
          <cell r="G37">
            <v>335000</v>
          </cell>
        </row>
        <row r="38">
          <cell r="B38">
            <v>10000000</v>
          </cell>
          <cell r="C38">
            <v>15000000</v>
          </cell>
          <cell r="D38">
            <v>3400000</v>
          </cell>
          <cell r="F38">
            <v>0.35</v>
          </cell>
          <cell r="G38">
            <v>10000000</v>
          </cell>
        </row>
        <row r="39">
          <cell r="B39">
            <v>15000000</v>
          </cell>
          <cell r="C39">
            <v>18333333</v>
          </cell>
          <cell r="D39">
            <v>5150000</v>
          </cell>
          <cell r="F39">
            <v>0.38</v>
          </cell>
          <cell r="G39">
            <v>15000000</v>
          </cell>
        </row>
        <row r="40">
          <cell r="B40">
            <v>18333333</v>
          </cell>
          <cell r="F40">
            <v>0.35</v>
          </cell>
        </row>
      </sheetData>
      <sheetData sheetId="11">
        <row r="12">
          <cell r="E12">
            <v>14000.015728220867</v>
          </cell>
        </row>
        <row r="19">
          <cell r="E19">
            <v>270013.07089302118</v>
          </cell>
        </row>
      </sheetData>
      <sheetData sheetId="12">
        <row r="12">
          <cell r="E12">
            <v>2.1164842021513267E-2</v>
          </cell>
        </row>
      </sheetData>
      <sheetData sheetId="13">
        <row r="22">
          <cell r="G22">
            <v>660378.1003877765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4"/>
  <sheetViews>
    <sheetView tabSelected="1" workbookViewId="0">
      <selection activeCell="B10" sqref="B10"/>
    </sheetView>
  </sheetViews>
  <sheetFormatPr defaultColWidth="13.7109375" defaultRowHeight="15.75" x14ac:dyDescent="0.25"/>
  <cols>
    <col min="1" max="1" width="7.5703125" style="2" bestFit="1" customWidth="1"/>
    <col min="2" max="2" width="61.140625" style="1" bestFit="1" customWidth="1"/>
    <col min="3" max="3" width="15.28515625" style="1" customWidth="1"/>
    <col min="4" max="4" width="2.140625" style="30" customWidth="1"/>
    <col min="5" max="5" width="23.28515625" style="1" customWidth="1"/>
    <col min="6" max="6" width="16.7109375" style="1" bestFit="1" customWidth="1"/>
    <col min="7" max="7" width="2.140625" style="5" customWidth="1"/>
    <col min="8" max="8" width="24.5703125" style="1" customWidth="1"/>
    <col min="9" max="9" width="17.5703125" style="1" customWidth="1"/>
    <col min="10" max="10" width="2.140625" style="104" customWidth="1"/>
    <col min="11" max="11" width="18.85546875" style="1" bestFit="1" customWidth="1"/>
    <col min="12" max="12" width="21.7109375" style="1" customWidth="1"/>
    <col min="13" max="13" width="2.140625" style="1" customWidth="1"/>
    <col min="14" max="14" width="11.140625" style="1" bestFit="1" customWidth="1"/>
    <col min="15" max="15" width="28.42578125" style="1" bestFit="1" customWidth="1"/>
    <col min="16" max="16" width="3.140625" style="1" customWidth="1"/>
    <col min="17" max="17" width="41.28515625" style="1" bestFit="1" customWidth="1"/>
    <col min="18" max="18" width="19.42578125" style="1" bestFit="1" customWidth="1"/>
    <col min="19" max="19" width="3.140625" style="1" customWidth="1"/>
    <col min="20" max="232" width="13.7109375" style="1" customWidth="1"/>
    <col min="233" max="16384" width="13.7109375" style="1"/>
  </cols>
  <sheetData>
    <row r="1" spans="1:19" ht="15.95" customHeight="1" x14ac:dyDescent="0.25">
      <c r="A1" s="106" t="str">
        <f>+[1]Info!B4</f>
        <v>Iliad Water Co LLC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9" ht="15.95" customHeight="1" x14ac:dyDescent="0.25">
      <c r="A2" s="106">
        <f>+[1]Info!B5</f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9" ht="15.95" customHeight="1" x14ac:dyDescent="0.25">
      <c r="A3" s="106" t="str">
        <f>+[1]Info!B6</f>
        <v>For the test period ending August 31, 2016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9" ht="15.95" customHeight="1" x14ac:dyDescent="0.25">
      <c r="A4" s="107" t="str">
        <f>[1]Info!B17</f>
        <v>Pro Forma Income Statement (Results of Operations)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9" s="6" customFormat="1" ht="15.95" customHeight="1" x14ac:dyDescent="0.25">
      <c r="A5" s="2"/>
      <c r="B5" s="3" t="s">
        <v>0</v>
      </c>
      <c r="C5" s="4" t="s">
        <v>1</v>
      </c>
      <c r="D5" s="5"/>
      <c r="E5" s="6" t="s">
        <v>2</v>
      </c>
      <c r="F5" s="6" t="s">
        <v>3</v>
      </c>
      <c r="G5" s="7"/>
      <c r="H5" s="6" t="s">
        <v>4</v>
      </c>
      <c r="I5" s="6" t="s">
        <v>5</v>
      </c>
      <c r="J5" s="8"/>
      <c r="K5" s="6" t="s">
        <v>6</v>
      </c>
      <c r="L5" s="6" t="s">
        <v>7</v>
      </c>
      <c r="M5" s="5"/>
    </row>
    <row r="6" spans="1:19" s="6" customFormat="1" ht="31.5" x14ac:dyDescent="0.25">
      <c r="A6" s="9" t="s">
        <v>8</v>
      </c>
      <c r="B6" s="10" t="s">
        <v>9</v>
      </c>
      <c r="C6" s="9" t="s">
        <v>10</v>
      </c>
      <c r="D6" s="11"/>
      <c r="E6" s="9" t="str">
        <f>IF($Q$10="Company","Total Restating Adjustment (Company)", "Total Restating Adjustment (Staff)")</f>
        <v>Total Restating Adjustment (Company)</v>
      </c>
      <c r="F6" s="9" t="s">
        <v>11</v>
      </c>
      <c r="G6" s="12"/>
      <c r="H6" s="9" t="str">
        <f>IF($Q$10="Company","Total Pro Forma Adjustment (Company)", "Total Pro Forma Adjustment (Staff)")</f>
        <v>Total Pro Forma Adjustment (Company)</v>
      </c>
      <c r="I6" s="9" t="s">
        <v>12</v>
      </c>
      <c r="J6" s="13"/>
      <c r="K6" s="9" t="str">
        <f>IF($Q$10="Company","Proposed Revenue (Company)", "Revised Revenue (Staff)")</f>
        <v>Proposed Revenue (Company)</v>
      </c>
      <c r="L6" s="9" t="str">
        <f>IF($Q$10="Company","Results of Proposed Rates (Company)", "Results of Revised Rates (Staff)")</f>
        <v>Results of Proposed Rates (Company)</v>
      </c>
      <c r="M6" s="14"/>
      <c r="P6" s="15"/>
      <c r="Q6" s="15"/>
    </row>
    <row r="7" spans="1:19" s="24" customFormat="1" ht="15.95" customHeight="1" x14ac:dyDescent="0.25">
      <c r="A7" s="16">
        <v>1</v>
      </c>
      <c r="B7" s="17" t="s">
        <v>13</v>
      </c>
      <c r="C7" s="18" t="s">
        <v>14</v>
      </c>
      <c r="D7" s="19"/>
      <c r="E7" s="20" t="s">
        <v>15</v>
      </c>
      <c r="F7" s="20" t="s">
        <v>16</v>
      </c>
      <c r="G7" s="21"/>
      <c r="H7" s="20" t="s">
        <v>15</v>
      </c>
      <c r="I7" s="20" t="s">
        <v>17</v>
      </c>
      <c r="J7" s="20"/>
      <c r="K7" s="20" t="s">
        <v>18</v>
      </c>
      <c r="L7" s="22" t="s">
        <v>19</v>
      </c>
      <c r="M7" s="23"/>
      <c r="P7" s="25"/>
      <c r="Q7" s="108" t="s">
        <v>20</v>
      </c>
      <c r="R7" s="108"/>
      <c r="S7" s="25"/>
    </row>
    <row r="8" spans="1:19" s="6" customFormat="1" ht="15.95" customHeight="1" x14ac:dyDescent="0.25">
      <c r="A8" s="16">
        <f>1+A7</f>
        <v>2</v>
      </c>
      <c r="B8" s="26" t="s">
        <v>21</v>
      </c>
      <c r="C8" s="13"/>
      <c r="D8" s="11"/>
      <c r="E8" s="13"/>
      <c r="F8" s="13"/>
      <c r="G8" s="12"/>
      <c r="H8" s="13"/>
      <c r="I8" s="13"/>
      <c r="J8" s="13"/>
      <c r="K8" s="13"/>
      <c r="L8" s="13"/>
      <c r="M8" s="12"/>
      <c r="P8" s="27"/>
      <c r="S8" s="27"/>
    </row>
    <row r="9" spans="1:19" ht="15.95" customHeight="1" thickBot="1" x14ac:dyDescent="0.3">
      <c r="A9" s="16">
        <f t="shared" ref="A9:A62" si="0">1+A8</f>
        <v>3</v>
      </c>
      <c r="B9" s="28" t="str">
        <f>+[1]Input!I7</f>
        <v>Metered Sales</v>
      </c>
      <c r="C9" s="29">
        <v>22889</v>
      </c>
      <c r="E9" s="2">
        <f>IF([1]PFIS!$Q$10="Company", '[1]Sch 1 ADJs'!C11, '[1]Sch 1 ADJs'!D11)</f>
        <v>0</v>
      </c>
      <c r="F9" s="31">
        <f t="shared" ref="F9:F14" si="1">E9+C9</f>
        <v>22889</v>
      </c>
      <c r="G9" s="32"/>
      <c r="H9" s="2">
        <f>IF([1]PFIS!$Q$10="Company", '[1]Sch 1 ADJs'!G11, '[1]Sch 1 ADJs'!H11)</f>
        <v>0</v>
      </c>
      <c r="I9" s="31">
        <f>+H9+F9</f>
        <v>22889</v>
      </c>
      <c r="J9" s="33"/>
      <c r="K9" s="34">
        <v>0</v>
      </c>
      <c r="L9" s="29">
        <f t="shared" ref="L9:L14" si="2">+K9+I9</f>
        <v>22889</v>
      </c>
      <c r="M9" s="35"/>
      <c r="N9" s="36" t="str">
        <f t="shared" ref="N9:N14" si="3">IF(OR(K9=0, I9=0), "", (K9/I9))</f>
        <v/>
      </c>
      <c r="O9" s="37" t="str">
        <f>IF(N9="", "", "(percentage difference)")</f>
        <v/>
      </c>
      <c r="P9" s="38"/>
      <c r="Q9" s="6" t="s">
        <v>22</v>
      </c>
      <c r="S9" s="38"/>
    </row>
    <row r="10" spans="1:19" ht="15.95" customHeight="1" thickBot="1" x14ac:dyDescent="0.3">
      <c r="A10" s="16">
        <f t="shared" si="0"/>
        <v>4</v>
      </c>
      <c r="B10" s="28" t="str">
        <f>+[1]Input!I8</f>
        <v>Un-Metered Sales</v>
      </c>
      <c r="C10" s="29">
        <f>[1]Input!J8</f>
        <v>179572</v>
      </c>
      <c r="D10" s="39"/>
      <c r="E10" s="2">
        <f>IF([1]PFIS!$Q$10="Company", '[1]Sch 1 ADJs'!C12, '[1]Sch 1 ADJs'!D12)</f>
        <v>0</v>
      </c>
      <c r="F10" s="31">
        <f t="shared" si="1"/>
        <v>179572</v>
      </c>
      <c r="G10" s="32"/>
      <c r="H10" s="2">
        <f>IF([1]PFIS!$Q$10="Company", '[1]Sch 1 ADJs'!G12, '[1]Sch 1 ADJs'!H12)</f>
        <v>0</v>
      </c>
      <c r="I10" s="31">
        <f>+F10+H10</f>
        <v>179572</v>
      </c>
      <c r="J10" s="33"/>
      <c r="K10" s="34">
        <v>318300</v>
      </c>
      <c r="L10" s="29">
        <f t="shared" si="2"/>
        <v>497872</v>
      </c>
      <c r="M10" s="35"/>
      <c r="N10" s="36">
        <f t="shared" si="3"/>
        <v>1.7725480587173947</v>
      </c>
      <c r="O10" s="37" t="str">
        <f t="shared" ref="O10:O16" si="4">IF(N10="", "", "(percentage difference)")</f>
        <v>(percentage difference)</v>
      </c>
      <c r="P10" s="38"/>
      <c r="Q10" s="40" t="s">
        <v>23</v>
      </c>
      <c r="S10" s="38"/>
    </row>
    <row r="11" spans="1:19" ht="15.95" customHeight="1" x14ac:dyDescent="0.25">
      <c r="A11" s="16">
        <f t="shared" si="0"/>
        <v>5</v>
      </c>
      <c r="B11" s="28" t="str">
        <f>+[1]Input!I9</f>
        <v>Ready-to-Serve</v>
      </c>
      <c r="C11" s="29">
        <f>[1]Input!J9</f>
        <v>0</v>
      </c>
      <c r="D11" s="39"/>
      <c r="E11" s="2">
        <f>IF([1]PFIS!$Q$10="Company", '[1]Sch 1 ADJs'!C13, '[1]Sch 1 ADJs'!D13)</f>
        <v>0</v>
      </c>
      <c r="F11" s="31">
        <f t="shared" si="1"/>
        <v>0</v>
      </c>
      <c r="G11" s="32"/>
      <c r="H11" s="2">
        <f>IF([1]PFIS!$Q$10="Company", '[1]Sch 1 ADJs'!G13, '[1]Sch 1 ADJs'!H13)</f>
        <v>0</v>
      </c>
      <c r="I11" s="31">
        <f>F11+H11</f>
        <v>0</v>
      </c>
      <c r="J11" s="33"/>
      <c r="K11" s="34">
        <v>0</v>
      </c>
      <c r="L11" s="29">
        <f t="shared" si="2"/>
        <v>0</v>
      </c>
      <c r="M11" s="35"/>
      <c r="N11" s="36" t="str">
        <f t="shared" si="3"/>
        <v/>
      </c>
      <c r="O11" s="37" t="str">
        <f t="shared" si="4"/>
        <v/>
      </c>
      <c r="P11" s="38"/>
      <c r="S11" s="38"/>
    </row>
    <row r="12" spans="1:19" ht="15.95" customHeight="1" thickBot="1" x14ac:dyDescent="0.3">
      <c r="A12" s="16">
        <f t="shared" si="0"/>
        <v>6</v>
      </c>
      <c r="B12" s="28" t="str">
        <f>+[1]Input!I10</f>
        <v>Fire Protection / Irrigation</v>
      </c>
      <c r="C12" s="29">
        <f>[1]Input!J10</f>
        <v>0</v>
      </c>
      <c r="D12" s="39"/>
      <c r="E12" s="2">
        <f>IF([1]PFIS!$Q$10="Company", '[1]Sch 1 ADJs'!C14, '[1]Sch 1 ADJs'!D14)</f>
        <v>0</v>
      </c>
      <c r="F12" s="31">
        <f t="shared" si="1"/>
        <v>0</v>
      </c>
      <c r="G12" s="32"/>
      <c r="H12" s="2">
        <f>IF([1]PFIS!$Q$10="Company", '[1]Sch 1 ADJs'!G14, '[1]Sch 1 ADJs'!H14)</f>
        <v>0</v>
      </c>
      <c r="I12" s="31">
        <f>F12+H12</f>
        <v>0</v>
      </c>
      <c r="J12" s="33"/>
      <c r="K12" s="34">
        <v>0</v>
      </c>
      <c r="L12" s="29">
        <f t="shared" si="2"/>
        <v>0</v>
      </c>
      <c r="M12" s="35"/>
      <c r="N12" s="36" t="str">
        <f t="shared" si="3"/>
        <v/>
      </c>
      <c r="O12" s="37" t="str">
        <f t="shared" si="4"/>
        <v/>
      </c>
      <c r="P12" s="38"/>
      <c r="Q12" s="6" t="s">
        <v>24</v>
      </c>
      <c r="S12" s="38"/>
    </row>
    <row r="13" spans="1:19" ht="15.95" customHeight="1" thickBot="1" x14ac:dyDescent="0.3">
      <c r="A13" s="16">
        <f t="shared" si="0"/>
        <v>7</v>
      </c>
      <c r="B13" s="28" t="str">
        <f>+[1]Input!I11</f>
        <v>Jobbing</v>
      </c>
      <c r="C13" s="29">
        <f>[1]Input!J11</f>
        <v>0</v>
      </c>
      <c r="D13" s="39"/>
      <c r="E13" s="2">
        <f>IF([1]PFIS!$Q$10="Company", '[1]Sch 1 ADJs'!C15, '[1]Sch 1 ADJs'!D15)</f>
        <v>0</v>
      </c>
      <c r="F13" s="31">
        <f t="shared" si="1"/>
        <v>0</v>
      </c>
      <c r="G13" s="32"/>
      <c r="H13" s="2">
        <f>IF([1]PFIS!$Q$10="Company", '[1]Sch 1 ADJs'!G15, '[1]Sch 1 ADJs'!H15)</f>
        <v>0</v>
      </c>
      <c r="I13" s="31">
        <f>F13+H13</f>
        <v>0</v>
      </c>
      <c r="J13" s="33"/>
      <c r="K13" s="41">
        <v>0</v>
      </c>
      <c r="L13" s="29">
        <f t="shared" si="2"/>
        <v>0</v>
      </c>
      <c r="M13" s="35"/>
      <c r="N13" s="36" t="str">
        <f t="shared" si="3"/>
        <v/>
      </c>
      <c r="O13" s="37" t="str">
        <f t="shared" si="4"/>
        <v/>
      </c>
      <c r="P13" s="38"/>
      <c r="Q13" s="40" t="s">
        <v>25</v>
      </c>
      <c r="S13" s="38"/>
    </row>
    <row r="14" spans="1:19" ht="15.95" customHeight="1" thickBot="1" x14ac:dyDescent="0.3">
      <c r="A14" s="16">
        <f t="shared" si="0"/>
        <v>8</v>
      </c>
      <c r="B14" s="28" t="str">
        <f>+[1]Input!I12</f>
        <v>Other Income, Ancillary Charges</v>
      </c>
      <c r="C14" s="29">
        <f>[1]Input!J12</f>
        <v>19825.64</v>
      </c>
      <c r="D14" s="39"/>
      <c r="E14" s="2">
        <f>IF([1]PFIS!$Q$10="Company", '[1]Sch 1 ADJs'!C16, '[1]Sch 1 ADJs'!D16)</f>
        <v>0</v>
      </c>
      <c r="F14" s="31">
        <f t="shared" si="1"/>
        <v>19825.64</v>
      </c>
      <c r="G14" s="32"/>
      <c r="H14" s="2">
        <f>IF([1]PFIS!$Q$10="Company", '[1]Sch 1 ADJs'!G16, '[1]Sch 1 ADJs'!H16)</f>
        <v>0</v>
      </c>
      <c r="I14" s="31">
        <f>F14+H14</f>
        <v>19825.64</v>
      </c>
      <c r="J14" s="33"/>
      <c r="K14" s="41">
        <v>0</v>
      </c>
      <c r="L14" s="29">
        <f t="shared" si="2"/>
        <v>19825.64</v>
      </c>
      <c r="M14" s="35"/>
      <c r="N14" s="36" t="str">
        <f t="shared" si="3"/>
        <v/>
      </c>
      <c r="O14" s="37" t="str">
        <f t="shared" si="4"/>
        <v/>
      </c>
      <c r="P14" s="38"/>
      <c r="S14" s="38"/>
    </row>
    <row r="15" spans="1:19" ht="15.95" customHeight="1" thickTop="1" thickBot="1" x14ac:dyDescent="0.3">
      <c r="A15" s="16">
        <f t="shared" si="0"/>
        <v>9</v>
      </c>
      <c r="B15" s="28" t="s">
        <v>26</v>
      </c>
      <c r="C15" s="42">
        <f>SUM(C9:C14)</f>
        <v>222286.64</v>
      </c>
      <c r="D15" s="39"/>
      <c r="E15" s="43">
        <f>SUM(E9:E14)</f>
        <v>0</v>
      </c>
      <c r="F15" s="42">
        <f>SUM(F9:F14)</f>
        <v>222286.64</v>
      </c>
      <c r="G15" s="32"/>
      <c r="H15" s="44">
        <f>SUM(H9:H14)</f>
        <v>0</v>
      </c>
      <c r="I15" s="42">
        <f>SUM(I9:I14)</f>
        <v>222286.64</v>
      </c>
      <c r="J15" s="45"/>
      <c r="K15" s="46">
        <f>SUM(K9:K14)</f>
        <v>318300</v>
      </c>
      <c r="L15" s="42">
        <f>SUM(L9:L14)</f>
        <v>540586.64</v>
      </c>
      <c r="M15" s="47"/>
      <c r="N15" s="48">
        <f>'[1]Sch 6 Rev Req'!E19</f>
        <v>270013.07089302118</v>
      </c>
      <c r="O15" s="37" t="s">
        <v>27</v>
      </c>
      <c r="P15" s="38"/>
      <c r="Q15" s="6" t="s">
        <v>28</v>
      </c>
      <c r="R15" s="6" t="s">
        <v>29</v>
      </c>
      <c r="S15" s="38"/>
    </row>
    <row r="16" spans="1:19" ht="15.95" customHeight="1" thickBot="1" x14ac:dyDescent="0.3">
      <c r="A16" s="16">
        <f t="shared" si="0"/>
        <v>10</v>
      </c>
      <c r="B16" s="30"/>
      <c r="C16" s="33"/>
      <c r="D16" s="49"/>
      <c r="E16" s="50"/>
      <c r="F16" s="33"/>
      <c r="G16" s="51"/>
      <c r="H16" s="52"/>
      <c r="I16" s="53"/>
      <c r="J16" s="53"/>
      <c r="K16" s="52"/>
      <c r="L16" s="53"/>
      <c r="M16" s="54"/>
      <c r="N16" s="36">
        <f>K15/F15</f>
        <v>1.4319349107080839</v>
      </c>
      <c r="O16" s="37" t="str">
        <f t="shared" si="4"/>
        <v>(percentage difference)</v>
      </c>
      <c r="P16" s="38"/>
      <c r="Q16" s="55">
        <f>[1]Input!AW6</f>
        <v>0.15</v>
      </c>
      <c r="R16" s="56">
        <f>'[1]Sch 5 NTG Factor'!$I$23</f>
        <v>0.15</v>
      </c>
      <c r="S16" s="38"/>
    </row>
    <row r="17" spans="1:21" ht="15.95" customHeight="1" x14ac:dyDescent="0.25">
      <c r="A17" s="16">
        <f t="shared" si="0"/>
        <v>11</v>
      </c>
      <c r="B17" s="57" t="s">
        <v>30</v>
      </c>
      <c r="C17" s="58"/>
      <c r="D17" s="49"/>
      <c r="E17" s="59"/>
      <c r="F17" s="60"/>
      <c r="G17" s="51"/>
      <c r="H17" s="50"/>
      <c r="I17" s="60"/>
      <c r="J17" s="60"/>
      <c r="K17" s="61"/>
      <c r="L17" s="60"/>
      <c r="M17" s="62"/>
      <c r="N17" s="37"/>
      <c r="O17" s="37"/>
      <c r="P17" s="38"/>
      <c r="S17" s="38"/>
    </row>
    <row r="18" spans="1:21" ht="15.95" customHeight="1" thickBot="1" x14ac:dyDescent="0.3">
      <c r="A18" s="16">
        <f t="shared" si="0"/>
        <v>12</v>
      </c>
      <c r="B18" s="39" t="str">
        <f>+[1]Input!I16</f>
        <v xml:space="preserve">Salary and Wages - Employees  </v>
      </c>
      <c r="C18" s="29">
        <f>[1]Input!J16</f>
        <v>0</v>
      </c>
      <c r="D18" s="39"/>
      <c r="E18" s="2">
        <f>IF([1]PFIS!$Q$10="Company", '[1]Sch 1 ADJs'!C20, '[1]Sch 1 ADJs'!D20)</f>
        <v>0</v>
      </c>
      <c r="F18" s="29">
        <f t="shared" ref="F18:F43" si="5">E18+C18</f>
        <v>0</v>
      </c>
      <c r="G18" s="32"/>
      <c r="H18" s="2">
        <f>IF([1]PFIS!$Q$10="Company", '[1]Sch 1 ADJs'!G20, '[1]Sch 1 ADJs'!H20)</f>
        <v>0</v>
      </c>
      <c r="I18" s="29">
        <f t="shared" ref="I18:I43" si="6">F18+H18</f>
        <v>0</v>
      </c>
      <c r="J18" s="58"/>
      <c r="K18" s="2"/>
      <c r="L18" s="29">
        <f t="shared" ref="L18:L43" si="7">I18+K18</f>
        <v>0</v>
      </c>
      <c r="M18" s="35"/>
      <c r="P18" s="38"/>
      <c r="Q18" s="6" t="s">
        <v>31</v>
      </c>
      <c r="R18" s="6" t="s">
        <v>32</v>
      </c>
      <c r="S18" s="38"/>
      <c r="T18" s="36">
        <f>(L18+L19+L20+L24+L25+L26+L27)/L44</f>
        <v>0.63719501303670356</v>
      </c>
      <c r="U18" s="37" t="s">
        <v>33</v>
      </c>
    </row>
    <row r="19" spans="1:21" ht="15.95" customHeight="1" thickBot="1" x14ac:dyDescent="0.3">
      <c r="A19" s="16">
        <f t="shared" si="0"/>
        <v>13</v>
      </c>
      <c r="B19" s="39" t="str">
        <f>+[1]Input!I17</f>
        <v>Salary and Wages - Officers</v>
      </c>
      <c r="C19" s="29">
        <f>[1]Input!J17</f>
        <v>0</v>
      </c>
      <c r="D19" s="39"/>
      <c r="E19" s="2">
        <f>IF([1]PFIS!$Q$10="Company", '[1]Sch 1 ADJs'!C21, '[1]Sch 1 ADJs'!D21)</f>
        <v>0</v>
      </c>
      <c r="F19" s="29">
        <f t="shared" si="5"/>
        <v>0</v>
      </c>
      <c r="G19" s="32"/>
      <c r="H19" s="2">
        <f>IF([1]PFIS!$Q$10="Company", '[1]Sch 1 ADJs'!G21, '[1]Sch 1 ADJs'!H21)</f>
        <v>0</v>
      </c>
      <c r="I19" s="29">
        <f t="shared" si="6"/>
        <v>0</v>
      </c>
      <c r="J19" s="58"/>
      <c r="K19" s="2"/>
      <c r="L19" s="29">
        <f t="shared" si="7"/>
        <v>0</v>
      </c>
      <c r="M19" s="35"/>
      <c r="P19" s="63"/>
      <c r="Q19" s="64">
        <f>[1]Input!AZ6</f>
        <v>0.14202000000000001</v>
      </c>
      <c r="R19" s="65">
        <f>'[1]Sch 5 NTG Factor'!$I$25</f>
        <v>2.1315898019512412E-2</v>
      </c>
      <c r="S19" s="63"/>
      <c r="T19" s="36"/>
      <c r="U19" s="37"/>
    </row>
    <row r="20" spans="1:21" ht="15.95" customHeight="1" x14ac:dyDescent="0.25">
      <c r="A20" s="16">
        <f t="shared" si="0"/>
        <v>14</v>
      </c>
      <c r="B20" s="39" t="str">
        <f>+[1]Input!I18</f>
        <v>Employee Pensions and Benefits</v>
      </c>
      <c r="C20" s="29">
        <f>[1]Input!J18</f>
        <v>0</v>
      </c>
      <c r="D20" s="39"/>
      <c r="E20" s="2">
        <f>IF([1]PFIS!$Q$10="Company", '[1]Sch 1 ADJs'!C22, '[1]Sch 1 ADJs'!D22)</f>
        <v>0</v>
      </c>
      <c r="F20" s="29">
        <f t="shared" si="5"/>
        <v>0</v>
      </c>
      <c r="G20" s="32"/>
      <c r="H20" s="2">
        <f>IF([1]PFIS!$Q$10="Company", '[1]Sch 1 ADJs'!G22, '[1]Sch 1 ADJs'!H22)</f>
        <v>0</v>
      </c>
      <c r="I20" s="29">
        <f t="shared" si="6"/>
        <v>0</v>
      </c>
      <c r="J20" s="58"/>
      <c r="K20" s="2"/>
      <c r="L20" s="29">
        <f t="shared" si="7"/>
        <v>0</v>
      </c>
      <c r="M20" s="35"/>
      <c r="P20" s="63"/>
      <c r="Q20" s="66"/>
      <c r="R20" s="66"/>
      <c r="S20" s="63"/>
      <c r="T20" s="36" t="e">
        <f>L20/(L18+L19)</f>
        <v>#DIV/0!</v>
      </c>
      <c r="U20" s="37" t="s">
        <v>34</v>
      </c>
    </row>
    <row r="21" spans="1:21" ht="15.95" customHeight="1" thickBot="1" x14ac:dyDescent="0.3">
      <c r="A21" s="16">
        <f t="shared" si="0"/>
        <v>15</v>
      </c>
      <c r="B21" s="39" t="str">
        <f>+[1]Input!I19</f>
        <v>Purchased Power/Water</v>
      </c>
      <c r="C21" s="29">
        <f>[1]Input!J19</f>
        <v>70466.67</v>
      </c>
      <c r="D21" s="39"/>
      <c r="E21" s="2">
        <f>IF([1]PFIS!$Q$10="Company", '[1]Sch 1 ADJs'!C23, '[1]Sch 1 ADJs'!D23)</f>
        <v>0</v>
      </c>
      <c r="F21" s="29">
        <f t="shared" si="5"/>
        <v>70466.67</v>
      </c>
      <c r="G21" s="67"/>
      <c r="H21" s="2">
        <f>IF([1]PFIS!$Q$10="Company", '[1]Sch 1 ADJs'!G23, '[1]Sch 1 ADJs'!H23)</f>
        <v>0</v>
      </c>
      <c r="I21" s="29">
        <f t="shared" si="6"/>
        <v>70466.67</v>
      </c>
      <c r="J21" s="58"/>
      <c r="K21" s="2"/>
      <c r="L21" s="29">
        <f t="shared" si="7"/>
        <v>70466.67</v>
      </c>
      <c r="M21" s="35"/>
      <c r="N21" s="68"/>
      <c r="O21" s="37"/>
      <c r="P21" s="63"/>
      <c r="Q21" s="6" t="s">
        <v>35</v>
      </c>
      <c r="R21" s="66"/>
      <c r="S21" s="63"/>
    </row>
    <row r="22" spans="1:21" ht="15.95" customHeight="1" thickBot="1" x14ac:dyDescent="0.3">
      <c r="A22" s="16">
        <f t="shared" si="0"/>
        <v>16</v>
      </c>
      <c r="B22" s="39" t="str">
        <f>+[1]Input!I20</f>
        <v>Chemicals &amp; Testing</v>
      </c>
      <c r="C22" s="29">
        <f>[1]Input!J20</f>
        <v>6136.52</v>
      </c>
      <c r="D22" s="39"/>
      <c r="E22" s="2">
        <f>IF([1]PFIS!$Q$10="Company", '[1]Sch 1 ADJs'!C24, '[1]Sch 1 ADJs'!D24)</f>
        <v>0</v>
      </c>
      <c r="F22" s="29">
        <f t="shared" si="5"/>
        <v>6136.52</v>
      </c>
      <c r="G22" s="32"/>
      <c r="H22" s="2">
        <f>IF([1]PFIS!$Q$10="Company", '[1]Sch 1 ADJs'!G24, '[1]Sch 1 ADJs'!H24)</f>
        <v>0</v>
      </c>
      <c r="I22" s="29">
        <f t="shared" si="6"/>
        <v>6136.52</v>
      </c>
      <c r="J22" s="58"/>
      <c r="K22" s="2"/>
      <c r="L22" s="29">
        <f t="shared" si="7"/>
        <v>6136.52</v>
      </c>
      <c r="M22" s="35"/>
      <c r="N22" s="68"/>
      <c r="O22" s="37"/>
      <c r="P22" s="38"/>
      <c r="Q22" s="55">
        <v>1</v>
      </c>
      <c r="S22" s="38"/>
    </row>
    <row r="23" spans="1:21" ht="15.95" customHeight="1" x14ac:dyDescent="0.25">
      <c r="A23" s="16">
        <f t="shared" si="0"/>
        <v>17</v>
      </c>
      <c r="B23" s="39" t="str">
        <f>+[1]Input!I21</f>
        <v>Material &amp; Supplies</v>
      </c>
      <c r="C23" s="29">
        <f>[1]Input!J21</f>
        <v>12278.89</v>
      </c>
      <c r="E23" s="2">
        <f>IF([1]PFIS!$Q$10="Company", '[1]Sch 1 ADJs'!C25, '[1]Sch 1 ADJs'!D25)</f>
        <v>0</v>
      </c>
      <c r="F23" s="29">
        <f t="shared" si="5"/>
        <v>12278.89</v>
      </c>
      <c r="G23" s="32"/>
      <c r="H23" s="2">
        <f>IF([1]PFIS!$Q$10="Company", '[1]Sch 1 ADJs'!G25, '[1]Sch 1 ADJs'!H25)</f>
        <v>0</v>
      </c>
      <c r="I23" s="29">
        <f t="shared" si="6"/>
        <v>12278.89</v>
      </c>
      <c r="J23" s="58"/>
      <c r="K23" s="2"/>
      <c r="L23" s="29">
        <f t="shared" si="7"/>
        <v>12278.89</v>
      </c>
      <c r="M23" s="35"/>
      <c r="N23" s="68"/>
      <c r="O23" s="37"/>
      <c r="P23" s="38"/>
      <c r="S23" s="38"/>
    </row>
    <row r="24" spans="1:21" ht="15.95" customHeight="1" x14ac:dyDescent="0.25">
      <c r="A24" s="16">
        <f t="shared" si="0"/>
        <v>18</v>
      </c>
      <c r="B24" s="39" t="str">
        <f>+[1]Input!I22</f>
        <v>Contractual Engineer</v>
      </c>
      <c r="C24" s="29">
        <f>[1]Input!J22</f>
        <v>0</v>
      </c>
      <c r="E24" s="2">
        <f>IF([1]PFIS!$Q$10="Company", '[1]Sch 1 ADJs'!C26, '[1]Sch 1 ADJs'!D26)</f>
        <v>0</v>
      </c>
      <c r="F24" s="29">
        <f t="shared" si="5"/>
        <v>0</v>
      </c>
      <c r="G24" s="69"/>
      <c r="H24" s="2">
        <f>IF([1]PFIS!$Q$10="Company", '[1]Sch 1 ADJs'!G26, '[1]Sch 1 ADJs'!H26)</f>
        <v>0</v>
      </c>
      <c r="I24" s="29">
        <f t="shared" si="6"/>
        <v>0</v>
      </c>
      <c r="J24" s="58"/>
      <c r="K24" s="2"/>
      <c r="L24" s="29">
        <f t="shared" si="7"/>
        <v>0</v>
      </c>
      <c r="M24" s="35"/>
      <c r="N24" s="68"/>
      <c r="O24" s="36"/>
      <c r="P24" s="38"/>
      <c r="S24" s="38"/>
    </row>
    <row r="25" spans="1:21" ht="15.95" customHeight="1" x14ac:dyDescent="0.25">
      <c r="A25" s="16">
        <f t="shared" si="0"/>
        <v>19</v>
      </c>
      <c r="B25" s="39" t="str">
        <f>+[1]Input!I23</f>
        <v>Contractual Accounting</v>
      </c>
      <c r="C25" s="29">
        <f>[1]Input!J23</f>
        <v>6500</v>
      </c>
      <c r="D25" s="39"/>
      <c r="E25" s="2">
        <f>IF([1]PFIS!$Q$10="Company", '[1]Sch 1 ADJs'!C27, '[1]Sch 1 ADJs'!D27)</f>
        <v>0</v>
      </c>
      <c r="F25" s="29">
        <f t="shared" si="5"/>
        <v>6500</v>
      </c>
      <c r="G25" s="32"/>
      <c r="H25" s="2">
        <f>IF([1]PFIS!$Q$10="Company", '[1]Sch 1 ADJs'!G27, '[1]Sch 1 ADJs'!H27)</f>
        <v>0</v>
      </c>
      <c r="I25" s="29">
        <f t="shared" si="6"/>
        <v>6500</v>
      </c>
      <c r="J25" s="58"/>
      <c r="K25" s="2"/>
      <c r="L25" s="29">
        <f t="shared" si="7"/>
        <v>6500</v>
      </c>
      <c r="M25" s="35"/>
      <c r="N25" s="68"/>
      <c r="O25" s="37"/>
      <c r="P25" s="38"/>
      <c r="S25" s="38"/>
    </row>
    <row r="26" spans="1:21" ht="15.95" customHeight="1" x14ac:dyDescent="0.25">
      <c r="A26" s="16">
        <f t="shared" si="0"/>
        <v>20</v>
      </c>
      <c r="B26" s="39" t="str">
        <f>+[1]Input!I24</f>
        <v>Contractual Legal</v>
      </c>
      <c r="C26" s="29">
        <f>[1]Input!J24</f>
        <v>6978.5</v>
      </c>
      <c r="D26" s="39"/>
      <c r="E26" s="2">
        <f>IF([1]PFIS!$Q$10="Company", '[1]Sch 1 ADJs'!C28, '[1]Sch 1 ADJs'!D28)</f>
        <v>0</v>
      </c>
      <c r="F26" s="29">
        <f t="shared" si="5"/>
        <v>6978.5</v>
      </c>
      <c r="H26" s="2">
        <f>IF([1]PFIS!$Q$10="Company", '[1]Sch 1 ADJs'!G28, '[1]Sch 1 ADJs'!H28)</f>
        <v>0</v>
      </c>
      <c r="I26" s="29">
        <f t="shared" si="6"/>
        <v>6978.5</v>
      </c>
      <c r="J26" s="58"/>
      <c r="K26" s="2"/>
      <c r="L26" s="29">
        <f t="shared" si="7"/>
        <v>6978.5</v>
      </c>
      <c r="M26" s="35"/>
      <c r="N26" s="68"/>
      <c r="O26" s="37"/>
      <c r="P26" s="38"/>
      <c r="S26" s="38"/>
    </row>
    <row r="27" spans="1:21" ht="15.95" customHeight="1" x14ac:dyDescent="0.25">
      <c r="A27" s="16">
        <f t="shared" si="0"/>
        <v>21</v>
      </c>
      <c r="B27" s="39" t="str">
        <f>+[1]Input!I25</f>
        <v>Contractual Operations</v>
      </c>
      <c r="C27" s="29">
        <f>[1]Input!J25</f>
        <v>266857</v>
      </c>
      <c r="D27" s="39"/>
      <c r="E27" s="2">
        <f>IF([1]PFIS!$Q$10="Company", '[1]Sch 1 ADJs'!C29, '[1]Sch 1 ADJs'!D29)</f>
        <v>0</v>
      </c>
      <c r="F27" s="29">
        <f t="shared" si="5"/>
        <v>266857</v>
      </c>
      <c r="G27" s="69"/>
      <c r="H27" s="2">
        <f>IF([1]PFIS!$Q$10="Company", '[1]Sch 1 ADJs'!G29, '[1]Sch 1 ADJs'!H29)</f>
        <v>0</v>
      </c>
      <c r="I27" s="29">
        <f t="shared" si="6"/>
        <v>266857</v>
      </c>
      <c r="J27" s="58"/>
      <c r="K27" s="2"/>
      <c r="L27" s="29">
        <f t="shared" si="7"/>
        <v>266857</v>
      </c>
      <c r="M27" s="35"/>
      <c r="N27" s="68"/>
      <c r="O27" s="37"/>
      <c r="P27" s="38"/>
      <c r="S27" s="38"/>
    </row>
    <row r="28" spans="1:21" ht="15.95" customHeight="1" x14ac:dyDescent="0.25">
      <c r="A28" s="16">
        <f t="shared" si="0"/>
        <v>22</v>
      </c>
      <c r="B28" s="39" t="str">
        <f>+[1]Input!I26</f>
        <v>Jobbing</v>
      </c>
      <c r="C28" s="29">
        <f>[1]Input!J26</f>
        <v>0</v>
      </c>
      <c r="D28" s="39"/>
      <c r="E28" s="2">
        <f>IF([1]PFIS!$Q$10="Company", '[1]Sch 1 ADJs'!C30, '[1]Sch 1 ADJs'!D30)</f>
        <v>0</v>
      </c>
      <c r="F28" s="29">
        <f t="shared" si="5"/>
        <v>0</v>
      </c>
      <c r="G28" s="69"/>
      <c r="H28" s="2">
        <f>IF([1]PFIS!$Q$10="Company", '[1]Sch 1 ADJs'!G30, '[1]Sch 1 ADJs'!H30)</f>
        <v>0</v>
      </c>
      <c r="I28" s="29">
        <f t="shared" si="6"/>
        <v>0</v>
      </c>
      <c r="J28" s="58"/>
      <c r="K28" s="2"/>
      <c r="L28" s="29">
        <f t="shared" si="7"/>
        <v>0</v>
      </c>
      <c r="M28" s="35"/>
      <c r="N28" s="36"/>
      <c r="O28" s="37"/>
      <c r="P28" s="38"/>
      <c r="S28" s="38"/>
    </row>
    <row r="29" spans="1:21" ht="15.95" customHeight="1" x14ac:dyDescent="0.25">
      <c r="A29" s="16">
        <f t="shared" si="0"/>
        <v>23</v>
      </c>
      <c r="B29" s="39" t="str">
        <f>+[1]Input!I27</f>
        <v>Rental of Building, Property, and Equipment</v>
      </c>
      <c r="C29" s="29">
        <f>[1]Input!J27</f>
        <v>0</v>
      </c>
      <c r="D29" s="39"/>
      <c r="E29" s="2">
        <f>IF([1]PFIS!$Q$10="Company", '[1]Sch 1 ADJs'!C31, '[1]Sch 1 ADJs'!D31)</f>
        <v>0</v>
      </c>
      <c r="F29" s="29">
        <f t="shared" si="5"/>
        <v>0</v>
      </c>
      <c r="G29" s="32"/>
      <c r="H29" s="2">
        <f>IF([1]PFIS!$Q$10="Company", '[1]Sch 1 ADJs'!G31, '[1]Sch 1 ADJs'!H31)</f>
        <v>0</v>
      </c>
      <c r="I29" s="29">
        <f t="shared" si="6"/>
        <v>0</v>
      </c>
      <c r="J29" s="58"/>
      <c r="K29" s="2"/>
      <c r="L29" s="29">
        <f t="shared" si="7"/>
        <v>0</v>
      </c>
      <c r="M29" s="35"/>
      <c r="N29" s="70"/>
      <c r="O29" s="37"/>
      <c r="P29" s="38"/>
      <c r="S29" s="38"/>
    </row>
    <row r="30" spans="1:21" ht="15.95" customHeight="1" x14ac:dyDescent="0.25">
      <c r="A30" s="16">
        <f t="shared" si="0"/>
        <v>24</v>
      </c>
      <c r="B30" s="39" t="str">
        <f>+[1]Input!I28</f>
        <v>Transportation</v>
      </c>
      <c r="C30" s="29">
        <f>[1]Input!J28</f>
        <v>10.87</v>
      </c>
      <c r="D30" s="39"/>
      <c r="E30" s="2">
        <f>IF([1]PFIS!$Q$10="Company", '[1]Sch 1 ADJs'!C32, '[1]Sch 1 ADJs'!D32)</f>
        <v>0</v>
      </c>
      <c r="F30" s="29">
        <f t="shared" si="5"/>
        <v>10.87</v>
      </c>
      <c r="G30" s="32"/>
      <c r="H30" s="2">
        <f>IF([1]PFIS!$Q$10="Company", '[1]Sch 1 ADJs'!G32, '[1]Sch 1 ADJs'!H32)</f>
        <v>0</v>
      </c>
      <c r="I30" s="29">
        <f t="shared" si="6"/>
        <v>10.87</v>
      </c>
      <c r="J30" s="58"/>
      <c r="K30" s="2"/>
      <c r="L30" s="29">
        <f t="shared" si="7"/>
        <v>10.87</v>
      </c>
      <c r="M30" s="35"/>
      <c r="N30" s="36"/>
      <c r="O30" s="37"/>
      <c r="P30" s="38"/>
      <c r="S30" s="38"/>
    </row>
    <row r="31" spans="1:21" ht="15.95" customHeight="1" x14ac:dyDescent="0.25">
      <c r="A31" s="16">
        <f t="shared" si="0"/>
        <v>25</v>
      </c>
      <c r="B31" s="39" t="str">
        <f>+[1]Input!I29</f>
        <v>Insurance - Vehicle, General Liability, Workman's Comp.</v>
      </c>
      <c r="C31" s="29">
        <f>[1]Input!J29</f>
        <v>5344</v>
      </c>
      <c r="D31" s="39"/>
      <c r="E31" s="2">
        <f>IF([1]PFIS!$Q$10="Company", '[1]Sch 1 ADJs'!C33, '[1]Sch 1 ADJs'!D33)</f>
        <v>0</v>
      </c>
      <c r="F31" s="29">
        <f t="shared" si="5"/>
        <v>5344</v>
      </c>
      <c r="G31" s="32"/>
      <c r="H31" s="2">
        <f>IF([1]PFIS!$Q$10="Company", '[1]Sch 1 ADJs'!G33, '[1]Sch 1 ADJs'!H33)</f>
        <v>0</v>
      </c>
      <c r="I31" s="29">
        <f t="shared" si="6"/>
        <v>5344</v>
      </c>
      <c r="J31" s="58"/>
      <c r="K31" s="2"/>
      <c r="L31" s="29">
        <f t="shared" si="7"/>
        <v>5344</v>
      </c>
      <c r="M31" s="35"/>
      <c r="N31" s="68"/>
      <c r="O31" s="37"/>
      <c r="P31" s="38"/>
      <c r="S31" s="38"/>
    </row>
    <row r="32" spans="1:21" ht="15.95" customHeight="1" x14ac:dyDescent="0.25">
      <c r="A32" s="16">
        <f t="shared" si="0"/>
        <v>26</v>
      </c>
      <c r="B32" s="39" t="str">
        <f>+[1]Input!I30</f>
        <v>Regulatory Commission Expenses - Fees</v>
      </c>
      <c r="C32" s="29">
        <f>[1]Input!J30</f>
        <v>305.41000000000003</v>
      </c>
      <c r="D32" s="39"/>
      <c r="E32" s="2"/>
      <c r="F32" s="29">
        <f t="shared" si="5"/>
        <v>305.41000000000003</v>
      </c>
      <c r="G32" s="67"/>
      <c r="H32" s="2">
        <f>IF([1]PFIS!$Q$10="Company", '[1]Sch 1 ADJs'!G34, '[1]Sch 1 ADJs'!H34)</f>
        <v>0</v>
      </c>
      <c r="I32" s="29">
        <f t="shared" si="6"/>
        <v>305.41000000000003</v>
      </c>
      <c r="J32" s="58"/>
      <c r="K32" s="71">
        <f>+'[1]Sch 5 NTG Factor'!G12+'[1]Sch 5 NTG Factor'!G13+'[1]Sch 5 NTG Factor'!G14</f>
        <v>513.0248346967403</v>
      </c>
      <c r="L32" s="29">
        <f t="shared" si="7"/>
        <v>818.43483469674038</v>
      </c>
      <c r="M32" s="35"/>
      <c r="N32" s="68"/>
      <c r="O32" s="37"/>
      <c r="P32" s="38"/>
      <c r="S32" s="38"/>
    </row>
    <row r="33" spans="1:19" ht="15.95" customHeight="1" x14ac:dyDescent="0.25">
      <c r="A33" s="16">
        <f t="shared" si="0"/>
        <v>27</v>
      </c>
      <c r="B33" s="39" t="str">
        <f>+[1]Input!I31</f>
        <v>Regulatory Commission Expenses - Amort. Rate Case</v>
      </c>
      <c r="C33" s="29">
        <f>[1]Input!J31</f>
        <v>0</v>
      </c>
      <c r="D33" s="39"/>
      <c r="E33" s="2">
        <f>IF([1]PFIS!$Q$10="Company", '[1]Sch 1 ADJs'!C35, '[1]Sch 1 ADJs'!D35)</f>
        <v>0</v>
      </c>
      <c r="F33" s="29">
        <f t="shared" si="5"/>
        <v>0</v>
      </c>
      <c r="G33" s="32"/>
      <c r="H33" s="2">
        <f>IF([1]PFIS!$Q$10="Company", '[1]Sch 1 ADJs'!G35, '[1]Sch 1 ADJs'!H35)</f>
        <v>3500.666666666667</v>
      </c>
      <c r="I33" s="29">
        <f t="shared" si="6"/>
        <v>3500.666666666667</v>
      </c>
      <c r="J33" s="58"/>
      <c r="K33" s="2"/>
      <c r="L33" s="29">
        <f t="shared" si="7"/>
        <v>3500.666666666667</v>
      </c>
      <c r="M33" s="35"/>
      <c r="N33" s="68"/>
      <c r="O33" s="37"/>
      <c r="P33" s="38"/>
      <c r="S33" s="38"/>
    </row>
    <row r="34" spans="1:19" ht="15.95" customHeight="1" x14ac:dyDescent="0.25">
      <c r="A34" s="16">
        <f t="shared" si="0"/>
        <v>28</v>
      </c>
      <c r="B34" s="39" t="str">
        <f>+[1]Input!I32</f>
        <v>Travel, Education, CCR, and Public Relations</v>
      </c>
      <c r="C34" s="29">
        <f>[1]Input!J32</f>
        <v>0</v>
      </c>
      <c r="D34" s="39"/>
      <c r="E34" s="2">
        <f>IF([1]PFIS!$Q$10="Company", '[1]Sch 1 ADJs'!C36, '[1]Sch 1 ADJs'!D36)</f>
        <v>0</v>
      </c>
      <c r="F34" s="29">
        <f t="shared" si="5"/>
        <v>0</v>
      </c>
      <c r="G34" s="32"/>
      <c r="H34" s="2">
        <f>IF([1]PFIS!$Q$10="Company", '[1]Sch 1 ADJs'!G36, '[1]Sch 1 ADJs'!H36)</f>
        <v>0</v>
      </c>
      <c r="I34" s="29">
        <f t="shared" si="6"/>
        <v>0</v>
      </c>
      <c r="J34" s="58"/>
      <c r="K34" s="2"/>
      <c r="L34" s="29">
        <f t="shared" si="7"/>
        <v>0</v>
      </c>
      <c r="M34" s="35"/>
      <c r="N34" s="68"/>
      <c r="O34" s="37"/>
      <c r="P34" s="38"/>
      <c r="S34" s="38"/>
    </row>
    <row r="35" spans="1:19" ht="15.95" customHeight="1" x14ac:dyDescent="0.25">
      <c r="A35" s="16">
        <f t="shared" si="0"/>
        <v>29</v>
      </c>
      <c r="B35" s="39" t="str">
        <f>+[1]Input!I33</f>
        <v>Office, Postage, Phone, and Bank Charges</v>
      </c>
      <c r="C35" s="29">
        <f>[1]Input!J33</f>
        <v>15790</v>
      </c>
      <c r="D35" s="39"/>
      <c r="E35" s="2">
        <f>IF([1]PFIS!$Q$10="Company", '[1]Sch 1 ADJs'!C37, '[1]Sch 1 ADJs'!D37)</f>
        <v>0</v>
      </c>
      <c r="F35" s="29">
        <f t="shared" si="5"/>
        <v>15790</v>
      </c>
      <c r="G35" s="32"/>
      <c r="H35" s="2">
        <f>IF([1]PFIS!$Q$10="Company", '[1]Sch 1 ADJs'!G37, '[1]Sch 1 ADJs'!H37)</f>
        <v>0</v>
      </c>
      <c r="I35" s="29">
        <f t="shared" si="6"/>
        <v>15790</v>
      </c>
      <c r="J35" s="58"/>
      <c r="K35" s="2"/>
      <c r="L35" s="29">
        <f t="shared" si="7"/>
        <v>15790</v>
      </c>
      <c r="M35" s="35"/>
      <c r="N35" s="68"/>
      <c r="O35" s="37"/>
      <c r="P35" s="38"/>
      <c r="S35" s="38"/>
    </row>
    <row r="36" spans="1:19" ht="15.95" customHeight="1" x14ac:dyDescent="0.25">
      <c r="A36" s="16">
        <f t="shared" si="0"/>
        <v>30</v>
      </c>
      <c r="B36" s="39" t="str">
        <f>+[1]Input!I34</f>
        <v>Bad Debt</v>
      </c>
      <c r="C36" s="29">
        <f>[1]Input!J34</f>
        <v>14266.02</v>
      </c>
      <c r="D36" s="39"/>
      <c r="E36" s="2">
        <f>IF([1]PFIS!$Q$10="Company", '[1]Sch 1 ADJs'!C38, '[1]Sch 1 ADJs'!D38)</f>
        <v>-14266.02</v>
      </c>
      <c r="F36" s="29">
        <f t="shared" si="5"/>
        <v>0</v>
      </c>
      <c r="G36" s="69"/>
      <c r="H36" s="2">
        <f>IF([1]PFIS!$Q$10="Company", '[1]Sch 1 ADJs'!G38, '[1]Sch 1 ADJs'!H38)</f>
        <v>0</v>
      </c>
      <c r="I36" s="29">
        <f t="shared" si="6"/>
        <v>0</v>
      </c>
      <c r="J36" s="58"/>
      <c r="K36" s="2"/>
      <c r="L36" s="29">
        <f t="shared" si="7"/>
        <v>0</v>
      </c>
      <c r="M36" s="35"/>
      <c r="N36" s="36"/>
      <c r="O36" s="37"/>
      <c r="P36" s="38"/>
      <c r="S36" s="38"/>
    </row>
    <row r="37" spans="1:19" ht="15.95" customHeight="1" x14ac:dyDescent="0.25">
      <c r="A37" s="16">
        <f t="shared" si="0"/>
        <v>31</v>
      </c>
      <c r="B37" s="39" t="str">
        <f>+[1]Input!I35</f>
        <v>Repairs</v>
      </c>
      <c r="C37" s="29">
        <f>[1]Input!J35</f>
        <v>0</v>
      </c>
      <c r="D37" s="39"/>
      <c r="E37" s="2">
        <f>IF([1]PFIS!$Q$10="Company", '[1]Sch 1 ADJs'!C39, '[1]Sch 1 ADJs'!D39)</f>
        <v>0</v>
      </c>
      <c r="F37" s="29">
        <f t="shared" si="5"/>
        <v>0</v>
      </c>
      <c r="G37" s="69"/>
      <c r="H37" s="2">
        <f>IF([1]PFIS!$Q$10="Company", '[1]Sch 1 ADJs'!G39, '[1]Sch 1 ADJs'!H39)</f>
        <v>0</v>
      </c>
      <c r="I37" s="29">
        <f t="shared" si="6"/>
        <v>0</v>
      </c>
      <c r="J37" s="58"/>
      <c r="K37" s="2"/>
      <c r="L37" s="29">
        <f t="shared" si="7"/>
        <v>0</v>
      </c>
      <c r="M37" s="35"/>
      <c r="N37" s="36"/>
      <c r="O37" s="37"/>
      <c r="P37" s="38"/>
      <c r="S37" s="38"/>
    </row>
    <row r="38" spans="1:19" ht="15.95" customHeight="1" x14ac:dyDescent="0.25">
      <c r="A38" s="16">
        <f t="shared" si="0"/>
        <v>32</v>
      </c>
      <c r="B38" s="39" t="str">
        <f>+[1]Input!I36</f>
        <v>Net Depreciation/Amortization</v>
      </c>
      <c r="C38" s="29">
        <f>[1]Input!J36</f>
        <v>29491</v>
      </c>
      <c r="D38" s="39"/>
      <c r="E38" s="2"/>
      <c r="F38" s="29">
        <f t="shared" si="5"/>
        <v>29491</v>
      </c>
      <c r="G38" s="32"/>
      <c r="H38" s="2">
        <f>IF([1]PFIS!$Q$10="Company", '[1]Sch 1 ADJs'!G40, '[1]Sch 1 ADJs'!H40)</f>
        <v>0</v>
      </c>
      <c r="I38" s="29">
        <f t="shared" si="6"/>
        <v>29491</v>
      </c>
      <c r="J38" s="58"/>
      <c r="K38" s="71">
        <f>IF(I59&lt;=0, -I38, 0)</f>
        <v>0</v>
      </c>
      <c r="L38" s="29">
        <f t="shared" si="7"/>
        <v>29491</v>
      </c>
      <c r="M38" s="35"/>
      <c r="N38" s="68"/>
      <c r="O38" s="37"/>
      <c r="P38" s="38"/>
      <c r="S38" s="38"/>
    </row>
    <row r="39" spans="1:19" ht="15.95" customHeight="1" x14ac:dyDescent="0.25">
      <c r="A39" s="16">
        <f t="shared" si="0"/>
        <v>33</v>
      </c>
      <c r="B39" s="39" t="str">
        <f>+[1]Input!I37</f>
        <v>Utility Excise Tax</v>
      </c>
      <c r="C39" s="29">
        <v>842</v>
      </c>
      <c r="D39" s="39"/>
      <c r="E39" s="2"/>
      <c r="F39" s="29">
        <f t="shared" si="5"/>
        <v>842</v>
      </c>
      <c r="G39" s="32"/>
      <c r="H39" s="2"/>
      <c r="I39" s="29">
        <f t="shared" si="6"/>
        <v>842</v>
      </c>
      <c r="J39" s="29"/>
      <c r="K39" s="71">
        <f>+'[1]Sch 5 NTG Factor'!G15</f>
        <v>13578.95733521004</v>
      </c>
      <c r="L39" s="29">
        <f t="shared" si="7"/>
        <v>14420.95733521004</v>
      </c>
      <c r="M39" s="35"/>
      <c r="N39" s="68"/>
      <c r="O39" s="37"/>
      <c r="P39" s="38"/>
      <c r="S39" s="38"/>
    </row>
    <row r="40" spans="1:19" ht="15.95" customHeight="1" x14ac:dyDescent="0.25">
      <c r="A40" s="16">
        <f t="shared" si="0"/>
        <v>34</v>
      </c>
      <c r="B40" s="39" t="str">
        <f>+[1]Input!I38</f>
        <v>Property Tax</v>
      </c>
      <c r="C40" s="29">
        <f>[1]Input!J38</f>
        <v>852.41</v>
      </c>
      <c r="D40" s="39"/>
      <c r="E40" s="2">
        <f>IF([1]PFIS!$Q$10="Company", '[1]Sch 1 ADJs'!C42, '[1]Sch 1 ADJs'!D42)</f>
        <v>0</v>
      </c>
      <c r="F40" s="29">
        <f t="shared" si="5"/>
        <v>852.41</v>
      </c>
      <c r="H40" s="2">
        <f>IF([1]PFIS!$Q$10="Company", '[1]Sch 1 ADJs'!G42, '[1]Sch 1 ADJs'!H42)</f>
        <v>0</v>
      </c>
      <c r="I40" s="29">
        <f t="shared" si="6"/>
        <v>852.41</v>
      </c>
      <c r="J40" s="58"/>
      <c r="K40" s="2"/>
      <c r="L40" s="29">
        <f t="shared" si="7"/>
        <v>852.41</v>
      </c>
      <c r="M40" s="35"/>
      <c r="N40" s="68"/>
      <c r="O40" s="37"/>
      <c r="P40" s="38"/>
      <c r="S40" s="38"/>
    </row>
    <row r="41" spans="1:19" ht="15.95" customHeight="1" x14ac:dyDescent="0.25">
      <c r="A41" s="16">
        <f t="shared" si="0"/>
        <v>35</v>
      </c>
      <c r="B41" s="39" t="str">
        <f>+[1]Input!I39</f>
        <v xml:space="preserve">Payroll Tax  </v>
      </c>
      <c r="C41" s="29">
        <f>[1]Input!J39</f>
        <v>0</v>
      </c>
      <c r="D41" s="39"/>
      <c r="E41" s="2">
        <f>IF([1]PFIS!$Q$10="Company", '[1]Sch 1 ADJs'!C43, '[1]Sch 1 ADJs'!D43)</f>
        <v>0</v>
      </c>
      <c r="F41" s="29">
        <f t="shared" si="5"/>
        <v>0</v>
      </c>
      <c r="G41" s="32"/>
      <c r="H41" s="2">
        <f>IF([1]PFIS!$Q$10="Company", '[1]Sch 1 ADJs'!G43, '[1]Sch 1 ADJs'!H43)</f>
        <v>0</v>
      </c>
      <c r="I41" s="29">
        <f t="shared" si="6"/>
        <v>0</v>
      </c>
      <c r="J41" s="29"/>
      <c r="K41" s="71"/>
      <c r="L41" s="29">
        <f t="shared" si="7"/>
        <v>0</v>
      </c>
      <c r="M41" s="35"/>
      <c r="N41" s="68"/>
      <c r="O41" s="29"/>
      <c r="P41" s="38"/>
      <c r="S41" s="38"/>
    </row>
    <row r="42" spans="1:19" ht="15.95" customHeight="1" x14ac:dyDescent="0.25">
      <c r="A42" s="16">
        <f t="shared" si="0"/>
        <v>36</v>
      </c>
      <c r="B42" s="39" t="str">
        <f>+[1]Input!I40</f>
        <v>Other Taxes &amp; Licenses (DOH/PWB/ESD/DOE)</v>
      </c>
      <c r="C42" s="29">
        <f>[1]Input!J40</f>
        <v>506.52</v>
      </c>
      <c r="D42" s="39"/>
      <c r="E42" s="2">
        <f>IF([1]PFIS!$Q$10="Company", '[1]Sch 1 ADJs'!C44, '[1]Sch 1 ADJs'!D44)</f>
        <v>0</v>
      </c>
      <c r="F42" s="29">
        <f t="shared" si="5"/>
        <v>506.52</v>
      </c>
      <c r="H42" s="2">
        <f>IF([1]PFIS!$Q$10="Company", '[1]Sch 1 ADJs'!G44, '[1]Sch 1 ADJs'!H44)</f>
        <v>0</v>
      </c>
      <c r="I42" s="29">
        <f t="shared" si="6"/>
        <v>506.52</v>
      </c>
      <c r="J42" s="58"/>
      <c r="K42" s="2"/>
      <c r="L42" s="29">
        <f t="shared" si="7"/>
        <v>506.52</v>
      </c>
      <c r="M42" s="35"/>
      <c r="N42" s="68"/>
      <c r="O42" s="72"/>
      <c r="P42" s="38"/>
      <c r="S42" s="38"/>
    </row>
    <row r="43" spans="1:19" ht="15.95" customHeight="1" thickBot="1" x14ac:dyDescent="0.3">
      <c r="A43" s="16">
        <f t="shared" si="0"/>
        <v>37</v>
      </c>
      <c r="B43" s="39" t="str">
        <f>+[1]Input!I41</f>
        <v>Miscellaneous</v>
      </c>
      <c r="C43" s="29">
        <f>[1]Input!J41</f>
        <v>0</v>
      </c>
      <c r="D43" s="39"/>
      <c r="E43" s="2">
        <f>IF([1]PFIS!$Q$10="Company", '[1]Sch 1 ADJs'!C45, '[1]Sch 1 ADJs'!D45)</f>
        <v>0</v>
      </c>
      <c r="F43" s="29">
        <f t="shared" si="5"/>
        <v>0</v>
      </c>
      <c r="G43" s="32"/>
      <c r="H43" s="2">
        <f>IF([1]PFIS!$Q$10="Company", '[1]Sch 1 ADJs'!G45, '[1]Sch 1 ADJs'!H45)</f>
        <v>0</v>
      </c>
      <c r="I43" s="29">
        <f t="shared" si="6"/>
        <v>0</v>
      </c>
      <c r="J43" s="29"/>
      <c r="K43" s="71"/>
      <c r="L43" s="29">
        <f t="shared" si="7"/>
        <v>0</v>
      </c>
      <c r="M43" s="35"/>
      <c r="N43" s="68"/>
      <c r="O43" s="37"/>
      <c r="P43" s="38"/>
      <c r="S43" s="38"/>
    </row>
    <row r="44" spans="1:19" ht="15.95" customHeight="1" thickTop="1" x14ac:dyDescent="0.25">
      <c r="A44" s="16">
        <f t="shared" si="0"/>
        <v>38</v>
      </c>
      <c r="B44" s="28" t="s">
        <v>36</v>
      </c>
      <c r="C44" s="73">
        <f>SUM(C18:C43)</f>
        <v>436625.81</v>
      </c>
      <c r="D44" s="39"/>
      <c r="E44" s="44">
        <f>SUM(E18:E43)</f>
        <v>-14266.02</v>
      </c>
      <c r="F44" s="42">
        <f>SUM(F18:F43)</f>
        <v>422359.79</v>
      </c>
      <c r="G44" s="32"/>
      <c r="H44" s="44">
        <f>SUM(H18:H43)</f>
        <v>3500.666666666667</v>
      </c>
      <c r="I44" s="42">
        <f>SUM(I18:I43)</f>
        <v>425860.45666666667</v>
      </c>
      <c r="J44" s="45"/>
      <c r="K44" s="44">
        <f>SUM(K18:K43)</f>
        <v>14091.98216990678</v>
      </c>
      <c r="L44" s="42">
        <f>SUM(L18:L43)</f>
        <v>439952.43883657351</v>
      </c>
      <c r="M44" s="47"/>
      <c r="N44" s="37"/>
      <c r="O44" s="37"/>
      <c r="P44" s="38"/>
      <c r="S44" s="38"/>
    </row>
    <row r="45" spans="1:19" ht="15.95" customHeight="1" x14ac:dyDescent="0.25">
      <c r="A45" s="16">
        <f t="shared" si="0"/>
        <v>39</v>
      </c>
      <c r="B45" s="30"/>
      <c r="D45" s="39"/>
      <c r="E45" s="6"/>
      <c r="F45" s="31"/>
      <c r="G45" s="32"/>
      <c r="H45" s="74"/>
      <c r="I45" s="31"/>
      <c r="J45" s="33"/>
      <c r="K45" s="74"/>
      <c r="L45" s="31"/>
      <c r="M45" s="75"/>
      <c r="N45" s="37"/>
      <c r="O45" s="37"/>
      <c r="P45" s="38"/>
      <c r="S45" s="38"/>
    </row>
    <row r="46" spans="1:19" ht="15.95" customHeight="1" x14ac:dyDescent="0.25">
      <c r="A46" s="16">
        <f t="shared" si="0"/>
        <v>40</v>
      </c>
      <c r="B46" s="28" t="s">
        <v>37</v>
      </c>
      <c r="C46" s="35">
        <f>C15-C44</f>
        <v>-214339.16999999998</v>
      </c>
      <c r="D46" s="39"/>
      <c r="E46" s="69">
        <f>E15-E44</f>
        <v>14266.02</v>
      </c>
      <c r="F46" s="35">
        <f>F15-F44</f>
        <v>-200073.14999999997</v>
      </c>
      <c r="G46" s="32"/>
      <c r="H46" s="69">
        <f>H15-H44</f>
        <v>-3500.666666666667</v>
      </c>
      <c r="I46" s="35">
        <f>I15-I44</f>
        <v>-203573.81666666665</v>
      </c>
      <c r="J46" s="58"/>
      <c r="K46" s="2"/>
      <c r="L46" s="29">
        <f>L15-L44</f>
        <v>100634.20116342651</v>
      </c>
      <c r="M46" s="35"/>
      <c r="N46" s="37"/>
      <c r="O46" s="37"/>
      <c r="P46" s="38"/>
      <c r="S46" s="38"/>
    </row>
    <row r="47" spans="1:19" ht="15.95" customHeight="1" x14ac:dyDescent="0.25">
      <c r="A47" s="16">
        <f t="shared" si="0"/>
        <v>41</v>
      </c>
      <c r="B47" s="28" t="s">
        <v>38</v>
      </c>
      <c r="C47" s="35">
        <f>[1]Input!J44</f>
        <v>0</v>
      </c>
      <c r="D47" s="39"/>
      <c r="E47" s="69">
        <f>IF([1]PFIS!$Q$10="Company", '[1]Sch 1 ADJs'!C49, '[1]Sch 1 ADJs'!D49)</f>
        <v>0</v>
      </c>
      <c r="F47" s="35">
        <f>+E47+C47</f>
        <v>0</v>
      </c>
      <c r="G47" s="76"/>
      <c r="H47" s="69">
        <f>+'[1]Sch 1 ADJs'!H49</f>
        <v>13976.798169174323</v>
      </c>
      <c r="I47" s="35">
        <f>F47+H47</f>
        <v>13976.798169174323</v>
      </c>
      <c r="J47" s="76"/>
      <c r="K47" s="2"/>
      <c r="L47" s="29">
        <f>I47+K47</f>
        <v>13976.798169174323</v>
      </c>
      <c r="M47" s="35"/>
      <c r="N47" s="77"/>
      <c r="O47" s="78"/>
      <c r="P47" s="38"/>
      <c r="S47" s="38"/>
    </row>
    <row r="48" spans="1:19" ht="15.95" customHeight="1" x14ac:dyDescent="0.25">
      <c r="A48" s="16">
        <f t="shared" si="0"/>
        <v>42</v>
      </c>
      <c r="B48" s="28" t="str">
        <f>IF('[1]Sch 5 NTG Factor'!D21&gt;0,"Fed Income Tax - "&amp;(TEXT('[1]Sch 5 NTG Factor'!D21,"##%")),"")</f>
        <v>Fed Income Tax - 15%</v>
      </c>
      <c r="C48" s="35">
        <f>[1]Input!J45</f>
        <v>0</v>
      </c>
      <c r="D48" s="39"/>
      <c r="E48" s="69">
        <f>IF([1]PFIS!$Q$10="Company", '[1]Sch 1 ADJs'!C50, '[1]Sch 1 ADJs'!D50)</f>
        <v>0</v>
      </c>
      <c r="F48" s="35">
        <f>+E48+C48</f>
        <v>0</v>
      </c>
      <c r="G48" s="67"/>
      <c r="H48" s="69">
        <f>+'[1]Sch 1 ADJs'!H50</f>
        <v>0</v>
      </c>
      <c r="I48" s="35">
        <f>F48+H48</f>
        <v>0</v>
      </c>
      <c r="J48" s="67"/>
      <c r="K48" s="71"/>
      <c r="L48" s="35">
        <f>L46*0.15</f>
        <v>15095.130174513975</v>
      </c>
      <c r="M48" s="35"/>
      <c r="N48" s="79">
        <f>IF((L46-L47)&lt;'[1]Sch 5 NTG Factor'!C33,((L46-L47)*'[1]Sch 5 NTG Factor'!F33),(IF(AND('[1]Sch 5 NTG Factor'!B34&lt;(L46-L47),(L46-L47)&lt;'[1]Sch 5 NTG Factor'!C34),(((L46-L47)-'[1]Sch 5 NTG Factor'!G34)*'[1]Sch 5 NTG Factor'!F34)+'[1]Sch 5 NTG Factor'!D34,(IF(AND('[1]Sch 5 NTG Factor'!B35&lt;(L46-L47),(L46-L47)&lt;'[1]Sch 5 NTG Factor'!C35),(((L46-L47)-'[1]Sch 5 NTG Factor'!G35)*'[1]Sch 5 NTG Factor'!F35)+'[1]Sch 5 NTG Factor'!D35,(IF(AND('[1]Sch 5 NTG Factor'!B36&lt;(L46-L47),(L46-L47)&lt;'[1]Sch 5 NTG Factor'!C36),(((L46-L47)-'[1]Sch 5 NTG Factor'!G36)*'[1]Sch 5 NTG Factor'!F36)+'[1]Sch 5 NTG Factor'!D36,(IF(AND('[1]Sch 5 NTG Factor'!B37&lt;(L46-L47),(L46-L47)&lt;'[1]Sch 5 NTG Factor'!C37),(((L46-L47)-'[1]Sch 5 NTG Factor'!G37)*'[1]Sch 5 NTG Factor'!F37)+'[1]Sch 5 NTG Factor'!D37,(IF(AND('[1]Sch 5 NTG Factor'!B38&lt;(L46-L47),(L46-L47)&lt;'[1]Sch 5 NTG Factor'!C38),(((L46-L47)-'[1]Sch 5 NTG Factor'!G38)*'[1]Sch 5 NTG Factor'!F38)+'[1]Sch 5 NTG Factor'!D38,(IF(AND('[1]Sch 5 NTG Factor'!B39&lt;(L46-L47),(L46-L47)&lt;'[1]Sch 5 NTG Factor'!C39),(((L46-L47)-'[1]Sch 5 NTG Factor'!G39)*'[1]Sch 5 NTG Factor'!F39)+'[1]Sch 5 NTG Factor'!D39,(IF('[1]Sch 5 NTG Factor'!B40&lt;=(L46-L47),((L46-L47)*'[1]Sch 5 NTG Factor'!F40),0)))))))))))))))</f>
        <v>17713.517018045743</v>
      </c>
      <c r="O48" s="37" t="s">
        <v>27</v>
      </c>
      <c r="P48" s="38"/>
      <c r="S48" s="38"/>
    </row>
    <row r="49" spans="1:232" ht="15.95" customHeight="1" thickBot="1" x14ac:dyDescent="0.3">
      <c r="A49" s="16">
        <f t="shared" si="0"/>
        <v>43</v>
      </c>
      <c r="B49" s="28" t="s">
        <v>39</v>
      </c>
      <c r="C49" s="75">
        <f>+C44+C47+C48</f>
        <v>436625.81</v>
      </c>
      <c r="D49" s="39"/>
      <c r="E49" s="32"/>
      <c r="F49" s="75">
        <f>+F44+F47+F48</f>
        <v>422359.79</v>
      </c>
      <c r="G49" s="32"/>
      <c r="H49" s="32"/>
      <c r="I49" s="75">
        <f>+I44+I47+I48</f>
        <v>439837.25483584101</v>
      </c>
      <c r="J49" s="80"/>
      <c r="K49" s="32"/>
      <c r="L49" s="81">
        <f>+L44+L47+L48</f>
        <v>469024.36718026182</v>
      </c>
      <c r="M49" s="81"/>
      <c r="N49" s="37"/>
      <c r="O49" s="37"/>
      <c r="P49" s="38"/>
      <c r="S49" s="38"/>
    </row>
    <row r="50" spans="1:232" ht="15.95" customHeight="1" thickTop="1" x14ac:dyDescent="0.25">
      <c r="A50" s="16">
        <f t="shared" si="0"/>
        <v>44</v>
      </c>
      <c r="B50" s="28" t="s">
        <v>40</v>
      </c>
      <c r="C50" s="82">
        <f>+C15-C49</f>
        <v>-214339.16999999998</v>
      </c>
      <c r="D50" s="39"/>
      <c r="E50" s="46">
        <f>E46-E48</f>
        <v>14266.02</v>
      </c>
      <c r="F50" s="82">
        <f>+F15-F49</f>
        <v>-200073.14999999997</v>
      </c>
      <c r="G50" s="32"/>
      <c r="H50" s="46">
        <f>H46-H48</f>
        <v>-3500.666666666667</v>
      </c>
      <c r="I50" s="82">
        <f>+I15-I49</f>
        <v>-217550.614835841</v>
      </c>
      <c r="J50" s="83"/>
      <c r="K50" s="46"/>
      <c r="L50" s="84">
        <f>+L15-L49</f>
        <v>71562.272819738195</v>
      </c>
      <c r="M50" s="85"/>
      <c r="N50" s="37"/>
      <c r="O50" s="37"/>
      <c r="P50" s="38"/>
      <c r="S50" s="38"/>
    </row>
    <row r="51" spans="1:232" ht="15.95" customHeight="1" x14ac:dyDescent="0.25">
      <c r="A51" s="16">
        <f t="shared" si="0"/>
        <v>45</v>
      </c>
      <c r="B51" s="28" t="s">
        <v>41</v>
      </c>
      <c r="C51" s="86">
        <f>+C46-C48</f>
        <v>-214339.16999999998</v>
      </c>
      <c r="D51" s="39"/>
      <c r="E51" s="32"/>
      <c r="F51" s="86">
        <f>+F46-F48</f>
        <v>-200073.14999999997</v>
      </c>
      <c r="G51" s="32"/>
      <c r="H51" s="32"/>
      <c r="I51" s="86">
        <f>+I46-I48</f>
        <v>-203573.81666666665</v>
      </c>
      <c r="J51" s="83"/>
      <c r="K51" s="87"/>
      <c r="L51" s="88">
        <f>+L46-L48</f>
        <v>85539.070988912528</v>
      </c>
      <c r="M51" s="88"/>
      <c r="N51" s="79">
        <f>'[1]Sch 6 Rev Req'!E12</f>
        <v>14000.015728220867</v>
      </c>
      <c r="O51" s="37" t="s">
        <v>27</v>
      </c>
      <c r="P51" s="38"/>
      <c r="S51" s="38"/>
    </row>
    <row r="52" spans="1:232" ht="15.95" customHeight="1" x14ac:dyDescent="0.25">
      <c r="A52" s="16">
        <f t="shared" si="0"/>
        <v>46</v>
      </c>
      <c r="B52" s="28"/>
      <c r="C52" s="75"/>
      <c r="D52" s="39"/>
      <c r="E52" s="69"/>
      <c r="F52" s="75"/>
      <c r="G52" s="32"/>
      <c r="H52" s="32"/>
      <c r="I52" s="75"/>
      <c r="J52" s="80"/>
      <c r="K52" s="32"/>
      <c r="L52" s="75"/>
      <c r="M52" s="75"/>
      <c r="N52" s="37"/>
      <c r="O52" s="37"/>
      <c r="P52" s="38"/>
      <c r="S52" s="38"/>
    </row>
    <row r="53" spans="1:232" ht="15.95" customHeight="1" x14ac:dyDescent="0.25">
      <c r="A53" s="16">
        <f t="shared" si="0"/>
        <v>47</v>
      </c>
      <c r="B53" s="57" t="s">
        <v>42</v>
      </c>
      <c r="C53" s="75"/>
      <c r="D53" s="39"/>
      <c r="E53" s="5"/>
      <c r="F53" s="30"/>
      <c r="H53" s="32"/>
      <c r="I53" s="30"/>
      <c r="J53" s="89"/>
      <c r="K53" s="5"/>
      <c r="L53" s="30"/>
      <c r="M53" s="30"/>
      <c r="N53" s="37"/>
      <c r="O53" s="37"/>
      <c r="P53" s="38"/>
      <c r="S53" s="38"/>
    </row>
    <row r="54" spans="1:232" ht="15.95" customHeight="1" x14ac:dyDescent="0.25">
      <c r="A54" s="16">
        <f t="shared" si="0"/>
        <v>48</v>
      </c>
      <c r="B54" s="28" t="s">
        <v>43</v>
      </c>
      <c r="C54" s="35">
        <f>[1]Input!J51</f>
        <v>2062275</v>
      </c>
      <c r="D54" s="39"/>
      <c r="E54" s="69">
        <f>+'[1]Sch 1 ADJs'!D56</f>
        <v>-282203</v>
      </c>
      <c r="F54" s="35">
        <f>+E54+C54</f>
        <v>1780072</v>
      </c>
      <c r="G54" s="35"/>
      <c r="H54" s="69">
        <f>+'[1]Sch 1 ADJs'!H56</f>
        <v>0</v>
      </c>
      <c r="I54" s="35">
        <f>+H54+F54</f>
        <v>1780072</v>
      </c>
      <c r="J54" s="90"/>
      <c r="K54" s="2"/>
      <c r="L54" s="35">
        <f>+K54+I54</f>
        <v>1780072</v>
      </c>
      <c r="M54" s="35"/>
      <c r="N54" s="37"/>
      <c r="O54" s="37"/>
      <c r="P54" s="38"/>
      <c r="S54" s="38"/>
    </row>
    <row r="55" spans="1:232" s="94" customFormat="1" ht="15.95" customHeight="1" x14ac:dyDescent="0.25">
      <c r="A55" s="16">
        <f t="shared" si="0"/>
        <v>49</v>
      </c>
      <c r="B55" s="91" t="s">
        <v>44</v>
      </c>
      <c r="C55" s="35">
        <f>[1]Input!J52</f>
        <v>-791035</v>
      </c>
      <c r="D55" s="39"/>
      <c r="E55" s="69">
        <f>+'[1]Sch 1 ADJs'!D57</f>
        <v>-252475.36472075863</v>
      </c>
      <c r="F55" s="35">
        <f>+E55+C55</f>
        <v>-1043510.3647207586</v>
      </c>
      <c r="G55" s="91"/>
      <c r="H55" s="69">
        <f>+'[1]Sch 1 ADJs'!H57</f>
        <v>0</v>
      </c>
      <c r="I55" s="35">
        <f>+H55+F55</f>
        <v>-1043510.3647207586</v>
      </c>
      <c r="J55" s="90"/>
      <c r="K55" s="2"/>
      <c r="L55" s="35">
        <f>+K55+I55</f>
        <v>-1043510.3647207586</v>
      </c>
      <c r="M55" s="35"/>
      <c r="N55" s="92"/>
      <c r="O55" s="92"/>
      <c r="P55" s="93"/>
      <c r="Q55" s="29"/>
      <c r="R55" s="29"/>
      <c r="S55" s="93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</row>
    <row r="56" spans="1:232" s="94" customFormat="1" ht="15.95" customHeight="1" x14ac:dyDescent="0.25">
      <c r="A56" s="16">
        <f t="shared" si="0"/>
        <v>50</v>
      </c>
      <c r="B56" s="95" t="s">
        <v>45</v>
      </c>
      <c r="C56" s="35">
        <f>[1]Input!J53</f>
        <v>0</v>
      </c>
      <c r="D56" s="39"/>
      <c r="E56" s="69">
        <f>+'[1]Sch 1 ADJs'!D58</f>
        <v>0</v>
      </c>
      <c r="F56" s="35">
        <f>+E56+C56</f>
        <v>0</v>
      </c>
      <c r="G56" s="35"/>
      <c r="H56" s="69">
        <f>+'[1]Sch 1 ADJs'!H58</f>
        <v>0</v>
      </c>
      <c r="I56" s="35">
        <f>+H56+F56</f>
        <v>0</v>
      </c>
      <c r="J56" s="90"/>
      <c r="K56" s="2"/>
      <c r="L56" s="35">
        <f>+K56+I56</f>
        <v>0</v>
      </c>
      <c r="M56" s="35"/>
      <c r="N56" s="92"/>
      <c r="O56" s="92"/>
      <c r="P56" s="93"/>
      <c r="Q56" s="29"/>
      <c r="R56" s="29"/>
      <c r="S56" s="9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</row>
    <row r="57" spans="1:232" ht="15.95" customHeight="1" x14ac:dyDescent="0.25">
      <c r="A57" s="16">
        <f t="shared" si="0"/>
        <v>51</v>
      </c>
      <c r="B57" s="28" t="s">
        <v>46</v>
      </c>
      <c r="C57" s="35">
        <f>[1]Input!J54</f>
        <v>-238403</v>
      </c>
      <c r="D57" s="39"/>
      <c r="E57" s="69">
        <f>+'[1]Sch 1 ADJs'!D59</f>
        <v>75632</v>
      </c>
      <c r="F57" s="35">
        <f>+E57+C57</f>
        <v>-162771</v>
      </c>
      <c r="G57" s="91"/>
      <c r="H57" s="69">
        <f>+'[1]Sch 1 ADJs'!H59</f>
        <v>0</v>
      </c>
      <c r="I57" s="35">
        <f>+H57+F57</f>
        <v>-162771</v>
      </c>
      <c r="J57" s="90"/>
      <c r="K57" s="2"/>
      <c r="L57" s="35">
        <f>+K57+I57</f>
        <v>-162771</v>
      </c>
      <c r="M57" s="35"/>
      <c r="N57" s="37"/>
      <c r="O57" s="37"/>
      <c r="P57" s="38"/>
      <c r="S57" s="38"/>
    </row>
    <row r="58" spans="1:232" ht="15.95" customHeight="1" thickBot="1" x14ac:dyDescent="0.3">
      <c r="A58" s="16">
        <f t="shared" si="0"/>
        <v>52</v>
      </c>
      <c r="B58" s="28" t="s">
        <v>47</v>
      </c>
      <c r="C58" s="35">
        <f>[1]Input!J55</f>
        <v>46853</v>
      </c>
      <c r="D58" s="39"/>
      <c r="E58" s="69">
        <f>+'[1]Sch 1 ADJs'!D60</f>
        <v>39734.46510853534</v>
      </c>
      <c r="F58" s="35">
        <f>+E58+C58</f>
        <v>86587.46510853534</v>
      </c>
      <c r="G58" s="35"/>
      <c r="H58" s="69">
        <f>+'[1]Sch 1 ADJs'!H60</f>
        <v>0</v>
      </c>
      <c r="I58" s="35">
        <f>+H58+F58</f>
        <v>86587.46510853534</v>
      </c>
      <c r="J58" s="90"/>
      <c r="K58" s="2"/>
      <c r="L58" s="35">
        <f>+K58+I58</f>
        <v>86587.46510853534</v>
      </c>
      <c r="M58" s="35"/>
      <c r="N58" s="37"/>
      <c r="O58" s="37"/>
      <c r="P58" s="38"/>
      <c r="S58" s="38"/>
    </row>
    <row r="59" spans="1:232" ht="15.95" customHeight="1" thickTop="1" x14ac:dyDescent="0.25">
      <c r="A59" s="16">
        <f t="shared" si="0"/>
        <v>53</v>
      </c>
      <c r="B59" s="28" t="s">
        <v>48</v>
      </c>
      <c r="C59" s="96">
        <f>SUM(((C54+C55)+C56)-ABS(C57)+ABS(C58))</f>
        <v>1079690</v>
      </c>
      <c r="D59" s="32"/>
      <c r="E59" s="46"/>
      <c r="F59" s="96">
        <f>SUM(F54:F58)</f>
        <v>660378.10038777674</v>
      </c>
      <c r="H59" s="46">
        <f>SUM(H54:H58)</f>
        <v>0</v>
      </c>
      <c r="I59" s="96">
        <f>SUM(I54:I58)</f>
        <v>660378.10038777674</v>
      </c>
      <c r="J59" s="47"/>
      <c r="K59" s="97"/>
      <c r="L59" s="96">
        <f>SUM(L54:L58)</f>
        <v>660378.10038777674</v>
      </c>
      <c r="M59" s="47"/>
      <c r="N59" s="48">
        <f>'[1]Sch 8 Thirteen-Point'!G22+(SUM('[1]Sch 3.1 Staff Restating'!J56:AP60))+(SUM('[1]Sch 3.2 Staff ProForma'!K56:AQ60))</f>
        <v>660378.1003877765</v>
      </c>
      <c r="O59" s="37" t="s">
        <v>27</v>
      </c>
      <c r="P59" s="38"/>
      <c r="S59" s="38"/>
    </row>
    <row r="60" spans="1:232" ht="15.95" customHeight="1" x14ac:dyDescent="0.25">
      <c r="A60" s="16">
        <f t="shared" si="0"/>
        <v>54</v>
      </c>
      <c r="B60" s="30"/>
      <c r="C60" s="30"/>
      <c r="D60" s="39"/>
      <c r="E60" s="32"/>
      <c r="F60" s="75"/>
      <c r="G60" s="32"/>
      <c r="H60" s="32"/>
      <c r="I60" s="98"/>
      <c r="J60" s="80"/>
      <c r="K60" s="32"/>
      <c r="L60" s="30"/>
      <c r="M60" s="30"/>
      <c r="N60" s="37"/>
      <c r="O60" s="37"/>
      <c r="P60" s="38"/>
      <c r="S60" s="38"/>
    </row>
    <row r="61" spans="1:232" ht="15.95" customHeight="1" x14ac:dyDescent="0.25">
      <c r="A61" s="16">
        <f t="shared" si="0"/>
        <v>55</v>
      </c>
      <c r="B61" s="28" t="s">
        <v>49</v>
      </c>
      <c r="C61" s="99">
        <f>C51/C59</f>
        <v>-0.19851917680074835</v>
      </c>
      <c r="D61" s="39"/>
      <c r="E61" s="100"/>
      <c r="F61" s="99">
        <f>F51/F59</f>
        <v>-0.302967572489936</v>
      </c>
      <c r="G61" s="100"/>
      <c r="H61" s="69"/>
      <c r="I61" s="99">
        <f>I51/I59</f>
        <v>-0.30826857605836305</v>
      </c>
      <c r="J61" s="101"/>
      <c r="K61" s="100"/>
      <c r="L61" s="102">
        <f>IF(L59&lt;0, 0%, L51/L59)</f>
        <v>0.12953044769153252</v>
      </c>
      <c r="M61" s="102"/>
      <c r="N61" s="103">
        <f>IF(I59&lt;=0, 0, IF('[1]Sch 7 Interest Sync'!E12='[1]Sch 4 Cap'!K46,'[1]Sch 4 Cap'!K52,'[1]Sch 4 Cap'!I52))</f>
        <v>2.12E-2</v>
      </c>
      <c r="O61" s="37" t="s">
        <v>27</v>
      </c>
      <c r="P61" s="38"/>
      <c r="S61" s="38"/>
    </row>
    <row r="62" spans="1:232" ht="15.95" customHeight="1" x14ac:dyDescent="0.25">
      <c r="A62" s="16">
        <f t="shared" si="0"/>
        <v>56</v>
      </c>
      <c r="B62" s="28" t="s">
        <v>50</v>
      </c>
      <c r="C62" s="75">
        <f>[1]Input!B12+[1]Input!B11+[1]Input!B10</f>
        <v>500</v>
      </c>
      <c r="D62" s="39"/>
      <c r="E62" s="69">
        <f>IF([1]PFIS!$Q$10="Company", '[1]Sch 1 ADJs'!C64, '[1]Sch 1 ADJs'!D64)</f>
        <v>2</v>
      </c>
      <c r="F62" s="75">
        <f>E62+C62</f>
        <v>502</v>
      </c>
      <c r="G62" s="39"/>
      <c r="H62" s="69">
        <f>IF([1]PFIS!$Q$10="Company", '[1]Sch 1 ADJs'!G64, '[1]Sch 1 ADJs'!H64)</f>
        <v>0</v>
      </c>
      <c r="I62" s="75">
        <f>+F62+H62</f>
        <v>502</v>
      </c>
      <c r="J62" s="39"/>
      <c r="K62" s="2"/>
      <c r="L62" s="31">
        <f>+K62+I62</f>
        <v>502</v>
      </c>
      <c r="M62" s="75"/>
      <c r="O62" s="37"/>
      <c r="P62" s="38"/>
      <c r="Q62" s="38"/>
      <c r="R62" s="38"/>
      <c r="S62" s="38"/>
    </row>
    <row r="64" spans="1:232" x14ac:dyDescent="0.25">
      <c r="F64" s="94"/>
      <c r="L64" s="105"/>
      <c r="M64" s="105"/>
    </row>
    <row r="65" spans="5:9" s="1" customFormat="1" ht="15" customHeight="1" x14ac:dyDescent="0.25">
      <c r="F65" s="94"/>
      <c r="G65" s="5"/>
    </row>
    <row r="68" spans="5:9" s="1" customFormat="1" x14ac:dyDescent="0.25">
      <c r="E68" s="35"/>
      <c r="H68" s="35"/>
      <c r="I68" s="35"/>
    </row>
    <row r="69" spans="5:9" s="1" customFormat="1" x14ac:dyDescent="0.25">
      <c r="E69" s="35"/>
      <c r="H69" s="35"/>
      <c r="I69" s="35"/>
    </row>
    <row r="70" spans="5:9" s="1" customFormat="1" x14ac:dyDescent="0.25">
      <c r="E70" s="35"/>
      <c r="H70" s="35"/>
      <c r="I70" s="35"/>
    </row>
    <row r="71" spans="5:9" s="1" customFormat="1" x14ac:dyDescent="0.25">
      <c r="G71" s="5"/>
      <c r="H71" s="94"/>
      <c r="I71" s="94"/>
    </row>
    <row r="72" spans="5:9" s="1" customFormat="1" x14ac:dyDescent="0.25">
      <c r="E72" s="94"/>
      <c r="G72" s="5"/>
    </row>
    <row r="73" spans="5:9" s="1" customFormat="1" x14ac:dyDescent="0.25">
      <c r="G73" s="5"/>
      <c r="H73" s="94"/>
      <c r="I73" s="94"/>
    </row>
    <row r="74" spans="5:9" s="1" customFormat="1" x14ac:dyDescent="0.25">
      <c r="G74" s="5"/>
      <c r="I74" s="94">
        <f>I73-I71</f>
        <v>0</v>
      </c>
    </row>
  </sheetData>
  <protectedRanges>
    <protectedRange password="C6D0" sqref="Q10" name="Select Party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  <protectedRange password="C6D0" sqref="Q13" name="Capital Structure" securityDescriptor="O:WDG:WDD:(A;;CC;;;S-1-5-21-1844237615-1844823847-839522115-11937)(A;;CC;;;S-1-5-21-1844237615-1844823847-839522115-14772)(A;;CC;;;S-1-5-21-1844237615-1844823847-839522115-15657)(A;;CC;;;S-1-5-21-1844237615-1844823847-839522115-11952)(A;;CC;;;S-1-5-21-1844237615-1844823847-839522115-15656)"/>
  </protectedRanges>
  <mergeCells count="5">
    <mergeCell ref="A1:L1"/>
    <mergeCell ref="A2:L2"/>
    <mergeCell ref="A3:L3"/>
    <mergeCell ref="A4:L4"/>
    <mergeCell ref="Q7:R7"/>
  </mergeCells>
  <dataValidations count="5">
    <dataValidation allowBlank="1" showErrorMessage="1" promptTitle="Test Period in a Leap Year" prompt="Is the &quot;test period&quot; in a leap year?" sqref="Q22"/>
    <dataValidation type="list" allowBlank="1" showInputMessage="1" showErrorMessage="1" sqref="Q13">
      <formula1>"Normal Formula Calculations, Actual Weighted Average Cost of Capital, 40/60 Hypothetical"</formula1>
    </dataValidation>
    <dataValidation type="list" allowBlank="1" showInputMessage="1" showErrorMessage="1" promptTitle="Select Party" prompt="Select either Company or Staff" sqref="Q10">
      <formula1>"Company, Staff"</formula1>
    </dataValidation>
    <dataValidation type="list" allowBlank="1" showInputMessage="1" showErrorMessage="1" promptTitle="Federal Income Tax" prompt="Select the company's Federal Income Tax (FIT) percentage, if unknown than select the &quot;Suggested FIT Rate&quot;." sqref="Q16">
      <formula1>"15%, 25%, 34%, 35%, 38%, 39%"</formula1>
    </dataValidation>
    <dataValidation allowBlank="1" showInputMessage="1" showErrorMessage="1" promptTitle="Input Suggested CF" prompt="Keep inputting the suggested CF until it no longer changes._x000a__x000a_When &quot;Input&quot; equals &quot;Suggested&quot;, then you are done." sqref="Q19"/>
  </dataValidation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352B33E-A29C-4ABD-A955-BBA5D5A574CD}"/>
</file>

<file path=customXml/itemProps2.xml><?xml version="1.0" encoding="utf-8"?>
<ds:datastoreItem xmlns:ds="http://schemas.openxmlformats.org/officeDocument/2006/customXml" ds:itemID="{0889688D-D0CD-4F15-8865-561FD054AD72}"/>
</file>

<file path=customXml/itemProps3.xml><?xml version="1.0" encoding="utf-8"?>
<ds:datastoreItem xmlns:ds="http://schemas.openxmlformats.org/officeDocument/2006/customXml" ds:itemID="{DE98D19E-123D-4908-A0F9-42EFE5D73896}"/>
</file>

<file path=customXml/itemProps4.xml><?xml version="1.0" encoding="utf-8"?>
<ds:datastoreItem xmlns:ds="http://schemas.openxmlformats.org/officeDocument/2006/customXml" ds:itemID="{FD2CCC61-319E-45B2-B7CB-DBFE9893B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Shofstall</dc:creator>
  <cp:lastModifiedBy>Candace Shofstall</cp:lastModifiedBy>
  <cp:lastPrinted>2016-10-17T20:04:44Z</cp:lastPrinted>
  <dcterms:created xsi:type="dcterms:W3CDTF">2016-10-17T19:56:40Z</dcterms:created>
  <dcterms:modified xsi:type="dcterms:W3CDTF">2016-10-17T20:04:56Z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