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-15" yWindow="-15" windowWidth="9690" windowHeight="7290" tabRatio="731" activeTab="3"/>
  </bookViews>
  <sheets>
    <sheet name="Index" sheetId="17" r:id="rId1"/>
    <sheet name="WGJ-2" sheetId="1" r:id="rId2"/>
    <sheet name="WGJ-4" sheetId="16" r:id="rId3"/>
    <sheet name="WGJ-5" sheetId="19" r:id="rId4"/>
    <sheet name="Aurora" sheetId="18" r:id="rId5"/>
  </sheets>
  <definedNames>
    <definedName name="_xlnm.Print_Area" localSheetId="0">Index!$A$18:$O$53</definedName>
    <definedName name="_xlnm.Print_Area" localSheetId="1">'WGJ-2'!$A$1:$F$118</definedName>
    <definedName name="_xlnm.Print_Area" localSheetId="2">'WGJ-4'!$A$1:$O$57</definedName>
    <definedName name="_xlnm.Print_Titles" localSheetId="1">'WGJ-2'!$1:$7</definedName>
  </definedNames>
  <calcPr calcId="125725"/>
</workbook>
</file>

<file path=xl/calcChain.xml><?xml version="1.0" encoding="utf-8"?>
<calcChain xmlns="http://schemas.openxmlformats.org/spreadsheetml/2006/main">
  <c r="B23" i="19"/>
  <c r="A41" i="1" l="1"/>
  <c r="A40"/>
  <c r="A28"/>
  <c r="A29" s="1"/>
  <c r="A30" s="1"/>
  <c r="J28"/>
  <c r="E40" l="1"/>
  <c r="E104" l="1"/>
  <c r="C21" i="17"/>
  <c r="C23"/>
  <c r="O13" l="1"/>
  <c r="N13"/>
  <c r="E28" i="1" l="1"/>
  <c r="E28" i="17"/>
  <c r="F28"/>
  <c r="G28"/>
  <c r="H28"/>
  <c r="I28"/>
  <c r="J28"/>
  <c r="K28"/>
  <c r="L28"/>
  <c r="M28"/>
  <c r="N28"/>
  <c r="O28"/>
  <c r="D28"/>
  <c r="J22" i="1"/>
  <c r="J21" l="1"/>
  <c r="D90" l="1"/>
  <c r="D10" l="1"/>
  <c r="E19" i="17" l="1"/>
  <c r="F19"/>
  <c r="G19"/>
  <c r="H19"/>
  <c r="I19"/>
  <c r="J19"/>
  <c r="K19"/>
  <c r="L19"/>
  <c r="M19"/>
  <c r="N19"/>
  <c r="O19"/>
  <c r="D19"/>
  <c r="E22" i="1"/>
  <c r="D31" i="19"/>
  <c r="E31"/>
  <c r="F31"/>
  <c r="G31"/>
  <c r="H31"/>
  <c r="I31"/>
  <c r="J31"/>
  <c r="K31"/>
  <c r="L31"/>
  <c r="M31"/>
  <c r="N31"/>
  <c r="C31"/>
  <c r="L103" i="1" l="1"/>
  <c r="M103"/>
  <c r="N103"/>
  <c r="O103"/>
  <c r="P103"/>
  <c r="Q103"/>
  <c r="R103"/>
  <c r="S103"/>
  <c r="T103"/>
  <c r="U103"/>
  <c r="V103"/>
  <c r="K103"/>
  <c r="J103" l="1"/>
  <c r="D25" i="19" l="1"/>
  <c r="E25"/>
  <c r="F25"/>
  <c r="G25"/>
  <c r="H25"/>
  <c r="I25"/>
  <c r="J25"/>
  <c r="K25"/>
  <c r="L25"/>
  <c r="M25"/>
  <c r="N25"/>
  <c r="C25"/>
  <c r="L39" i="1" l="1"/>
  <c r="M39"/>
  <c r="N39"/>
  <c r="O39"/>
  <c r="P39"/>
  <c r="Q39"/>
  <c r="R39"/>
  <c r="S39"/>
  <c r="T39"/>
  <c r="U39"/>
  <c r="V39"/>
  <c r="K39"/>
  <c r="J39" l="1"/>
  <c r="J13"/>
  <c r="V30"/>
  <c r="U30"/>
  <c r="T30"/>
  <c r="S30"/>
  <c r="R30"/>
  <c r="Q30"/>
  <c r="P30"/>
  <c r="O30"/>
  <c r="N30"/>
  <c r="M30"/>
  <c r="L30"/>
  <c r="K30"/>
  <c r="T29"/>
  <c r="V12"/>
  <c r="U12"/>
  <c r="T12"/>
  <c r="S12"/>
  <c r="R12"/>
  <c r="Q12"/>
  <c r="P12"/>
  <c r="O12"/>
  <c r="N12"/>
  <c r="M12"/>
  <c r="L12"/>
  <c r="K12"/>
  <c r="E39" l="1"/>
  <c r="E59"/>
  <c r="E21"/>
  <c r="E51" i="17"/>
  <c r="F51"/>
  <c r="G51"/>
  <c r="H51"/>
  <c r="I51"/>
  <c r="J51"/>
  <c r="K51"/>
  <c r="L51"/>
  <c r="M51"/>
  <c r="N51"/>
  <c r="O51"/>
  <c r="D51"/>
  <c r="E13" i="1"/>
  <c r="J58" l="1"/>
  <c r="J15"/>
  <c r="J33"/>
  <c r="E58"/>
  <c r="B25" i="19"/>
  <c r="J91" i="1"/>
  <c r="J56"/>
  <c r="J57"/>
  <c r="E91"/>
  <c r="E56"/>
  <c r="A9"/>
  <c r="A10" s="1"/>
  <c r="A11" s="1"/>
  <c r="A12" s="1"/>
  <c r="D33" i="16"/>
  <c r="K20" i="1" s="1"/>
  <c r="E33" i="16"/>
  <c r="L20" i="1" s="1"/>
  <c r="F33" i="16"/>
  <c r="M20" i="1" s="1"/>
  <c r="G33" i="16"/>
  <c r="N20" i="1" s="1"/>
  <c r="H33" i="16"/>
  <c r="O20" i="1" s="1"/>
  <c r="I33" i="16"/>
  <c r="P20" i="1" s="1"/>
  <c r="J33" i="16"/>
  <c r="Q20" i="1" s="1"/>
  <c r="K33" i="16"/>
  <c r="R20" i="1" s="1"/>
  <c r="L33" i="16"/>
  <c r="S20" i="1" s="1"/>
  <c r="M33" i="16"/>
  <c r="T20" i="1" s="1"/>
  <c r="N33" i="16"/>
  <c r="U20" i="1" s="1"/>
  <c r="O33" i="16"/>
  <c r="V20" i="1" s="1"/>
  <c r="D100"/>
  <c r="E57"/>
  <c r="E15"/>
  <c r="E97"/>
  <c r="K97"/>
  <c r="L97"/>
  <c r="M97"/>
  <c r="N97"/>
  <c r="O97"/>
  <c r="P97"/>
  <c r="Q97"/>
  <c r="R97"/>
  <c r="S97"/>
  <c r="T97"/>
  <c r="U97"/>
  <c r="V97"/>
  <c r="E29" i="17"/>
  <c r="E31"/>
  <c r="D6"/>
  <c r="H6"/>
  <c r="I6"/>
  <c r="J6"/>
  <c r="K6"/>
  <c r="L6"/>
  <c r="O6"/>
  <c r="E43"/>
  <c r="F29"/>
  <c r="F31"/>
  <c r="G29"/>
  <c r="H29" s="1"/>
  <c r="I29" s="1"/>
  <c r="J29" s="1"/>
  <c r="K29" s="1"/>
  <c r="L29" s="1"/>
  <c r="M29" s="1"/>
  <c r="N29" s="1"/>
  <c r="O29" s="1"/>
  <c r="G31"/>
  <c r="H31"/>
  <c r="I31"/>
  <c r="J31"/>
  <c r="K31"/>
  <c r="L31"/>
  <c r="M31"/>
  <c r="N31"/>
  <c r="O31"/>
  <c r="D31"/>
  <c r="L78" i="1"/>
  <c r="M78"/>
  <c r="E20" i="19"/>
  <c r="N78" i="1"/>
  <c r="F20" i="19" s="1"/>
  <c r="O78" i="1"/>
  <c r="G20" i="19" s="1"/>
  <c r="P78" i="1"/>
  <c r="H20" i="19" s="1"/>
  <c r="Q78" i="1"/>
  <c r="I20" i="19" s="1"/>
  <c r="R78" i="1"/>
  <c r="J20" i="19" s="1"/>
  <c r="S78" i="1"/>
  <c r="K20" i="19" s="1"/>
  <c r="T78" i="1"/>
  <c r="L20" i="19" s="1"/>
  <c r="U78" i="1"/>
  <c r="M20" i="19" s="1"/>
  <c r="V78" i="1"/>
  <c r="N20" i="19" s="1"/>
  <c r="K78" i="1"/>
  <c r="C20" i="19" s="1"/>
  <c r="B22"/>
  <c r="J99" i="1"/>
  <c r="J90"/>
  <c r="J19"/>
  <c r="J23"/>
  <c r="J11"/>
  <c r="E35" i="16"/>
  <c r="L54" i="1" s="1"/>
  <c r="F35" i="16"/>
  <c r="M54" i="1" s="1"/>
  <c r="G35" i="16"/>
  <c r="N54" i="1" s="1"/>
  <c r="H35" i="16"/>
  <c r="O54" i="1" s="1"/>
  <c r="I35" i="16"/>
  <c r="P54" i="1" s="1"/>
  <c r="J35" i="16"/>
  <c r="Q54" i="1" s="1"/>
  <c r="K35" i="16"/>
  <c r="R54" i="1" s="1"/>
  <c r="L35" i="16"/>
  <c r="S54" i="1" s="1"/>
  <c r="M35" i="16"/>
  <c r="T54" i="1" s="1"/>
  <c r="N35" i="16"/>
  <c r="U54" i="1" s="1"/>
  <c r="O35" i="16"/>
  <c r="V54" i="1" s="1"/>
  <c r="D35" i="16"/>
  <c r="K54" i="1" s="1"/>
  <c r="J55"/>
  <c r="C24" i="17"/>
  <c r="E14"/>
  <c r="F14"/>
  <c r="G14"/>
  <c r="H14"/>
  <c r="I14"/>
  <c r="J14"/>
  <c r="K14"/>
  <c r="L14"/>
  <c r="M14"/>
  <c r="N14"/>
  <c r="O14"/>
  <c r="D14"/>
  <c r="E11" i="1"/>
  <c r="D23" i="16"/>
  <c r="D27"/>
  <c r="D31"/>
  <c r="K52" i="1" s="1"/>
  <c r="D39" i="16"/>
  <c r="D43"/>
  <c r="D47"/>
  <c r="D51"/>
  <c r="E23"/>
  <c r="E27"/>
  <c r="E31"/>
  <c r="E39"/>
  <c r="E43"/>
  <c r="E47"/>
  <c r="E51"/>
  <c r="F23"/>
  <c r="F27"/>
  <c r="F31"/>
  <c r="F39"/>
  <c r="F43"/>
  <c r="F47"/>
  <c r="F51"/>
  <c r="G23"/>
  <c r="G27"/>
  <c r="G31"/>
  <c r="G39"/>
  <c r="G43"/>
  <c r="G47"/>
  <c r="G51"/>
  <c r="H23"/>
  <c r="H27"/>
  <c r="H31"/>
  <c r="H39"/>
  <c r="H43"/>
  <c r="H47"/>
  <c r="H51"/>
  <c r="I23"/>
  <c r="I27"/>
  <c r="I31"/>
  <c r="I39"/>
  <c r="I43"/>
  <c r="I47"/>
  <c r="I51"/>
  <c r="J23"/>
  <c r="J27"/>
  <c r="J31"/>
  <c r="Q52" i="1" s="1"/>
  <c r="J39" i="16"/>
  <c r="J43"/>
  <c r="J47"/>
  <c r="J51"/>
  <c r="L23"/>
  <c r="L27"/>
  <c r="L31"/>
  <c r="L39"/>
  <c r="L43"/>
  <c r="L47"/>
  <c r="L51"/>
  <c r="M23"/>
  <c r="M27"/>
  <c r="M31"/>
  <c r="T52" i="1" s="1"/>
  <c r="M39" i="16"/>
  <c r="M43"/>
  <c r="M47"/>
  <c r="M51"/>
  <c r="N23"/>
  <c r="N27"/>
  <c r="N31"/>
  <c r="N39"/>
  <c r="N43"/>
  <c r="N47"/>
  <c r="N51"/>
  <c r="O23"/>
  <c r="O27"/>
  <c r="O31"/>
  <c r="V52" i="1" s="1"/>
  <c r="O39" i="16"/>
  <c r="O43"/>
  <c r="O47"/>
  <c r="O51"/>
  <c r="K23"/>
  <c r="K27"/>
  <c r="K31"/>
  <c r="K39"/>
  <c r="K43"/>
  <c r="K47"/>
  <c r="K51"/>
  <c r="E19" i="1"/>
  <c r="C35" i="16"/>
  <c r="F54" i="1" s="1"/>
  <c r="E54" s="1"/>
  <c r="E55"/>
  <c r="E34" i="16"/>
  <c r="F34"/>
  <c r="G34"/>
  <c r="H34"/>
  <c r="I34"/>
  <c r="J34"/>
  <c r="K34"/>
  <c r="L34"/>
  <c r="M34"/>
  <c r="N34"/>
  <c r="O34"/>
  <c r="D34"/>
  <c r="E39" i="17"/>
  <c r="F39"/>
  <c r="G39"/>
  <c r="H39"/>
  <c r="I39"/>
  <c r="J39"/>
  <c r="K39"/>
  <c r="L39"/>
  <c r="M39"/>
  <c r="N39"/>
  <c r="O39"/>
  <c r="D39"/>
  <c r="C14"/>
  <c r="F93" i="1" s="1"/>
  <c r="E93" s="1"/>
  <c r="B33" i="19"/>
  <c r="E21" i="17"/>
  <c r="F21"/>
  <c r="G21"/>
  <c r="H21"/>
  <c r="I21"/>
  <c r="J21"/>
  <c r="K21"/>
  <c r="L21"/>
  <c r="M21"/>
  <c r="N21"/>
  <c r="O21"/>
  <c r="D21"/>
  <c r="D21" i="16"/>
  <c r="E21"/>
  <c r="F21"/>
  <c r="G21"/>
  <c r="H21"/>
  <c r="I21"/>
  <c r="J21"/>
  <c r="K21"/>
  <c r="L21"/>
  <c r="M21"/>
  <c r="N21"/>
  <c r="O21"/>
  <c r="E90" i="1"/>
  <c r="E10"/>
  <c r="E99"/>
  <c r="D13" i="16"/>
  <c r="K9" i="1" s="1"/>
  <c r="K45"/>
  <c r="K47"/>
  <c r="K60"/>
  <c r="K61"/>
  <c r="K62"/>
  <c r="K63"/>
  <c r="D9" i="16"/>
  <c r="K89" i="1" s="1"/>
  <c r="K93"/>
  <c r="K96"/>
  <c r="E13" i="16"/>
  <c r="L9" i="1" s="1"/>
  <c r="L45"/>
  <c r="L47"/>
  <c r="L52"/>
  <c r="L60"/>
  <c r="L61"/>
  <c r="L62"/>
  <c r="L63"/>
  <c r="E9" i="16"/>
  <c r="L89" i="1" s="1"/>
  <c r="L93"/>
  <c r="L96"/>
  <c r="F13" i="16"/>
  <c r="M9" i="1" s="1"/>
  <c r="M45"/>
  <c r="M47"/>
  <c r="M52"/>
  <c r="M60"/>
  <c r="M61"/>
  <c r="M62"/>
  <c r="M63"/>
  <c r="F9" i="16"/>
  <c r="M89" i="1" s="1"/>
  <c r="M93"/>
  <c r="M96"/>
  <c r="G13" i="16"/>
  <c r="N9" i="1" s="1"/>
  <c r="N45"/>
  <c r="N47"/>
  <c r="N52"/>
  <c r="N60"/>
  <c r="N61"/>
  <c r="N62"/>
  <c r="N63"/>
  <c r="G9" i="16"/>
  <c r="N89" i="1" s="1"/>
  <c r="N93"/>
  <c r="N96"/>
  <c r="H13" i="16"/>
  <c r="O9" i="1" s="1"/>
  <c r="O45"/>
  <c r="O47"/>
  <c r="O52"/>
  <c r="O60"/>
  <c r="O61"/>
  <c r="O62"/>
  <c r="O63"/>
  <c r="H9" i="16"/>
  <c r="O89" i="1" s="1"/>
  <c r="O93"/>
  <c r="O96"/>
  <c r="I13" i="16"/>
  <c r="P9" i="1" s="1"/>
  <c r="P45"/>
  <c r="P47"/>
  <c r="P52"/>
  <c r="P60"/>
  <c r="P61"/>
  <c r="P62"/>
  <c r="P63"/>
  <c r="I9" i="16"/>
  <c r="P89" i="1" s="1"/>
  <c r="P93"/>
  <c r="P96"/>
  <c r="J13" i="16"/>
  <c r="Q9" i="1" s="1"/>
  <c r="Q45"/>
  <c r="Q47"/>
  <c r="Q60"/>
  <c r="Q61"/>
  <c r="Q62"/>
  <c r="Q63"/>
  <c r="J9" i="16"/>
  <c r="Q89" i="1" s="1"/>
  <c r="Q93"/>
  <c r="Q96"/>
  <c r="K13" i="16"/>
  <c r="R9" i="1" s="1"/>
  <c r="R45"/>
  <c r="R47"/>
  <c r="R52"/>
  <c r="R60"/>
  <c r="R61"/>
  <c r="R62"/>
  <c r="R63"/>
  <c r="K9" i="16"/>
  <c r="R89" i="1" s="1"/>
  <c r="R93"/>
  <c r="R96"/>
  <c r="L13" i="16"/>
  <c r="S9" i="1" s="1"/>
  <c r="S45"/>
  <c r="S47"/>
  <c r="S52"/>
  <c r="S60"/>
  <c r="S61"/>
  <c r="S62"/>
  <c r="S63"/>
  <c r="L9" i="16"/>
  <c r="S89" i="1" s="1"/>
  <c r="S93"/>
  <c r="S96"/>
  <c r="M13" i="16"/>
  <c r="T9" i="1" s="1"/>
  <c r="T45"/>
  <c r="T47"/>
  <c r="T60"/>
  <c r="T61"/>
  <c r="T62"/>
  <c r="T63"/>
  <c r="M9" i="16"/>
  <c r="T89" i="1" s="1"/>
  <c r="T93"/>
  <c r="T96"/>
  <c r="N13" i="16"/>
  <c r="U9" i="1" s="1"/>
  <c r="U45"/>
  <c r="U47"/>
  <c r="U52"/>
  <c r="U60"/>
  <c r="U61"/>
  <c r="U62"/>
  <c r="U63"/>
  <c r="N9" i="16"/>
  <c r="U89" i="1" s="1"/>
  <c r="U93"/>
  <c r="U96"/>
  <c r="O13" i="16"/>
  <c r="V9" i="1" s="1"/>
  <c r="V45"/>
  <c r="V47"/>
  <c r="V60"/>
  <c r="V61"/>
  <c r="V62"/>
  <c r="V63"/>
  <c r="O9" i="16"/>
  <c r="V89" i="1" s="1"/>
  <c r="V93"/>
  <c r="V96"/>
  <c r="E31"/>
  <c r="C13" i="16"/>
  <c r="F9" i="1" s="1"/>
  <c r="F42"/>
  <c r="C27" i="16"/>
  <c r="F45" i="1" s="1"/>
  <c r="C23" i="16"/>
  <c r="F47" i="1" s="1"/>
  <c r="E47" s="1"/>
  <c r="C47" i="16"/>
  <c r="F60" i="1" s="1"/>
  <c r="E60" s="1"/>
  <c r="C51" i="16"/>
  <c r="F61" i="1" s="1"/>
  <c r="E61" s="1"/>
  <c r="C39" i="16"/>
  <c r="F62" i="1" s="1"/>
  <c r="E62" s="1"/>
  <c r="C43" i="16"/>
  <c r="F63" i="1" s="1"/>
  <c r="E63" s="1"/>
  <c r="F78"/>
  <c r="F106"/>
  <c r="D34"/>
  <c r="D42"/>
  <c r="D49"/>
  <c r="D64"/>
  <c r="D78"/>
  <c r="D106"/>
  <c r="L38"/>
  <c r="K38"/>
  <c r="M38"/>
  <c r="N38"/>
  <c r="O38"/>
  <c r="P38"/>
  <c r="Q38"/>
  <c r="R38"/>
  <c r="S38"/>
  <c r="T38"/>
  <c r="U38"/>
  <c r="V38"/>
  <c r="J41"/>
  <c r="J37"/>
  <c r="J31"/>
  <c r="J32"/>
  <c r="C13" i="17"/>
  <c r="E38" i="1"/>
  <c r="E32"/>
  <c r="E103"/>
  <c r="J69"/>
  <c r="J70"/>
  <c r="J71"/>
  <c r="J72"/>
  <c r="J73"/>
  <c r="J74"/>
  <c r="J75"/>
  <c r="J76"/>
  <c r="J77"/>
  <c r="J68"/>
  <c r="J98"/>
  <c r="E98"/>
  <c r="J18"/>
  <c r="E75"/>
  <c r="J96"/>
  <c r="E18"/>
  <c r="E17"/>
  <c r="J17"/>
  <c r="E96"/>
  <c r="E33"/>
  <c r="J14"/>
  <c r="J24"/>
  <c r="J25"/>
  <c r="J26"/>
  <c r="J12"/>
  <c r="J94"/>
  <c r="J53"/>
  <c r="J46"/>
  <c r="E53"/>
  <c r="E73"/>
  <c r="E74"/>
  <c r="E68"/>
  <c r="E70"/>
  <c r="E71"/>
  <c r="E72"/>
  <c r="E76"/>
  <c r="E77"/>
  <c r="E30"/>
  <c r="E26"/>
  <c r="E84"/>
  <c r="E48"/>
  <c r="E14"/>
  <c r="E23"/>
  <c r="E24"/>
  <c r="E25"/>
  <c r="E27"/>
  <c r="E12"/>
  <c r="E41"/>
  <c r="E81"/>
  <c r="E92"/>
  <c r="E94"/>
  <c r="E95"/>
  <c r="E105"/>
  <c r="E109"/>
  <c r="E46"/>
  <c r="E37"/>
  <c r="J48"/>
  <c r="E69"/>
  <c r="J63"/>
  <c r="N39" i="18"/>
  <c r="N40"/>
  <c r="N6"/>
  <c r="N7"/>
  <c r="N8"/>
  <c r="N9"/>
  <c r="O9" s="1"/>
  <c r="N11"/>
  <c r="O11" s="1"/>
  <c r="N12"/>
  <c r="O12" s="1"/>
  <c r="N5"/>
  <c r="N36"/>
  <c r="N35"/>
  <c r="N26"/>
  <c r="N27"/>
  <c r="O27" s="1"/>
  <c r="N28"/>
  <c r="O28"/>
  <c r="N29"/>
  <c r="N31"/>
  <c r="N32"/>
  <c r="N25"/>
  <c r="P7"/>
  <c r="N37"/>
  <c r="O37" s="1"/>
  <c r="N23"/>
  <c r="O29"/>
  <c r="O14"/>
  <c r="O8"/>
  <c r="O6"/>
  <c r="O5"/>
  <c r="E29" i="16"/>
  <c r="F29"/>
  <c r="G29"/>
  <c r="H29"/>
  <c r="I29"/>
  <c r="J29"/>
  <c r="K29"/>
  <c r="L29"/>
  <c r="M29"/>
  <c r="N29"/>
  <c r="O29"/>
  <c r="D29"/>
  <c r="C29" s="1"/>
  <c r="P29" s="1"/>
  <c r="E10"/>
  <c r="E11" s="1"/>
  <c r="F10"/>
  <c r="C10" s="1"/>
  <c r="G10"/>
  <c r="G11" s="1"/>
  <c r="H10"/>
  <c r="I10"/>
  <c r="I11" s="1"/>
  <c r="J10"/>
  <c r="K10"/>
  <c r="L10"/>
  <c r="L11" s="1"/>
  <c r="M10"/>
  <c r="M11" s="1"/>
  <c r="N10"/>
  <c r="O10"/>
  <c r="J11"/>
  <c r="F12"/>
  <c r="G12"/>
  <c r="H12"/>
  <c r="I12"/>
  <c r="J12"/>
  <c r="N12"/>
  <c r="E14"/>
  <c r="F14"/>
  <c r="G14"/>
  <c r="H14"/>
  <c r="I14"/>
  <c r="J14"/>
  <c r="K14"/>
  <c r="L14"/>
  <c r="L16" s="1"/>
  <c r="M14"/>
  <c r="N14"/>
  <c r="O14"/>
  <c r="D14"/>
  <c r="D16" s="1"/>
  <c r="D10"/>
  <c r="D37"/>
  <c r="E37"/>
  <c r="E38" s="1"/>
  <c r="F37"/>
  <c r="G37"/>
  <c r="G38" s="1"/>
  <c r="H37"/>
  <c r="I37"/>
  <c r="I38" s="1"/>
  <c r="J37"/>
  <c r="K37"/>
  <c r="K38" s="1"/>
  <c r="L37"/>
  <c r="M37"/>
  <c r="M38" s="1"/>
  <c r="N37"/>
  <c r="O37"/>
  <c r="O38" s="1"/>
  <c r="D41"/>
  <c r="E41"/>
  <c r="E42" s="1"/>
  <c r="F41"/>
  <c r="G41"/>
  <c r="G42" s="1"/>
  <c r="H41"/>
  <c r="I41"/>
  <c r="I42" s="1"/>
  <c r="J41"/>
  <c r="K41"/>
  <c r="K42" s="1"/>
  <c r="L41"/>
  <c r="M41"/>
  <c r="M42" s="1"/>
  <c r="N41"/>
  <c r="O41"/>
  <c r="O42" s="1"/>
  <c r="D45"/>
  <c r="E45"/>
  <c r="E46" s="1"/>
  <c r="F45"/>
  <c r="G45"/>
  <c r="G46" s="1"/>
  <c r="H45"/>
  <c r="I45"/>
  <c r="I46" s="1"/>
  <c r="J45"/>
  <c r="K45"/>
  <c r="K46" s="1"/>
  <c r="L45"/>
  <c r="M45"/>
  <c r="M46" s="1"/>
  <c r="N45"/>
  <c r="O45"/>
  <c r="O46" s="1"/>
  <c r="D49"/>
  <c r="E49"/>
  <c r="E50" s="1"/>
  <c r="F49"/>
  <c r="G49"/>
  <c r="G50" s="1"/>
  <c r="H49"/>
  <c r="I49"/>
  <c r="I50" s="1"/>
  <c r="J49"/>
  <c r="K49"/>
  <c r="K50" s="1"/>
  <c r="L49"/>
  <c r="M49"/>
  <c r="M50" s="1"/>
  <c r="N49"/>
  <c r="O49"/>
  <c r="O50" s="1"/>
  <c r="D25"/>
  <c r="E25"/>
  <c r="E26" s="1"/>
  <c r="F25"/>
  <c r="G25"/>
  <c r="G26" s="1"/>
  <c r="H25"/>
  <c r="I25"/>
  <c r="J25"/>
  <c r="K25"/>
  <c r="L25"/>
  <c r="M25"/>
  <c r="N25"/>
  <c r="O25"/>
  <c r="N50"/>
  <c r="L50"/>
  <c r="J50"/>
  <c r="H50"/>
  <c r="F50"/>
  <c r="D50"/>
  <c r="N46"/>
  <c r="L46"/>
  <c r="J46"/>
  <c r="H46"/>
  <c r="F46"/>
  <c r="D46"/>
  <c r="N42"/>
  <c r="L42"/>
  <c r="J42"/>
  <c r="H42"/>
  <c r="F42"/>
  <c r="D42"/>
  <c r="F38"/>
  <c r="H38"/>
  <c r="J38"/>
  <c r="L38"/>
  <c r="N38"/>
  <c r="D38"/>
  <c r="E30"/>
  <c r="F30"/>
  <c r="G30"/>
  <c r="H30"/>
  <c r="I30"/>
  <c r="J30"/>
  <c r="K30"/>
  <c r="L30"/>
  <c r="N30"/>
  <c r="D30"/>
  <c r="E22"/>
  <c r="F22"/>
  <c r="G22"/>
  <c r="H22"/>
  <c r="I22"/>
  <c r="J22"/>
  <c r="K22"/>
  <c r="L22"/>
  <c r="M22"/>
  <c r="N22"/>
  <c r="O22"/>
  <c r="D22"/>
  <c r="F26"/>
  <c r="H26"/>
  <c r="J26"/>
  <c r="K26"/>
  <c r="L26"/>
  <c r="M26"/>
  <c r="N26"/>
  <c r="O26"/>
  <c r="D26"/>
  <c r="G19"/>
  <c r="I19"/>
  <c r="E19"/>
  <c r="C14"/>
  <c r="G16"/>
  <c r="K16"/>
  <c r="M16"/>
  <c r="O16"/>
  <c r="E16"/>
  <c r="J17"/>
  <c r="J18" s="1"/>
  <c r="O17"/>
  <c r="O18" s="1"/>
  <c r="N17"/>
  <c r="N18" s="1"/>
  <c r="M17"/>
  <c r="M18" s="1"/>
  <c r="L17"/>
  <c r="L18" s="1"/>
  <c r="K17"/>
  <c r="K18" s="1"/>
  <c r="O15"/>
  <c r="D15"/>
  <c r="D12"/>
  <c r="I17"/>
  <c r="I18" s="1"/>
  <c r="H17"/>
  <c r="H18" s="1"/>
  <c r="G17"/>
  <c r="G18" s="1"/>
  <c r="F17"/>
  <c r="F18" s="1"/>
  <c r="E17"/>
  <c r="E18" s="1"/>
  <c r="I15"/>
  <c r="G15"/>
  <c r="E15"/>
  <c r="C9" i="17"/>
  <c r="D20" i="19"/>
  <c r="O7" i="18"/>
  <c r="T49" i="1"/>
  <c r="L12" i="19" s="1"/>
  <c r="L49" i="1"/>
  <c r="D12" i="19" s="1"/>
  <c r="K53" i="16"/>
  <c r="N53"/>
  <c r="L53"/>
  <c r="I53"/>
  <c r="G53"/>
  <c r="E53"/>
  <c r="O53"/>
  <c r="J53"/>
  <c r="F53"/>
  <c r="N33" i="18"/>
  <c r="E29" i="1"/>
  <c r="J29"/>
  <c r="C25" i="16"/>
  <c r="P25" s="1"/>
  <c r="C49"/>
  <c r="C50" s="1"/>
  <c r="C41"/>
  <c r="C42" s="1"/>
  <c r="C37"/>
  <c r="P37" s="1"/>
  <c r="C21"/>
  <c r="C45"/>
  <c r="P45" s="1"/>
  <c r="N13" i="18"/>
  <c r="O13" s="1"/>
  <c r="P49" i="16"/>
  <c r="C38"/>
  <c r="J10" i="1"/>
  <c r="C39" i="17" l="1"/>
  <c r="C22" i="16"/>
  <c r="P21"/>
  <c r="D17"/>
  <c r="D18" s="1"/>
  <c r="L15"/>
  <c r="L19"/>
  <c r="L12"/>
  <c r="K15"/>
  <c r="M15"/>
  <c r="H16"/>
  <c r="F16"/>
  <c r="N19"/>
  <c r="J19"/>
  <c r="H19"/>
  <c r="F19"/>
  <c r="F11"/>
  <c r="H11"/>
  <c r="E78" i="1"/>
  <c r="E9"/>
  <c r="P49"/>
  <c r="H12" i="19" s="1"/>
  <c r="M49" i="1"/>
  <c r="E12" i="19" s="1"/>
  <c r="F15" i="16"/>
  <c r="H15"/>
  <c r="D11"/>
  <c r="N15"/>
  <c r="J15"/>
  <c r="N16"/>
  <c r="J16"/>
  <c r="D19"/>
  <c r="O19"/>
  <c r="M19"/>
  <c r="K19"/>
  <c r="O12"/>
  <c r="N11"/>
  <c r="O11"/>
  <c r="K11"/>
  <c r="N41" i="18"/>
  <c r="C6" i="17"/>
  <c r="J47" i="1"/>
  <c r="J61"/>
  <c r="N43" i="18"/>
  <c r="Q21" i="16"/>
  <c r="P41"/>
  <c r="C26"/>
  <c r="H53"/>
  <c r="D112" i="1"/>
  <c r="E106"/>
  <c r="E42"/>
  <c r="V49"/>
  <c r="N12" i="19" s="1"/>
  <c r="R49" i="1"/>
  <c r="J12" i="19" s="1"/>
  <c r="N49" i="1"/>
  <c r="F12" i="19" s="1"/>
  <c r="J95" i="1"/>
  <c r="J92"/>
  <c r="J30"/>
  <c r="J27"/>
  <c r="J93"/>
  <c r="J62"/>
  <c r="J60"/>
  <c r="J45"/>
  <c r="J78"/>
  <c r="A13"/>
  <c r="S49"/>
  <c r="K12" i="19" s="1"/>
  <c r="D86" i="1"/>
  <c r="P100"/>
  <c r="H16" i="19" s="1"/>
  <c r="N100" i="1"/>
  <c r="F16" i="19" s="1"/>
  <c r="J52" i="1"/>
  <c r="D53" i="16"/>
  <c r="M53"/>
  <c r="O30"/>
  <c r="M30"/>
  <c r="C31"/>
  <c r="F52" i="1" s="1"/>
  <c r="E52" s="1"/>
  <c r="F49"/>
  <c r="E49" s="1"/>
  <c r="E45"/>
  <c r="J38"/>
  <c r="J97"/>
  <c r="K49"/>
  <c r="C12" i="19" s="1"/>
  <c r="D32" i="17"/>
  <c r="N32"/>
  <c r="M32"/>
  <c r="K32"/>
  <c r="I32"/>
  <c r="G32"/>
  <c r="F32"/>
  <c r="E32"/>
  <c r="O32"/>
  <c r="L32"/>
  <c r="J32"/>
  <c r="H32"/>
  <c r="M43"/>
  <c r="V100" i="1"/>
  <c r="N16" i="19" s="1"/>
  <c r="I43" i="17"/>
  <c r="Q49" i="1"/>
  <c r="I12" i="19" s="1"/>
  <c r="O49" i="1"/>
  <c r="G12" i="19" s="1"/>
  <c r="O43" i="17"/>
  <c r="K43"/>
  <c r="G43"/>
  <c r="D43"/>
  <c r="V64" i="1"/>
  <c r="N14" i="19" s="1"/>
  <c r="T64" i="1"/>
  <c r="L14" i="19" s="1"/>
  <c r="R64" i="1"/>
  <c r="J14" i="19" s="1"/>
  <c r="P64" i="1"/>
  <c r="H14" i="19" s="1"/>
  <c r="N64" i="1"/>
  <c r="F14" i="19" s="1"/>
  <c r="L64" i="1"/>
  <c r="D14" i="19" s="1"/>
  <c r="K100" i="1"/>
  <c r="C16" i="19" s="1"/>
  <c r="U64" i="1"/>
  <c r="M14" i="19" s="1"/>
  <c r="S64" i="1"/>
  <c r="K14" i="19" s="1"/>
  <c r="Q64" i="1"/>
  <c r="I14" i="19" s="1"/>
  <c r="O64" i="1"/>
  <c r="G14" i="19" s="1"/>
  <c r="M64" i="1"/>
  <c r="E14" i="19" s="1"/>
  <c r="C31" i="17"/>
  <c r="C30" i="16"/>
  <c r="J54" i="1"/>
  <c r="K64"/>
  <c r="C14" i="19" s="1"/>
  <c r="B20"/>
  <c r="U49" i="1"/>
  <c r="M12" i="19" s="1"/>
  <c r="T100" i="1"/>
  <c r="L16" i="19" s="1"/>
  <c r="S100" i="1"/>
  <c r="K16" i="19" s="1"/>
  <c r="R100" i="1"/>
  <c r="J16" i="19" s="1"/>
  <c r="Q100" i="1"/>
  <c r="I16" i="19" s="1"/>
  <c r="O100" i="1"/>
  <c r="G16" i="19" s="1"/>
  <c r="M100" i="1"/>
  <c r="E16" i="19" s="1"/>
  <c r="N43" i="17"/>
  <c r="L43"/>
  <c r="J43"/>
  <c r="H43"/>
  <c r="F43"/>
  <c r="C33" i="16"/>
  <c r="Q37"/>
  <c r="C46"/>
  <c r="C17"/>
  <c r="C18" s="1"/>
  <c r="C15"/>
  <c r="C16"/>
  <c r="M12"/>
  <c r="K12"/>
  <c r="E12"/>
  <c r="C9"/>
  <c r="C19" s="1"/>
  <c r="U100" i="1"/>
  <c r="M16" i="19" s="1"/>
  <c r="J89" i="1"/>
  <c r="L100"/>
  <c r="C51" i="17"/>
  <c r="J20" i="1"/>
  <c r="J9"/>
  <c r="C32" i="17" l="1"/>
  <c r="F20" i="1"/>
  <c r="P33" i="16"/>
  <c r="D114" i="1"/>
  <c r="J49"/>
  <c r="J59"/>
  <c r="J64" s="1"/>
  <c r="C53" i="16"/>
  <c r="C55" s="1"/>
  <c r="A14" i="1"/>
  <c r="A15" s="1"/>
  <c r="A16" s="1"/>
  <c r="B12" i="19"/>
  <c r="B14"/>
  <c r="F64" i="1"/>
  <c r="E64" s="1"/>
  <c r="C43" i="17"/>
  <c r="E20" i="1"/>
  <c r="C34" i="16"/>
  <c r="F89" i="1"/>
  <c r="C11" i="16"/>
  <c r="C12"/>
  <c r="C53" i="17"/>
  <c r="D16" i="19"/>
  <c r="B16" s="1"/>
  <c r="J100" i="1"/>
  <c r="A17" l="1"/>
  <c r="A18" s="1"/>
  <c r="A19" s="1"/>
  <c r="A20" s="1"/>
  <c r="A21" s="1"/>
  <c r="F44" i="17"/>
  <c r="H44"/>
  <c r="J44"/>
  <c r="L44"/>
  <c r="N44"/>
  <c r="D44"/>
  <c r="E44"/>
  <c r="G44"/>
  <c r="I44"/>
  <c r="K44"/>
  <c r="M44"/>
  <c r="O44"/>
  <c r="M34"/>
  <c r="I34"/>
  <c r="F34"/>
  <c r="D34"/>
  <c r="L34"/>
  <c r="H34"/>
  <c r="O34"/>
  <c r="K34"/>
  <c r="G34"/>
  <c r="E34"/>
  <c r="N34"/>
  <c r="J34"/>
  <c r="F40"/>
  <c r="H40"/>
  <c r="J40"/>
  <c r="L40"/>
  <c r="N40"/>
  <c r="D40"/>
  <c r="E40"/>
  <c r="G40"/>
  <c r="I40"/>
  <c r="K40"/>
  <c r="M40"/>
  <c r="O40"/>
  <c r="E89" i="1"/>
  <c r="F100"/>
  <c r="F112" s="1"/>
  <c r="E41" i="17"/>
  <c r="G41"/>
  <c r="I41"/>
  <c r="K41"/>
  <c r="M41"/>
  <c r="O41"/>
  <c r="F41"/>
  <c r="H41"/>
  <c r="J41"/>
  <c r="L41"/>
  <c r="N41"/>
  <c r="D41"/>
  <c r="A22" i="1" l="1"/>
  <c r="A23" s="1"/>
  <c r="A24" s="1"/>
  <c r="A25" s="1"/>
  <c r="A26" s="1"/>
  <c r="A27" s="1"/>
  <c r="C41" i="17"/>
  <c r="E112" i="1"/>
  <c r="E100"/>
  <c r="L36" i="17"/>
  <c r="L45"/>
  <c r="H36"/>
  <c r="H45"/>
  <c r="D45"/>
  <c r="M36"/>
  <c r="M45"/>
  <c r="I36"/>
  <c r="I45"/>
  <c r="E36"/>
  <c r="E45"/>
  <c r="N36"/>
  <c r="N45"/>
  <c r="J36"/>
  <c r="J45"/>
  <c r="F36"/>
  <c r="F45"/>
  <c r="O36"/>
  <c r="O45"/>
  <c r="K36"/>
  <c r="K45"/>
  <c r="G36"/>
  <c r="G45"/>
  <c r="H48" l="1"/>
  <c r="O16" i="1" s="1"/>
  <c r="L48" i="17"/>
  <c r="S16" i="1" s="1"/>
  <c r="S34" s="1"/>
  <c r="A31"/>
  <c r="A32" s="1"/>
  <c r="A33" s="1"/>
  <c r="A34" s="1"/>
  <c r="A37" s="1"/>
  <c r="A38" s="1"/>
  <c r="A39" s="1"/>
  <c r="G48" i="17"/>
  <c r="N16" i="1" s="1"/>
  <c r="N34" s="1"/>
  <c r="K48" i="17"/>
  <c r="R16" i="1" s="1"/>
  <c r="O48" i="17"/>
  <c r="V16" i="1" s="1"/>
  <c r="V34" s="1"/>
  <c r="F48" i="17"/>
  <c r="M16" i="1" s="1"/>
  <c r="M34" s="1"/>
  <c r="J48" i="17"/>
  <c r="Q16" i="1" s="1"/>
  <c r="Q34" s="1"/>
  <c r="N48" i="17"/>
  <c r="U16" i="1" s="1"/>
  <c r="U34" s="1"/>
  <c r="E48" i="17"/>
  <c r="L16" i="1" s="1"/>
  <c r="L34" s="1"/>
  <c r="I48" i="17"/>
  <c r="P16" i="1" s="1"/>
  <c r="P34" s="1"/>
  <c r="M48" i="17"/>
  <c r="T16" i="1" s="1"/>
  <c r="T34" s="1"/>
  <c r="K37" i="17"/>
  <c r="R34" i="1"/>
  <c r="F37" i="17"/>
  <c r="J37"/>
  <c r="N37"/>
  <c r="E37"/>
  <c r="I37"/>
  <c r="M37"/>
  <c r="O34" i="1"/>
  <c r="H37" i="17"/>
  <c r="L37"/>
  <c r="C45"/>
  <c r="C46" s="1"/>
  <c r="G37"/>
  <c r="O37"/>
  <c r="C34"/>
  <c r="D36"/>
  <c r="D48" s="1"/>
  <c r="K16" i="1" s="1"/>
  <c r="A42" l="1"/>
  <c r="A45" s="1"/>
  <c r="A46" s="1"/>
  <c r="A47" s="1"/>
  <c r="A48" s="1"/>
  <c r="A49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8" s="1"/>
  <c r="A69" s="1"/>
  <c r="A70" s="1"/>
  <c r="A71" s="1"/>
  <c r="A72" s="1"/>
  <c r="A73" s="1"/>
  <c r="A74" s="1"/>
  <c r="A75" s="1"/>
  <c r="A76" s="1"/>
  <c r="A77" s="1"/>
  <c r="A78" s="1"/>
  <c r="A81" s="1"/>
  <c r="A84" s="1"/>
  <c r="A86" s="1"/>
  <c r="A89" s="1"/>
  <c r="A90" s="1"/>
  <c r="A91" s="1"/>
  <c r="A92" s="1"/>
  <c r="A93" s="1"/>
  <c r="A94" s="1"/>
  <c r="A95" s="1"/>
  <c r="A96" s="1"/>
  <c r="A97" s="1"/>
  <c r="A98" s="1"/>
  <c r="A99" s="1"/>
  <c r="A100" s="1"/>
  <c r="A103" s="1"/>
  <c r="S120"/>
  <c r="K10" i="19"/>
  <c r="K18" s="1"/>
  <c r="G10"/>
  <c r="G18" s="1"/>
  <c r="O120" i="1"/>
  <c r="T120"/>
  <c r="L10" i="19"/>
  <c r="L18" s="1"/>
  <c r="P120" i="1"/>
  <c r="H10" i="19"/>
  <c r="H18" s="1"/>
  <c r="M10"/>
  <c r="M18" s="1"/>
  <c r="U120" i="1"/>
  <c r="Q120"/>
  <c r="I10" i="19"/>
  <c r="I18" s="1"/>
  <c r="M120" i="1"/>
  <c r="E10" i="19"/>
  <c r="E18" s="1"/>
  <c r="D37" i="17"/>
  <c r="C36"/>
  <c r="C37" s="1"/>
  <c r="V120" i="1"/>
  <c r="N10" i="19"/>
  <c r="N18" s="1"/>
  <c r="F10"/>
  <c r="F18" s="1"/>
  <c r="N120" i="1"/>
  <c r="D10" i="19"/>
  <c r="D18" s="1"/>
  <c r="L120" i="1"/>
  <c r="R120"/>
  <c r="J10" i="19"/>
  <c r="J18" s="1"/>
  <c r="A104" i="1" l="1"/>
  <c r="A105" s="1"/>
  <c r="A106" s="1"/>
  <c r="A109" s="1"/>
  <c r="A112" s="1"/>
  <c r="A114" s="1"/>
  <c r="C48" i="17"/>
  <c r="F16" i="1" s="1"/>
  <c r="J16" l="1"/>
  <c r="K34"/>
  <c r="C49" i="17"/>
  <c r="F34" i="1" l="1"/>
  <c r="E16"/>
  <c r="K120"/>
  <c r="J120" s="1"/>
  <c r="C10" i="19"/>
  <c r="C18" s="1"/>
  <c r="J34" i="1"/>
  <c r="E34" l="1"/>
  <c r="F86"/>
  <c r="B18" i="19"/>
  <c r="B10"/>
  <c r="E86" i="1" l="1"/>
  <c r="F114"/>
  <c r="E114" l="1"/>
</calcChain>
</file>

<file path=xl/sharedStrings.xml><?xml version="1.0" encoding="utf-8"?>
<sst xmlns="http://schemas.openxmlformats.org/spreadsheetml/2006/main" count="304" uniqueCount="253">
  <si>
    <t>Line</t>
  </si>
  <si>
    <t>No.</t>
  </si>
  <si>
    <t>Actuals</t>
  </si>
  <si>
    <t>Adjustment</t>
  </si>
  <si>
    <t>555 PURCHASED POWER</t>
  </si>
  <si>
    <t>Rocky Reach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</si>
  <si>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</si>
  <si>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</si>
  <si>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</si>
  <si>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</si>
  <si>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</si>
  <si>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</si>
  <si>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</si>
  <si>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</si>
  <si>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</si>
  <si>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</si>
  <si>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</si>
  <si>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</si>
  <si>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</si>
  <si>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</si>
  <si>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</si>
  <si>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</si>
  <si>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</si>
  <si>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</si>
  <si>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</si>
  <si>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</si>
  <si>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</si>
  <si>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Black Creek Wheeling</t>
  </si>
  <si>
    <t>557 OTHER EXPENSES</t>
  </si>
  <si>
    <t>453 SALES OF WATER AND WATER POWER</t>
  </si>
  <si>
    <t>Black Creek Index Purchase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</si>
  <si>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</si>
  <si>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</si>
  <si>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</si>
  <si>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</si>
  <si>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</si>
  <si>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</si>
  <si>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</si>
  <si>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</si>
  <si>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</si>
  <si>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</si>
  <si>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</si>
  <si>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</si>
  <si>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</si>
  <si>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</si>
  <si>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</si>
  <si>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</si>
  <si>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</si>
  <si>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Rathdrum Municipal Payment</t>
  </si>
  <si>
    <t>Kettle Falls - Wood Fuel</t>
  </si>
  <si>
    <t>Colstrip - Coal</t>
  </si>
  <si>
    <t>501 THERMAL FUEL EXPENSE</t>
  </si>
  <si>
    <t>547 OTHER FUEL EXPENSE</t>
  </si>
  <si>
    <t>549 MISC OTHER GENERATION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</si>
  <si>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</si>
  <si>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</si>
  <si>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</si>
  <si>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</si>
  <si>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</si>
  <si>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</si>
  <si>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</si>
  <si>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</si>
  <si>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</si>
  <si>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</si>
  <si>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</si>
  <si>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</si>
  <si>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</si>
  <si>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</si>
  <si>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</si>
  <si>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</si>
  <si>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</si>
  <si>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</si>
  <si>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</si>
  <si>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</si>
  <si>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</si>
  <si>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</si>
  <si>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</si>
  <si>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</si>
  <si>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</si>
  <si>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</si>
  <si>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</si>
  <si>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</si>
  <si>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</si>
  <si>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</si>
  <si>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</si>
  <si>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</si>
  <si>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</si>
  <si>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</si>
  <si>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</si>
  <si>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</si>
  <si>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</si>
  <si>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</si>
  <si>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</si>
  <si>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</si>
  <si>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</si>
  <si>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</si>
  <si>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FUEL USE (MMBtu)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</si>
  <si>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</si>
  <si>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</si>
  <si>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</si>
  <si>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</si>
  <si>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</si>
  <si>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</si>
  <si>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</si>
  <si>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</si>
  <si>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</si>
  <si>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</si>
  <si>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</si>
  <si>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</si>
  <si>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</si>
  <si>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</si>
  <si>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</si>
  <si>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</si>
  <si>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</si>
  <si>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</si>
  <si>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</si>
  <si>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</si>
  <si>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</si>
  <si>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</si>
  <si>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</si>
  <si>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</si>
  <si>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Wheeling for System Sales &amp; Purchases</t>
  </si>
  <si>
    <t>normal $0</t>
  </si>
  <si>
    <t>Comment</t>
  </si>
  <si>
    <t>Market Purchases and Sales, Plant Generation and Fuel Cost Summary</t>
  </si>
  <si>
    <t>Sovereign/Kaiser DES</t>
  </si>
  <si>
    <t>Northwestern Load Following</t>
  </si>
  <si>
    <t>Douglas Settlement</t>
  </si>
  <si>
    <t>Grant Displacement</t>
  </si>
  <si>
    <t>modeled energy higher than actual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</si>
  <si>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</si>
  <si>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</si>
  <si>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</si>
  <si>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</si>
  <si>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</si>
  <si>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</si>
  <si>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</si>
  <si>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****LOAD NEW FLAT PRICES*****</t>
  </si>
  <si>
    <t>Small Power</t>
  </si>
  <si>
    <t>Modeled Electric Price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</si>
  <si>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</si>
  <si>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</si>
  <si>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</si>
  <si>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</si>
  <si>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</si>
  <si>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</si>
  <si>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</si>
  <si>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</si>
  <si>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</si>
  <si>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</si>
  <si>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</si>
  <si>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</si>
  <si>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</si>
  <si>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</si>
  <si>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</si>
  <si>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</si>
  <si>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</si>
  <si>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</si>
  <si>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</si>
  <si>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</si>
  <si>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</si>
  <si>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Market Price</t>
  </si>
  <si>
    <t>Surplus Conversion Cost per MWh</t>
  </si>
  <si>
    <t>Total Priest Rapids Product Cost</t>
  </si>
  <si>
    <t>Total Priest Rapids Product Cost per MWh</t>
  </si>
  <si>
    <t>Modeled Short-Term Market Purchases</t>
  </si>
  <si>
    <t>Modeled Short-Term Market Sales</t>
  </si>
  <si>
    <t>Pro forma</t>
  </si>
  <si>
    <t>Natural Gas Fuel Purchases</t>
  </si>
  <si>
    <t>Total Retail Sales, MWh</t>
  </si>
  <si>
    <t>Avista Corp</t>
  </si>
  <si>
    <t>Actual ST Market Purchases - Physical</t>
  </si>
  <si>
    <t>check MWh</t>
  </si>
  <si>
    <t>use 5 yr avg</t>
  </si>
  <si>
    <t>test power</t>
  </si>
  <si>
    <t>new rate</t>
  </si>
  <si>
    <t>check energy</t>
  </si>
  <si>
    <t>modeled MWh x Actual</t>
  </si>
  <si>
    <t>Actual ST Purchases - Financial  M-to-M</t>
  </si>
  <si>
    <t xml:space="preserve">  Surplus</t>
  </si>
  <si>
    <t>Priest Rapids, MWh</t>
  </si>
  <si>
    <t>Wanpum, MWh</t>
  </si>
  <si>
    <t>Stateline Wind Purchase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</si>
  <si>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</si>
  <si>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</si>
  <si>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</si>
  <si>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</si>
  <si>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</si>
  <si>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</si>
  <si>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</si>
  <si>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</si>
  <si>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</si>
  <si>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</si>
  <si>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</si>
  <si>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</si>
  <si>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</si>
  <si>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Clearwater Paper Co-Gen Purchase</t>
  </si>
  <si>
    <t>NaturEner</t>
  </si>
  <si>
    <t>Wells - Avista Share</t>
  </si>
  <si>
    <t>Wells - Colville Tribe's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</si>
  <si>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</si>
  <si>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</si>
  <si>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</si>
  <si>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</si>
  <si>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</si>
  <si>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Retail Revenue Credit Rate</t>
  </si>
  <si>
    <t>/MWh</t>
  </si>
  <si>
    <t>Actual Financial Gas Transactions M-to-M</t>
  </si>
  <si>
    <t>Actual Physical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</si>
  <si>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</si>
  <si>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</si>
  <si>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</si>
  <si>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</si>
  <si>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SMUD Sale - Energy and REC</t>
  </si>
  <si>
    <t>check with Rick</t>
  </si>
  <si>
    <t>Lancaster BPA Reserves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</si>
  <si>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</si>
  <si>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</si>
  <si>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</si>
  <si>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</si>
  <si>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</si>
  <si>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</si>
  <si>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</si>
  <si>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</si>
  <si>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</si>
  <si>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</si>
  <si>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</si>
  <si>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</si>
  <si>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</si>
  <si>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</si>
  <si>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2011 Weather Normalized Load</t>
  </si>
  <si>
    <t>System Numbers - Jan 2011 - Dec 2011 Actual and Jan 2013 - Dec 2013 Pro Forma</t>
  </si>
  <si>
    <t>Palouse Wind</t>
  </si>
  <si>
    <t>Washington Pro forma January 2013 - December 2013</t>
  </si>
  <si>
    <t>Pro forma January 2013 - December 2013</t>
  </si>
  <si>
    <t>Jan 11 - Dec 11</t>
  </si>
  <si>
    <t>Jan 13 - Dec 13</t>
  </si>
  <si>
    <t>BPA PTP for Colstrip, Coyote &amp; Lancaster</t>
  </si>
  <si>
    <t>Northwestern for Colstrip</t>
  </si>
  <si>
    <t>Spokane Waste-to-Energy</t>
  </si>
  <si>
    <t>Gas Transportation Optimization</t>
  </si>
  <si>
    <t>WA EIA REC Purchase</t>
  </si>
  <si>
    <t>Non WA EIA REC Purchase</t>
  </si>
  <si>
    <t>Non WA EIA REC Sales</t>
  </si>
  <si>
    <t>WA EIA REC Sales</t>
  </si>
  <si>
    <t>Optional Renewable Power Expense Offset</t>
  </si>
  <si>
    <t>Transmission Revenue</t>
  </si>
  <si>
    <t>ERM Authorized Washington Retail Sales (2)</t>
  </si>
  <si>
    <t>1)  Multiply system numbers by 65.24% to determine Washington share.</t>
  </si>
  <si>
    <t>2011 Normalized Loads</t>
  </si>
  <si>
    <t>2)  2011 weather normalized Washington retail sales.</t>
  </si>
  <si>
    <t>1/3 BPA Settlement Revenue (3)</t>
  </si>
  <si>
    <t>3)  Per Settlement 1/3 of the 2010 BPA Settlement transmission revenue is included in the pro forma.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</si>
</sst>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5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1" fontId="0" fillId="0" borderId="1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0" fontId="0" fillId="0" borderId="0" xfId="0" quotePrefix="1" applyFill="1"/>
    <xf numFmtId="3" fontId="0" fillId="0" borderId="1" xfId="0" applyNumberFormat="1" applyFont="1" applyFill="1" applyBorder="1" applyAlignment="1">
      <alignment horizontal="right"/>
    </xf>
    <xf numFmtId="166" fontId="0" fillId="0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53"/>
  <sheetViews>
    <sheetView topLeftCell="A4" workbookViewId="0">
      <selection activeCell="B24" sqref="B24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137</v>
      </c>
    </row>
    <row r="6" spans="1:15">
      <c r="C6" s="37">
        <f>SUM(D6:O6)</f>
        <v>8760</v>
      </c>
      <c r="D6" s="47">
        <f>'WGJ-4'!D6</f>
        <v>744</v>
      </c>
      <c r="E6" s="47">
        <v>672</v>
      </c>
      <c r="F6" s="47">
        <v>743</v>
      </c>
      <c r="G6" s="47">
        <v>720</v>
      </c>
      <c r="H6" s="47">
        <f>'WGJ-4'!H6</f>
        <v>744</v>
      </c>
      <c r="I6" s="47">
        <f>'WGJ-4'!I6</f>
        <v>720</v>
      </c>
      <c r="J6" s="47">
        <f>'WGJ-4'!J6</f>
        <v>744</v>
      </c>
      <c r="K6" s="47">
        <f>'WGJ-4'!K6</f>
        <v>744</v>
      </c>
      <c r="L6" s="47">
        <f>'WGJ-4'!L6</f>
        <v>720</v>
      </c>
      <c r="M6" s="47">
        <v>744</v>
      </c>
      <c r="N6" s="47">
        <v>721</v>
      </c>
      <c r="O6" s="47">
        <f>'WGJ-4'!O6</f>
        <v>744</v>
      </c>
    </row>
    <row r="7" spans="1:15">
      <c r="C7" s="88" t="s">
        <v>35</v>
      </c>
      <c r="D7" s="48">
        <v>39813</v>
      </c>
      <c r="E7" s="48">
        <v>39844</v>
      </c>
      <c r="F7" s="48">
        <v>39872</v>
      </c>
      <c r="G7" s="48">
        <v>39903</v>
      </c>
      <c r="H7" s="48">
        <v>39933</v>
      </c>
      <c r="I7" s="48">
        <v>39964</v>
      </c>
      <c r="J7" s="48">
        <v>39994</v>
      </c>
      <c r="K7" s="48">
        <v>40025</v>
      </c>
      <c r="L7" s="48">
        <v>40056</v>
      </c>
      <c r="M7" s="48">
        <v>40086</v>
      </c>
      <c r="N7" s="48">
        <v>40117</v>
      </c>
      <c r="O7" s="48">
        <v>40147</v>
      </c>
    </row>
    <row r="8" spans="1:15">
      <c r="C8" s="12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>
      <c r="A9" s="2" t="s">
        <v>139</v>
      </c>
      <c r="C9" s="125">
        <f>AVERAGE(D9:O9)</f>
        <v>32.80108431510272</v>
      </c>
      <c r="D9" s="99">
        <v>35.405421406882148</v>
      </c>
      <c r="E9" s="99">
        <v>36.337500463213239</v>
      </c>
      <c r="F9" s="99">
        <v>32.2410238129752</v>
      </c>
      <c r="G9" s="99">
        <v>24.669464853405952</v>
      </c>
      <c r="H9" s="99">
        <v>21.730541539192199</v>
      </c>
      <c r="I9" s="99">
        <v>19.923085344689234</v>
      </c>
      <c r="J9" s="99">
        <v>33.991703551156178</v>
      </c>
      <c r="K9" s="99">
        <v>36.350940731593539</v>
      </c>
      <c r="L9" s="99">
        <v>36.677585547310969</v>
      </c>
      <c r="M9" s="99">
        <v>37.233914239065989</v>
      </c>
      <c r="N9" s="99">
        <v>38.936954062325611</v>
      </c>
      <c r="O9" s="99">
        <v>40.114876229422435</v>
      </c>
    </row>
    <row r="10" spans="1:15">
      <c r="C10" s="12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>
      <c r="A11" s="2" t="s">
        <v>44</v>
      </c>
      <c r="C11" s="12"/>
      <c r="D11">
        <v>-5.766</v>
      </c>
      <c r="E11">
        <v>-5.2080000000000002</v>
      </c>
      <c r="F11">
        <v>-5.766</v>
      </c>
      <c r="G11">
        <v>-5.58</v>
      </c>
      <c r="H11">
        <v>-5.766</v>
      </c>
      <c r="I11">
        <v>-5.58</v>
      </c>
      <c r="J11">
        <v>-5.766</v>
      </c>
      <c r="K11">
        <v>-5.766</v>
      </c>
      <c r="L11">
        <v>-5.58</v>
      </c>
      <c r="M11">
        <v>-5.766</v>
      </c>
      <c r="N11">
        <v>-0.72</v>
      </c>
      <c r="O11">
        <v>-0.74399999999999999</v>
      </c>
    </row>
    <row r="12" spans="1:15">
      <c r="B12" t="s">
        <v>43</v>
      </c>
      <c r="C12" s="12"/>
    </row>
    <row r="13" spans="1:15">
      <c r="B13" t="s">
        <v>98</v>
      </c>
      <c r="C13" s="123">
        <f>SUM(D13:O13)</f>
        <v>58008</v>
      </c>
      <c r="D13" s="3">
        <v>5766</v>
      </c>
      <c r="E13" s="3">
        <v>5208</v>
      </c>
      <c r="F13" s="3">
        <v>5766</v>
      </c>
      <c r="G13" s="3">
        <v>5580</v>
      </c>
      <c r="H13" s="3">
        <v>5766</v>
      </c>
      <c r="I13" s="3">
        <v>5580</v>
      </c>
      <c r="J13" s="3">
        <v>5766</v>
      </c>
      <c r="K13" s="3">
        <v>5766</v>
      </c>
      <c r="L13" s="3">
        <v>5580</v>
      </c>
      <c r="M13" s="3">
        <v>5766</v>
      </c>
      <c r="N13" s="3">
        <f>N11*-1000</f>
        <v>720</v>
      </c>
      <c r="O13" s="3">
        <f>O11*-1000</f>
        <v>744</v>
      </c>
    </row>
    <row r="14" spans="1:15">
      <c r="B14" t="s">
        <v>110</v>
      </c>
      <c r="C14" s="103">
        <f>SUM(D14:O14)</f>
        <v>1717330.8768008149</v>
      </c>
      <c r="D14" s="25">
        <f>(D9-2.05)*D13</f>
        <v>192327.35983208247</v>
      </c>
      <c r="E14" s="25">
        <f t="shared" ref="E14:O14" si="0">(E9-2.05)*E13</f>
        <v>178569.30241241457</v>
      </c>
      <c r="F14" s="25">
        <f t="shared" si="0"/>
        <v>174081.44330561499</v>
      </c>
      <c r="G14" s="25">
        <f t="shared" si="0"/>
        <v>126216.6138820052</v>
      </c>
      <c r="H14" s="25">
        <f t="shared" si="0"/>
        <v>113478.00251498222</v>
      </c>
      <c r="I14" s="25">
        <f t="shared" si="0"/>
        <v>99731.816223365924</v>
      </c>
      <c r="J14" s="25">
        <f t="shared" si="0"/>
        <v>184175.86267596652</v>
      </c>
      <c r="K14" s="25">
        <f t="shared" si="0"/>
        <v>197779.22425836837</v>
      </c>
      <c r="L14" s="25">
        <f t="shared" si="0"/>
        <v>193221.92735399521</v>
      </c>
      <c r="M14" s="25">
        <f t="shared" si="0"/>
        <v>202870.44950245452</v>
      </c>
      <c r="N14" s="25">
        <f t="shared" si="0"/>
        <v>26558.606924874442</v>
      </c>
      <c r="O14" s="25">
        <f t="shared" si="0"/>
        <v>28320.267914690296</v>
      </c>
    </row>
    <row r="15" spans="1:15">
      <c r="C15" s="12"/>
    </row>
    <row r="17" spans="1:15">
      <c r="C17" s="109"/>
      <c r="K17" s="29"/>
      <c r="L17" s="29"/>
      <c r="M17" s="25"/>
    </row>
    <row r="18" spans="1:15">
      <c r="A18" s="2" t="s">
        <v>160</v>
      </c>
      <c r="C18" s="109"/>
      <c r="K18" s="29"/>
      <c r="L18" s="29"/>
      <c r="M18" s="25"/>
    </row>
    <row r="19" spans="1:15">
      <c r="C19" s="124" t="s">
        <v>35</v>
      </c>
      <c r="D19" s="113">
        <f>D7</f>
        <v>39813</v>
      </c>
      <c r="E19" s="113">
        <f t="shared" ref="E19:O19" si="1">E7</f>
        <v>39844</v>
      </c>
      <c r="F19" s="113">
        <f t="shared" si="1"/>
        <v>39872</v>
      </c>
      <c r="G19" s="113">
        <f t="shared" si="1"/>
        <v>39903</v>
      </c>
      <c r="H19" s="113">
        <f t="shared" si="1"/>
        <v>39933</v>
      </c>
      <c r="I19" s="113">
        <f t="shared" si="1"/>
        <v>39964</v>
      </c>
      <c r="J19" s="113">
        <f t="shared" si="1"/>
        <v>39994</v>
      </c>
      <c r="K19" s="113">
        <f t="shared" si="1"/>
        <v>40025</v>
      </c>
      <c r="L19" s="113">
        <f t="shared" si="1"/>
        <v>40056</v>
      </c>
      <c r="M19" s="113">
        <f t="shared" si="1"/>
        <v>40086</v>
      </c>
      <c r="N19" s="113">
        <f t="shared" si="1"/>
        <v>40117</v>
      </c>
      <c r="O19" s="113">
        <f t="shared" si="1"/>
        <v>40147</v>
      </c>
    </row>
    <row r="20" spans="1:15">
      <c r="A20" s="2"/>
      <c r="C20" s="109"/>
      <c r="K20" s="29"/>
      <c r="L20" s="29"/>
      <c r="M20" s="25"/>
    </row>
    <row r="21" spans="1:15">
      <c r="B21" t="s">
        <v>161</v>
      </c>
      <c r="C21" s="125">
        <f>AVERAGE(D21:O21)</f>
        <v>32.80108431510272</v>
      </c>
      <c r="D21" s="99">
        <f>D9</f>
        <v>35.405421406882148</v>
      </c>
      <c r="E21" s="99">
        <f t="shared" ref="E21:O21" si="2">E9</f>
        <v>36.337500463213239</v>
      </c>
      <c r="F21" s="99">
        <f t="shared" si="2"/>
        <v>32.2410238129752</v>
      </c>
      <c r="G21" s="99">
        <f t="shared" si="2"/>
        <v>24.669464853405952</v>
      </c>
      <c r="H21" s="99">
        <f t="shared" si="2"/>
        <v>21.730541539192199</v>
      </c>
      <c r="I21" s="99">
        <f t="shared" si="2"/>
        <v>19.923085344689234</v>
      </c>
      <c r="J21" s="99">
        <f t="shared" si="2"/>
        <v>33.991703551156178</v>
      </c>
      <c r="K21" s="99">
        <f t="shared" si="2"/>
        <v>36.350940731593539</v>
      </c>
      <c r="L21" s="99">
        <f t="shared" si="2"/>
        <v>36.677585547310969</v>
      </c>
      <c r="M21" s="99">
        <f t="shared" si="2"/>
        <v>37.233914239065989</v>
      </c>
      <c r="N21" s="99">
        <f t="shared" si="2"/>
        <v>38.936954062325611</v>
      </c>
      <c r="O21" s="99">
        <f t="shared" si="2"/>
        <v>40.114876229422435</v>
      </c>
    </row>
    <row r="22" spans="1:15">
      <c r="C22" s="11"/>
      <c r="K22" s="29"/>
      <c r="L22" s="29"/>
      <c r="M22" s="25"/>
    </row>
    <row r="23" spans="1:15">
      <c r="B23" t="s">
        <v>180</v>
      </c>
      <c r="C23" s="123">
        <f>SUM(D23:O23)</f>
        <v>160937.76446010044</v>
      </c>
      <c r="D23" s="129">
        <v>16811.661941964288</v>
      </c>
      <c r="E23" s="129">
        <v>12714.073953683035</v>
      </c>
      <c r="F23" s="129">
        <v>15342.222042410713</v>
      </c>
      <c r="G23" s="129">
        <v>11002.168854631696</v>
      </c>
      <c r="H23" s="129">
        <v>16177.16689453125</v>
      </c>
      <c r="I23" s="129">
        <v>15699.006682477679</v>
      </c>
      <c r="J23" s="129">
        <v>11955.967145647321</v>
      </c>
      <c r="K23" s="129">
        <v>10568.725711495536</v>
      </c>
      <c r="L23" s="129">
        <v>10476.308886718751</v>
      </c>
      <c r="M23" s="129">
        <v>12453.572935267855</v>
      </c>
      <c r="N23" s="129">
        <v>13183.714843749998</v>
      </c>
      <c r="O23" s="129">
        <v>14553.174567522323</v>
      </c>
    </row>
    <row r="24" spans="1:15">
      <c r="B24" t="s">
        <v>181</v>
      </c>
      <c r="C24" s="123">
        <f>SUM(D24:O24)</f>
        <v>162619.96724330357</v>
      </c>
      <c r="D24" s="129">
        <v>15338.342871093751</v>
      </c>
      <c r="E24" s="129">
        <v>12263.026639229911</v>
      </c>
      <c r="F24" s="129">
        <v>14823.670793805804</v>
      </c>
      <c r="G24" s="129">
        <v>14288.072586495535</v>
      </c>
      <c r="H24" s="129">
        <v>15762.178445870535</v>
      </c>
      <c r="I24" s="129">
        <v>17316.290080915176</v>
      </c>
      <c r="J24" s="129">
        <v>15555.994029017858</v>
      </c>
      <c r="K24" s="129">
        <v>12029.056180245536</v>
      </c>
      <c r="L24" s="129">
        <v>9063.8753557477685</v>
      </c>
      <c r="M24" s="129">
        <v>11061.22847377232</v>
      </c>
      <c r="N24" s="129">
        <v>11908.871149553574</v>
      </c>
      <c r="O24" s="129">
        <v>13209.360637555805</v>
      </c>
    </row>
    <row r="25" spans="1:15">
      <c r="B25" t="s">
        <v>146</v>
      </c>
      <c r="C25" s="102"/>
      <c r="D25" s="102">
        <v>3.3000000000000002E-2</v>
      </c>
      <c r="E25" s="102">
        <v>3.3000000000000002E-2</v>
      </c>
      <c r="F25" s="102">
        <v>3.3000000000000002E-2</v>
      </c>
      <c r="G25" s="102">
        <v>3.3000000000000002E-2</v>
      </c>
      <c r="H25" s="102">
        <v>3.3000000000000002E-2</v>
      </c>
      <c r="I25" s="102">
        <v>3.3000000000000002E-2</v>
      </c>
      <c r="J25" s="102">
        <v>3.3000000000000002E-2</v>
      </c>
      <c r="K25" s="102">
        <v>3.3000000000000002E-2</v>
      </c>
      <c r="L25" s="102">
        <v>3.3000000000000002E-2</v>
      </c>
      <c r="M25" s="102">
        <v>3.3000000000000002E-2</v>
      </c>
      <c r="N25" s="102">
        <v>3.3000000000000002E-2</v>
      </c>
      <c r="O25" s="102">
        <v>3.3000000000000002E-2</v>
      </c>
    </row>
    <row r="26" spans="1:15">
      <c r="B26" t="s">
        <v>179</v>
      </c>
      <c r="D26" s="120">
        <v>0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</row>
    <row r="27" spans="1:15">
      <c r="B27" t="s">
        <v>147</v>
      </c>
      <c r="C27" s="102"/>
      <c r="D27" s="102">
        <v>4.5999999999999999E-3</v>
      </c>
      <c r="E27" s="102">
        <v>4.5999999999999999E-3</v>
      </c>
      <c r="F27" s="102">
        <v>4.5999999999999999E-3</v>
      </c>
      <c r="G27" s="102">
        <v>4.5999999999999999E-3</v>
      </c>
      <c r="H27" s="102">
        <v>4.5999999999999999E-3</v>
      </c>
      <c r="I27" s="102">
        <v>4.5999999999999999E-3</v>
      </c>
      <c r="J27" s="102">
        <v>4.5999999999999999E-3</v>
      </c>
      <c r="K27" s="102">
        <v>4.5999999999999999E-3</v>
      </c>
      <c r="L27" s="102">
        <v>4.5999999999999999E-3</v>
      </c>
      <c r="M27" s="102">
        <v>4.5999999999999999E-3</v>
      </c>
      <c r="N27" s="102">
        <v>4.5999999999999999E-3</v>
      </c>
      <c r="O27" s="102">
        <v>4.5999999999999999E-3</v>
      </c>
    </row>
    <row r="28" spans="1:15">
      <c r="B28" t="s">
        <v>150</v>
      </c>
      <c r="C28" s="102"/>
      <c r="D28" s="102">
        <f>SUM(D25:D27)</f>
        <v>3.7600000000000001E-2</v>
      </c>
      <c r="E28" s="102">
        <f t="shared" ref="E28:O28" si="3">SUM(E25:E27)</f>
        <v>3.7600000000000001E-2</v>
      </c>
      <c r="F28" s="102">
        <f t="shared" si="3"/>
        <v>3.7600000000000001E-2</v>
      </c>
      <c r="G28" s="102">
        <f t="shared" si="3"/>
        <v>3.7600000000000001E-2</v>
      </c>
      <c r="H28" s="102">
        <f t="shared" si="3"/>
        <v>3.7600000000000001E-2</v>
      </c>
      <c r="I28" s="102">
        <f t="shared" si="3"/>
        <v>3.7600000000000001E-2</v>
      </c>
      <c r="J28" s="102">
        <f t="shared" si="3"/>
        <v>3.7600000000000001E-2</v>
      </c>
      <c r="K28" s="102">
        <f t="shared" si="3"/>
        <v>3.7600000000000001E-2</v>
      </c>
      <c r="L28" s="102">
        <f t="shared" si="3"/>
        <v>3.7600000000000001E-2</v>
      </c>
      <c r="M28" s="102">
        <f t="shared" si="3"/>
        <v>3.7600000000000001E-2</v>
      </c>
      <c r="N28" s="102">
        <f t="shared" si="3"/>
        <v>3.7600000000000001E-2</v>
      </c>
      <c r="O28" s="102">
        <f t="shared" si="3"/>
        <v>3.7600000000000001E-2</v>
      </c>
    </row>
    <row r="29" spans="1:15">
      <c r="B29" t="s">
        <v>158</v>
      </c>
      <c r="C29" s="102"/>
      <c r="D29" s="110">
        <v>0</v>
      </c>
      <c r="E29" s="110">
        <f>D29</f>
        <v>0</v>
      </c>
      <c r="F29" s="110">
        <f t="shared" ref="F29:O29" si="4">E29</f>
        <v>0</v>
      </c>
      <c r="G29" s="110">
        <f t="shared" si="4"/>
        <v>0</v>
      </c>
      <c r="H29" s="110">
        <f t="shared" si="4"/>
        <v>0</v>
      </c>
      <c r="I29" s="110">
        <f t="shared" si="4"/>
        <v>0</v>
      </c>
      <c r="J29" s="110">
        <f t="shared" si="4"/>
        <v>0</v>
      </c>
      <c r="K29" s="110">
        <f t="shared" si="4"/>
        <v>0</v>
      </c>
      <c r="L29" s="110">
        <f t="shared" si="4"/>
        <v>0</v>
      </c>
      <c r="M29" s="110">
        <f t="shared" si="4"/>
        <v>0</v>
      </c>
      <c r="N29" s="110">
        <f t="shared" si="4"/>
        <v>0</v>
      </c>
      <c r="O29" s="110">
        <f t="shared" si="4"/>
        <v>0</v>
      </c>
    </row>
    <row r="30" spans="1:15">
      <c r="C30" s="101"/>
    </row>
    <row r="31" spans="1:15">
      <c r="B31" t="s">
        <v>140</v>
      </c>
      <c r="C31" s="101">
        <f>SUM(D31:O31)</f>
        <v>283973.54112266842</v>
      </c>
      <c r="D31" s="3">
        <f>(D23+D24)*(D25/D28)</f>
        <v>28216.759543375407</v>
      </c>
      <c r="E31" s="3">
        <f t="shared" ref="E31:O31" si="5">(E23+E24)*(E25/E28)</f>
        <v>21921.39147782253</v>
      </c>
      <c r="F31" s="3">
        <f t="shared" si="5"/>
        <v>26475.384670083644</v>
      </c>
      <c r="G31" s="3">
        <f t="shared" si="5"/>
        <v>22196.222541414856</v>
      </c>
      <c r="H31" s="3">
        <f t="shared" si="5"/>
        <v>28031.872240246248</v>
      </c>
      <c r="I31" s="3">
        <f t="shared" si="5"/>
        <v>28976.191308296922</v>
      </c>
      <c r="J31" s="3">
        <f t="shared" si="5"/>
        <v>24146.136137339119</v>
      </c>
      <c r="K31" s="3">
        <f t="shared" si="5"/>
        <v>19833.159639028065</v>
      </c>
      <c r="L31" s="3">
        <f t="shared" si="5"/>
        <v>17149.629787271148</v>
      </c>
      <c r="M31" s="3">
        <f t="shared" si="5"/>
        <v>20637.990598359731</v>
      </c>
      <c r="N31" s="3">
        <f t="shared" si="5"/>
        <v>22022.748345186643</v>
      </c>
      <c r="O31" s="3">
        <f t="shared" si="5"/>
        <v>24366.054834244103</v>
      </c>
    </row>
    <row r="32" spans="1:15">
      <c r="B32" t="s">
        <v>141</v>
      </c>
      <c r="C32" s="100">
        <f>SUM(D32:O32)</f>
        <v>10577170.389165636</v>
      </c>
      <c r="D32" s="25">
        <f>D31*(D21+5)</f>
        <v>1140110.0600867467</v>
      </c>
      <c r="E32" s="25">
        <f t="shared" ref="E32:O32" si="6">E31*(E21+5)</f>
        <v>906175.53036876756</v>
      </c>
      <c r="F32" s="25">
        <f t="shared" si="6"/>
        <v>985970.43095626356</v>
      </c>
      <c r="G32" s="25">
        <f t="shared" si="6"/>
        <v>658550.04457088502</v>
      </c>
      <c r="H32" s="25">
        <f t="shared" si="6"/>
        <v>749307.12533923099</v>
      </c>
      <c r="I32" s="25">
        <f t="shared" si="6"/>
        <v>722176.08894072659</v>
      </c>
      <c r="J32" s="25">
        <f t="shared" si="6"/>
        <v>941498.98217298626</v>
      </c>
      <c r="K32" s="25">
        <f t="shared" si="6"/>
        <v>820119.80875368265</v>
      </c>
      <c r="L32" s="25">
        <f t="shared" si="6"/>
        <v>714755.1625637057</v>
      </c>
      <c r="M32" s="25">
        <f t="shared" si="6"/>
        <v>871623.12499777507</v>
      </c>
      <c r="N32" s="25">
        <f t="shared" si="6"/>
        <v>967612.48236862291</v>
      </c>
      <c r="O32" s="25">
        <f t="shared" si="6"/>
        <v>1099271.5480462429</v>
      </c>
    </row>
    <row r="33" spans="2:15">
      <c r="D33" s="25"/>
    </row>
    <row r="34" spans="2:15">
      <c r="B34" t="s">
        <v>142</v>
      </c>
      <c r="C34" s="100">
        <f>SUM(D34:O34)</f>
        <v>4592245.9009900801</v>
      </c>
      <c r="D34" s="25">
        <f t="shared" ref="D34:O34" si="7">((D31*10.66/11.03)*(D21+5-$C53))*(1-D29)</f>
        <v>542434.25047057495</v>
      </c>
      <c r="E34" s="25">
        <f t="shared" si="7"/>
        <v>441160.21637073217</v>
      </c>
      <c r="F34" s="25">
        <f t="shared" si="7"/>
        <v>427990.05291871208</v>
      </c>
      <c r="G34" s="25">
        <f t="shared" si="7"/>
        <v>196392.44312003881</v>
      </c>
      <c r="H34" s="25">
        <f t="shared" si="7"/>
        <v>168406.36393267664</v>
      </c>
      <c r="I34" s="25">
        <f t="shared" si="7"/>
        <v>123463.18150615974</v>
      </c>
      <c r="J34" s="25">
        <f t="shared" si="7"/>
        <v>431190.52742249932</v>
      </c>
      <c r="K34" s="25">
        <f t="shared" si="7"/>
        <v>399392.91358167626</v>
      </c>
      <c r="L34" s="25">
        <f t="shared" si="7"/>
        <v>350766.8958000557</v>
      </c>
      <c r="M34" s="25">
        <f t="shared" si="7"/>
        <v>433211.82240854244</v>
      </c>
      <c r="N34" s="25">
        <f t="shared" si="7"/>
        <v>498526.75238934433</v>
      </c>
      <c r="O34" s="25">
        <f t="shared" si="7"/>
        <v>579310.48106906842</v>
      </c>
    </row>
    <row r="36" spans="2:15">
      <c r="B36" t="s">
        <v>143</v>
      </c>
      <c r="C36" s="126">
        <f>SUM(D36:O36)</f>
        <v>5984924.4881755561</v>
      </c>
      <c r="D36" s="25">
        <f>D32-D34</f>
        <v>597675.80961617175</v>
      </c>
      <c r="E36" s="25">
        <f t="shared" ref="E36:O36" si="8">E32-E34</f>
        <v>465015.31399803539</v>
      </c>
      <c r="F36" s="25">
        <f t="shared" si="8"/>
        <v>557980.37803755142</v>
      </c>
      <c r="G36" s="25">
        <f t="shared" si="8"/>
        <v>462157.60145084618</v>
      </c>
      <c r="H36" s="25">
        <f t="shared" si="8"/>
        <v>580900.76140655437</v>
      </c>
      <c r="I36" s="25">
        <f t="shared" si="8"/>
        <v>598712.90743456688</v>
      </c>
      <c r="J36" s="25">
        <f t="shared" si="8"/>
        <v>510308.45475048694</v>
      </c>
      <c r="K36" s="25">
        <f t="shared" si="8"/>
        <v>420726.89517200639</v>
      </c>
      <c r="L36" s="25">
        <f t="shared" si="8"/>
        <v>363988.26676365</v>
      </c>
      <c r="M36" s="25">
        <f t="shared" si="8"/>
        <v>438411.30258923263</v>
      </c>
      <c r="N36" s="25">
        <f t="shared" si="8"/>
        <v>469085.72997927858</v>
      </c>
      <c r="O36" s="25">
        <f t="shared" si="8"/>
        <v>519961.06697717449</v>
      </c>
    </row>
    <row r="37" spans="2:15">
      <c r="B37" t="s">
        <v>144</v>
      </c>
      <c r="C37" s="114">
        <f t="shared" ref="C37:O37" si="9">C36/C31</f>
        <v>21.075641288672877</v>
      </c>
      <c r="D37" s="29">
        <f t="shared" si="9"/>
        <v>21.181589214644287</v>
      </c>
      <c r="E37" s="29">
        <f t="shared" si="9"/>
        <v>21.212855692508519</v>
      </c>
      <c r="F37" s="29">
        <f t="shared" si="9"/>
        <v>21.075439884658287</v>
      </c>
      <c r="G37" s="29">
        <f t="shared" si="9"/>
        <v>20.821452866068931</v>
      </c>
      <c r="H37" s="29">
        <f t="shared" si="9"/>
        <v>20.722867043198661</v>
      </c>
      <c r="I37" s="29">
        <f t="shared" si="9"/>
        <v>20.662236146374902</v>
      </c>
      <c r="J37" s="29">
        <f t="shared" si="9"/>
        <v>21.134166222203799</v>
      </c>
      <c r="K37" s="29">
        <f t="shared" si="9"/>
        <v>21.213306544666342</v>
      </c>
      <c r="L37" s="29">
        <f t="shared" si="9"/>
        <v>21.224263805030386</v>
      </c>
      <c r="M37" s="29">
        <f t="shared" si="9"/>
        <v>21.242925782904308</v>
      </c>
      <c r="N37" s="29">
        <f t="shared" si="9"/>
        <v>21.300054045334598</v>
      </c>
      <c r="O37" s="29">
        <f t="shared" si="9"/>
        <v>21.339567300259873</v>
      </c>
    </row>
    <row r="39" spans="2:15">
      <c r="B39" t="s">
        <v>183</v>
      </c>
      <c r="C39" s="101">
        <f>SUM(D39:O39)</f>
        <v>0</v>
      </c>
      <c r="D39" s="3">
        <f>(D23+D24)*(D26/D28)</f>
        <v>0</v>
      </c>
      <c r="E39" s="3">
        <f t="shared" ref="E39:O39" si="10">(E23+E24)*(E26/E28)</f>
        <v>0</v>
      </c>
      <c r="F39" s="3">
        <f t="shared" si="10"/>
        <v>0</v>
      </c>
      <c r="G39" s="3">
        <f t="shared" si="10"/>
        <v>0</v>
      </c>
      <c r="H39" s="3">
        <f t="shared" si="10"/>
        <v>0</v>
      </c>
      <c r="I39" s="3">
        <f t="shared" si="10"/>
        <v>0</v>
      </c>
      <c r="J39" s="3">
        <f t="shared" si="10"/>
        <v>0</v>
      </c>
      <c r="K39" s="3">
        <f t="shared" si="10"/>
        <v>0</v>
      </c>
      <c r="L39" s="3">
        <f t="shared" si="10"/>
        <v>0</v>
      </c>
      <c r="M39" s="3">
        <f t="shared" si="10"/>
        <v>0</v>
      </c>
      <c r="N39" s="3">
        <f t="shared" si="10"/>
        <v>0</v>
      </c>
      <c r="O39" s="3">
        <f t="shared" si="10"/>
        <v>0</v>
      </c>
    </row>
    <row r="40" spans="2:15">
      <c r="B40" t="s">
        <v>159</v>
      </c>
      <c r="D40" s="112">
        <f>$C53</f>
        <v>20.514345508159487</v>
      </c>
      <c r="E40" s="112">
        <f t="shared" ref="E40:O40" si="11">$C53</f>
        <v>20.514345508159487</v>
      </c>
      <c r="F40" s="112">
        <f t="shared" si="11"/>
        <v>20.514345508159487</v>
      </c>
      <c r="G40" s="112">
        <f t="shared" si="11"/>
        <v>20.514345508159487</v>
      </c>
      <c r="H40" s="112">
        <f t="shared" si="11"/>
        <v>20.514345508159487</v>
      </c>
      <c r="I40" s="112">
        <f t="shared" si="11"/>
        <v>20.514345508159487</v>
      </c>
      <c r="J40" s="112">
        <f t="shared" si="11"/>
        <v>20.514345508159487</v>
      </c>
      <c r="K40" s="112">
        <f t="shared" si="11"/>
        <v>20.514345508159487</v>
      </c>
      <c r="L40" s="112">
        <f t="shared" si="11"/>
        <v>20.514345508159487</v>
      </c>
      <c r="M40" s="112">
        <f t="shared" si="11"/>
        <v>20.514345508159487</v>
      </c>
      <c r="N40" s="112">
        <f t="shared" si="11"/>
        <v>20.514345508159487</v>
      </c>
      <c r="O40" s="112">
        <f t="shared" si="11"/>
        <v>20.514345508159487</v>
      </c>
    </row>
    <row r="41" spans="2:15">
      <c r="B41" t="s">
        <v>184</v>
      </c>
      <c r="C41" s="127">
        <f>SUM(D41:O41)</f>
        <v>0</v>
      </c>
      <c r="D41" s="25">
        <f>D39*D40</f>
        <v>0</v>
      </c>
      <c r="E41" s="25">
        <f t="shared" ref="E41:O41" si="12">E39*E40</f>
        <v>0</v>
      </c>
      <c r="F41" s="25">
        <f t="shared" si="12"/>
        <v>0</v>
      </c>
      <c r="G41" s="25">
        <f t="shared" si="12"/>
        <v>0</v>
      </c>
      <c r="H41" s="25">
        <f t="shared" si="12"/>
        <v>0</v>
      </c>
      <c r="I41" s="25">
        <f t="shared" si="12"/>
        <v>0</v>
      </c>
      <c r="J41" s="25">
        <f t="shared" si="12"/>
        <v>0</v>
      </c>
      <c r="K41" s="25">
        <f t="shared" si="12"/>
        <v>0</v>
      </c>
      <c r="L41" s="25">
        <f t="shared" si="12"/>
        <v>0</v>
      </c>
      <c r="M41" s="25">
        <f t="shared" si="12"/>
        <v>0</v>
      </c>
      <c r="N41" s="25">
        <f t="shared" si="12"/>
        <v>0</v>
      </c>
      <c r="O41" s="25">
        <f t="shared" si="12"/>
        <v>0</v>
      </c>
    </row>
    <row r="42" spans="2:15">
      <c r="C42" s="114"/>
      <c r="D42" s="25"/>
    </row>
    <row r="43" spans="2:15">
      <c r="B43" t="s">
        <v>149</v>
      </c>
      <c r="C43" s="101">
        <f>SUM(D43:O43)</f>
        <v>39584.190580735602</v>
      </c>
      <c r="D43" s="3">
        <f>(D23+D24)*(D27/D28)</f>
        <v>3933.2452696826326</v>
      </c>
      <c r="E43" s="3">
        <f t="shared" ref="E43:O43" si="13">(E23+E24)*(E27/E28)</f>
        <v>3055.7091150904134</v>
      </c>
      <c r="F43" s="3">
        <f t="shared" si="13"/>
        <v>3690.5081661328718</v>
      </c>
      <c r="G43" s="3">
        <f t="shared" si="13"/>
        <v>3094.0188997123742</v>
      </c>
      <c r="H43" s="3">
        <f t="shared" si="13"/>
        <v>3907.4731001555374</v>
      </c>
      <c r="I43" s="3">
        <f t="shared" si="13"/>
        <v>4039.1054550959343</v>
      </c>
      <c r="J43" s="3">
        <f t="shared" si="13"/>
        <v>3365.8250373260589</v>
      </c>
      <c r="K43" s="3">
        <f t="shared" si="13"/>
        <v>2764.622252713003</v>
      </c>
      <c r="L43" s="3">
        <f t="shared" si="13"/>
        <v>2390.5544551953722</v>
      </c>
      <c r="M43" s="3">
        <f t="shared" si="13"/>
        <v>2876.810810680447</v>
      </c>
      <c r="N43" s="3">
        <f t="shared" si="13"/>
        <v>3069.8376481169262</v>
      </c>
      <c r="O43" s="3">
        <f t="shared" si="13"/>
        <v>3396.4803708340264</v>
      </c>
    </row>
    <row r="44" spans="2:15">
      <c r="B44" t="s">
        <v>159</v>
      </c>
      <c r="D44" s="112">
        <f>$C53</f>
        <v>20.514345508159487</v>
      </c>
      <c r="E44" s="112">
        <f t="shared" ref="E44:O44" si="14">$C53</f>
        <v>20.514345508159487</v>
      </c>
      <c r="F44" s="112">
        <f t="shared" si="14"/>
        <v>20.514345508159487</v>
      </c>
      <c r="G44" s="112">
        <f t="shared" si="14"/>
        <v>20.514345508159487</v>
      </c>
      <c r="H44" s="112">
        <f t="shared" si="14"/>
        <v>20.514345508159487</v>
      </c>
      <c r="I44" s="112">
        <f t="shared" si="14"/>
        <v>20.514345508159487</v>
      </c>
      <c r="J44" s="112">
        <f t="shared" si="14"/>
        <v>20.514345508159487</v>
      </c>
      <c r="K44" s="112">
        <f t="shared" si="14"/>
        <v>20.514345508159487</v>
      </c>
      <c r="L44" s="112">
        <f t="shared" si="14"/>
        <v>20.514345508159487</v>
      </c>
      <c r="M44" s="112">
        <f t="shared" si="14"/>
        <v>20.514345508159487</v>
      </c>
      <c r="N44" s="112">
        <f t="shared" si="14"/>
        <v>20.514345508159487</v>
      </c>
      <c r="O44" s="112">
        <f t="shared" si="14"/>
        <v>20.514345508159487</v>
      </c>
    </row>
    <row r="45" spans="2:15">
      <c r="B45" t="s">
        <v>148</v>
      </c>
      <c r="C45" s="127">
        <f>SUM(D45:O45)</f>
        <v>812043.7622340424</v>
      </c>
      <c r="D45" s="25">
        <f>D43*D44</f>
        <v>80687.952430603458</v>
      </c>
      <c r="E45" s="25">
        <f t="shared" ref="E45:O45" si="15">E43*E44</f>
        <v>62685.872559397023</v>
      </c>
      <c r="F45" s="25">
        <f t="shared" si="15"/>
        <v>75708.359620733783</v>
      </c>
      <c r="G45" s="25">
        <f t="shared" si="15"/>
        <v>63471.772717475098</v>
      </c>
      <c r="H45" s="25">
        <f t="shared" si="15"/>
        <v>80159.253240429767</v>
      </c>
      <c r="I45" s="25">
        <f t="shared" si="15"/>
        <v>82859.60484972976</v>
      </c>
      <c r="J45" s="25">
        <f t="shared" si="15"/>
        <v>69047.697735720576</v>
      </c>
      <c r="K45" s="25">
        <f t="shared" si="15"/>
        <v>56714.416091700754</v>
      </c>
      <c r="L45" s="25">
        <f t="shared" si="15"/>
        <v>49040.66004994783</v>
      </c>
      <c r="M45" s="25">
        <f t="shared" si="15"/>
        <v>59015.890931907081</v>
      </c>
      <c r="N45" s="25">
        <f t="shared" si="15"/>
        <v>62975.710167426347</v>
      </c>
      <c r="O45" s="25">
        <f t="shared" si="15"/>
        <v>69676.571838970878</v>
      </c>
    </row>
    <row r="46" spans="2:15">
      <c r="B46" t="s">
        <v>162</v>
      </c>
      <c r="C46" s="114">
        <f>C45/C43</f>
        <v>20.514345508159487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2:1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5">
      <c r="B48" t="s">
        <v>163</v>
      </c>
      <c r="C48" s="127">
        <f>SUM(D48:O48)</f>
        <v>6796968.2504095966</v>
      </c>
      <c r="D48" s="25">
        <f>D36+D41+D45</f>
        <v>678363.7620467752</v>
      </c>
      <c r="E48" s="25">
        <f t="shared" ref="E48:O48" si="16">E36+E41+E45</f>
        <v>527701.1865574324</v>
      </c>
      <c r="F48" s="25">
        <f t="shared" si="16"/>
        <v>633688.73765828519</v>
      </c>
      <c r="G48" s="25">
        <f t="shared" si="16"/>
        <v>525629.37416832126</v>
      </c>
      <c r="H48" s="25">
        <f t="shared" si="16"/>
        <v>661060.01464698417</v>
      </c>
      <c r="I48" s="25">
        <f t="shared" si="16"/>
        <v>681572.51228429668</v>
      </c>
      <c r="J48" s="25">
        <f t="shared" si="16"/>
        <v>579356.15248620755</v>
      </c>
      <c r="K48" s="25">
        <f t="shared" si="16"/>
        <v>477441.31126370712</v>
      </c>
      <c r="L48" s="25">
        <f t="shared" si="16"/>
        <v>413028.92681359785</v>
      </c>
      <c r="M48" s="25">
        <f t="shared" si="16"/>
        <v>497427.19352113968</v>
      </c>
      <c r="N48" s="25">
        <f t="shared" si="16"/>
        <v>532061.4401467049</v>
      </c>
      <c r="O48" s="25">
        <f t="shared" si="16"/>
        <v>589637.63881614537</v>
      </c>
    </row>
    <row r="49" spans="2:15">
      <c r="B49" t="s">
        <v>164</v>
      </c>
      <c r="C49" s="114">
        <f>C48/(C23+C24)</f>
        <v>21.006972124035599</v>
      </c>
    </row>
    <row r="51" spans="2:15">
      <c r="B51" t="s">
        <v>212</v>
      </c>
      <c r="C51" s="109">
        <f>SUM(D51:O51)</f>
        <v>8582433.2016818058</v>
      </c>
      <c r="D51" s="57">
        <f>(D23+D24)/0.0377</f>
        <v>852785.27355591627</v>
      </c>
      <c r="E51" s="57">
        <f t="shared" ref="E51:O51" si="17">(E23+E24)/0.0377</f>
        <v>662522.562146232</v>
      </c>
      <c r="F51" s="57">
        <f t="shared" si="17"/>
        <v>800156.30865295802</v>
      </c>
      <c r="G51" s="57">
        <f t="shared" si="17"/>
        <v>670828.68544104067</v>
      </c>
      <c r="H51" s="57">
        <f t="shared" si="17"/>
        <v>847197.48913532589</v>
      </c>
      <c r="I51" s="57">
        <f t="shared" si="17"/>
        <v>875737.31467885571</v>
      </c>
      <c r="J51" s="57">
        <f t="shared" si="17"/>
        <v>729760.24335981917</v>
      </c>
      <c r="K51" s="57">
        <f t="shared" si="17"/>
        <v>599410.66025838384</v>
      </c>
      <c r="L51" s="57">
        <f t="shared" si="17"/>
        <v>518307.27433598199</v>
      </c>
      <c r="M51" s="57">
        <f t="shared" si="17"/>
        <v>623734.7853856812</v>
      </c>
      <c r="N51" s="57">
        <f t="shared" si="17"/>
        <v>665585.83536614256</v>
      </c>
      <c r="O51" s="57">
        <f t="shared" si="17"/>
        <v>736406.76936546771</v>
      </c>
    </row>
    <row r="52" spans="2:15">
      <c r="B52" t="s">
        <v>163</v>
      </c>
      <c r="C52" s="111">
        <v>176063000</v>
      </c>
    </row>
    <row r="53" spans="2:15">
      <c r="B53" t="s">
        <v>217</v>
      </c>
      <c r="C53" s="29">
        <f>C52/C51</f>
        <v>20.514345508159487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93"/>
  <sheetViews>
    <sheetView topLeftCell="B116" workbookViewId="0">
      <selection activeCell="F116" sqref="F116"/>
    </sheetView>
  </sheetViews>
  <sheetFormatPr defaultColWidth="11.42578125" defaultRowHeight="12.75"/>
  <cols>
    <col min="1" max="1" width="6.140625" style="4" customWidth="1"/>
    <col min="2" max="2" width="38.4257812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31.5703125" style="20" customWidth="1"/>
    <col min="10" max="10" width="15.85546875" customWidth="1"/>
    <col min="11" max="11" width="12" customWidth="1"/>
  </cols>
  <sheetData>
    <row r="1" spans="1:22">
      <c r="A1" s="8"/>
      <c r="B1" s="8"/>
      <c r="C1" s="14" t="s">
        <v>34</v>
      </c>
      <c r="F1"/>
      <c r="G1"/>
      <c r="H1"/>
      <c r="I1"/>
    </row>
    <row r="2" spans="1:22">
      <c r="A2" s="8"/>
      <c r="B2" s="8"/>
      <c r="C2" s="14" t="s">
        <v>193</v>
      </c>
      <c r="F2"/>
      <c r="G2"/>
      <c r="H2"/>
      <c r="I2"/>
    </row>
    <row r="3" spans="1:22">
      <c r="A3" s="10"/>
      <c r="B3" s="8"/>
      <c r="C3" s="14" t="s">
        <v>231</v>
      </c>
      <c r="F3"/>
      <c r="G3"/>
      <c r="H3"/>
      <c r="I3" s="73"/>
    </row>
    <row r="4" spans="1:22">
      <c r="A4" s="10"/>
      <c r="B4" s="8"/>
      <c r="C4" s="128" t="s">
        <v>230</v>
      </c>
      <c r="F4"/>
      <c r="G4"/>
      <c r="H4"/>
      <c r="I4" s="73"/>
    </row>
    <row r="5" spans="1:22" ht="12.75" customHeight="1">
      <c r="A5" s="5"/>
      <c r="C5" s="128"/>
      <c r="D5" s="11"/>
      <c r="E5" s="11"/>
      <c r="F5" s="11"/>
      <c r="G5" s="11"/>
      <c r="H5" s="11" t="s">
        <v>136</v>
      </c>
      <c r="I5" s="84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235</v>
      </c>
      <c r="E6" s="11"/>
      <c r="F6" s="11" t="s">
        <v>236</v>
      </c>
      <c r="G6" s="54"/>
      <c r="H6" s="54" t="s">
        <v>135</v>
      </c>
      <c r="I6" s="85"/>
    </row>
    <row r="7" spans="1:22">
      <c r="A7" s="46" t="s">
        <v>1</v>
      </c>
      <c r="D7" s="15" t="s">
        <v>2</v>
      </c>
      <c r="E7" s="1" t="s">
        <v>3</v>
      </c>
      <c r="F7" s="15" t="s">
        <v>167</v>
      </c>
      <c r="G7" s="15"/>
      <c r="H7" s="15" t="s">
        <v>167</v>
      </c>
      <c r="I7" s="88" t="s">
        <v>123</v>
      </c>
      <c r="J7" s="81" t="s">
        <v>35</v>
      </c>
      <c r="K7" s="48">
        <v>39813</v>
      </c>
      <c r="L7" s="48">
        <v>39844</v>
      </c>
      <c r="M7" s="48">
        <v>39872</v>
      </c>
      <c r="N7" s="48">
        <v>39903</v>
      </c>
      <c r="O7" s="48">
        <v>39933</v>
      </c>
      <c r="P7" s="48">
        <v>39964</v>
      </c>
      <c r="Q7" s="48">
        <v>39994</v>
      </c>
      <c r="R7" s="48">
        <v>40025</v>
      </c>
      <c r="S7" s="48">
        <v>40056</v>
      </c>
      <c r="T7" s="48">
        <v>40086</v>
      </c>
      <c r="U7" s="48">
        <v>40117</v>
      </c>
      <c r="V7" s="48">
        <v>40147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7" si="0">A8+1</f>
        <v>1</v>
      </c>
      <c r="B9" t="s">
        <v>165</v>
      </c>
      <c r="D9" s="18">
        <v>0</v>
      </c>
      <c r="E9" s="18">
        <f t="shared" ref="E9:E16" si="1">F9-D9</f>
        <v>18690.725317115157</v>
      </c>
      <c r="F9" s="18">
        <f>'WGJ-4'!C13/1000</f>
        <v>18690.725317115157</v>
      </c>
      <c r="G9" s="18"/>
      <c r="H9" s="18">
        <v>20917.018981429192</v>
      </c>
      <c r="I9" s="96" t="s">
        <v>131</v>
      </c>
      <c r="J9" s="3">
        <f t="shared" ref="J9:J15" si="2">SUM(K9:V9)/1000</f>
        <v>18690.725317115157</v>
      </c>
      <c r="K9" s="57">
        <f>'WGJ-4'!D13</f>
        <v>3101178.5164969312</v>
      </c>
      <c r="L9" s="57">
        <f>'WGJ-4'!E13</f>
        <v>2360623.2036045622</v>
      </c>
      <c r="M9" s="57">
        <f>'WGJ-4'!F13</f>
        <v>2004006.08858381</v>
      </c>
      <c r="N9" s="57">
        <f>'WGJ-4'!G13</f>
        <v>882647.81738775119</v>
      </c>
      <c r="O9" s="57">
        <f>'WGJ-4'!H13</f>
        <v>360683.7994447776</v>
      </c>
      <c r="P9" s="57">
        <f>'WGJ-4'!I13</f>
        <v>646872.78836114064</v>
      </c>
      <c r="Q9" s="57">
        <f>'WGJ-4'!J13</f>
        <v>1078790.237072536</v>
      </c>
      <c r="R9" s="57">
        <f>'WGJ-4'!K13</f>
        <v>4028776.8886021203</v>
      </c>
      <c r="S9" s="57">
        <f>'WGJ-4'!L13</f>
        <v>1264928.7523542133</v>
      </c>
      <c r="T9" s="57">
        <f>'WGJ-4'!M13</f>
        <v>1097418.6071412903</v>
      </c>
      <c r="U9" s="57">
        <f>'WGJ-4'!N13</f>
        <v>706823.65579434799</v>
      </c>
      <c r="V9" s="57">
        <f>'WGJ-4'!O13</f>
        <v>1157974.9622716701</v>
      </c>
    </row>
    <row r="10" spans="1:22">
      <c r="A10" s="5">
        <f t="shared" si="0"/>
        <v>2</v>
      </c>
      <c r="B10" t="s">
        <v>171</v>
      </c>
      <c r="D10" s="90">
        <f>118120-65</f>
        <v>118055</v>
      </c>
      <c r="E10" s="19">
        <f t="shared" si="1"/>
        <v>-116740</v>
      </c>
      <c r="F10" s="130">
        <v>1315</v>
      </c>
      <c r="G10" s="18"/>
      <c r="H10" s="18"/>
      <c r="I10" s="96"/>
      <c r="J10" s="3">
        <f t="shared" si="2"/>
        <v>1314.8</v>
      </c>
      <c r="K10" s="57">
        <v>449800</v>
      </c>
      <c r="L10" s="57">
        <v>415200</v>
      </c>
      <c r="M10" s="57">
        <v>449800</v>
      </c>
      <c r="N10" s="57"/>
      <c r="O10" s="57"/>
      <c r="P10" s="57"/>
      <c r="Q10" s="57"/>
      <c r="R10" s="57"/>
      <c r="S10" s="57"/>
      <c r="T10" s="57"/>
      <c r="U10" s="57"/>
      <c r="V10" s="57"/>
    </row>
    <row r="11" spans="1:22">
      <c r="A11" s="5">
        <f t="shared" si="0"/>
        <v>3</v>
      </c>
      <c r="B11" t="s">
        <v>178</v>
      </c>
      <c r="D11" s="19">
        <v>0</v>
      </c>
      <c r="E11" s="19">
        <f t="shared" si="1"/>
        <v>9614</v>
      </c>
      <c r="F11" s="130">
        <v>9614</v>
      </c>
      <c r="G11" s="18"/>
      <c r="H11" s="18"/>
      <c r="I11" s="96"/>
      <c r="J11" s="3">
        <f t="shared" si="2"/>
        <v>9614.13947883947</v>
      </c>
      <c r="K11" s="57">
        <v>868309.68160327582</v>
      </c>
      <c r="L11" s="57">
        <v>797420.93399299856</v>
      </c>
      <c r="M11" s="57">
        <v>868032.3689088471</v>
      </c>
      <c r="N11" s="57">
        <v>716280.29988261254</v>
      </c>
      <c r="O11" s="57">
        <v>722935.8045489036</v>
      </c>
      <c r="P11" s="57">
        <v>696410.48604054016</v>
      </c>
      <c r="Q11" s="57">
        <v>722935.8045489036</v>
      </c>
      <c r="R11" s="57">
        <v>742805.61839097599</v>
      </c>
      <c r="S11" s="57">
        <v>676540.67219846777</v>
      </c>
      <c r="T11" s="57">
        <v>968231.36829622358</v>
      </c>
      <c r="U11" s="57">
        <v>911684.08943573735</v>
      </c>
      <c r="V11" s="57">
        <v>922552.3509919825</v>
      </c>
    </row>
    <row r="12" spans="1:22">
      <c r="A12" s="5">
        <f t="shared" si="0"/>
        <v>4</v>
      </c>
      <c r="B12" t="s">
        <v>5</v>
      </c>
      <c r="D12" s="90">
        <v>2017</v>
      </c>
      <c r="E12" s="19">
        <f t="shared" si="1"/>
        <v>-2017</v>
      </c>
      <c r="F12" s="92">
        <v>0</v>
      </c>
      <c r="G12" s="22"/>
      <c r="H12" s="22">
        <v>1916</v>
      </c>
      <c r="I12" s="19"/>
      <c r="J12" s="3">
        <f t="shared" si="2"/>
        <v>0</v>
      </c>
      <c r="K12" s="56">
        <f>$F12/12*1000</f>
        <v>0</v>
      </c>
      <c r="L12" s="56">
        <f t="shared" ref="L12:V12" si="3">$F12/12*1000</f>
        <v>0</v>
      </c>
      <c r="M12" s="56">
        <f t="shared" si="3"/>
        <v>0</v>
      </c>
      <c r="N12" s="56">
        <f t="shared" si="3"/>
        <v>0</v>
      </c>
      <c r="O12" s="56">
        <f t="shared" si="3"/>
        <v>0</v>
      </c>
      <c r="P12" s="56">
        <f t="shared" si="3"/>
        <v>0</v>
      </c>
      <c r="Q12" s="56">
        <f t="shared" si="3"/>
        <v>0</v>
      </c>
      <c r="R12" s="56">
        <f t="shared" si="3"/>
        <v>0</v>
      </c>
      <c r="S12" s="56">
        <f t="shared" si="3"/>
        <v>0</v>
      </c>
      <c r="T12" s="56">
        <f t="shared" si="3"/>
        <v>0</v>
      </c>
      <c r="U12" s="56">
        <f t="shared" si="3"/>
        <v>0</v>
      </c>
      <c r="V12" s="56">
        <f t="shared" si="3"/>
        <v>0</v>
      </c>
    </row>
    <row r="13" spans="1:22">
      <c r="A13" s="5">
        <f t="shared" si="0"/>
        <v>5</v>
      </c>
      <c r="B13" t="s">
        <v>211</v>
      </c>
      <c r="D13" s="90">
        <v>5569</v>
      </c>
      <c r="E13" s="19">
        <f t="shared" si="1"/>
        <v>6256</v>
      </c>
      <c r="F13" s="92">
        <v>11825</v>
      </c>
      <c r="G13" s="22"/>
      <c r="H13" s="22"/>
      <c r="I13" s="19"/>
      <c r="J13" s="3">
        <f t="shared" si="2"/>
        <v>11824.812</v>
      </c>
      <c r="K13" s="56">
        <v>985401</v>
      </c>
      <c r="L13" s="56">
        <v>985401</v>
      </c>
      <c r="M13" s="56">
        <v>985401</v>
      </c>
      <c r="N13" s="56">
        <v>985401</v>
      </c>
      <c r="O13" s="56">
        <v>985401</v>
      </c>
      <c r="P13" s="56">
        <v>985401</v>
      </c>
      <c r="Q13" s="56">
        <v>985401</v>
      </c>
      <c r="R13" s="56">
        <v>985401</v>
      </c>
      <c r="S13" s="56">
        <v>985401</v>
      </c>
      <c r="T13" s="56">
        <v>985401</v>
      </c>
      <c r="U13" s="56">
        <v>985401</v>
      </c>
      <c r="V13" s="56">
        <v>985401</v>
      </c>
    </row>
    <row r="14" spans="1:22">
      <c r="A14" s="5">
        <f t="shared" si="0"/>
        <v>6</v>
      </c>
      <c r="B14" t="s">
        <v>198</v>
      </c>
      <c r="D14" s="90">
        <v>1597</v>
      </c>
      <c r="E14" s="19">
        <f t="shared" si="1"/>
        <v>203</v>
      </c>
      <c r="F14" s="130">
        <v>1800</v>
      </c>
      <c r="G14" s="22"/>
      <c r="H14" s="22">
        <v>1177</v>
      </c>
      <c r="I14" s="19"/>
      <c r="J14" s="3">
        <f t="shared" si="2"/>
        <v>1800.4561544973262</v>
      </c>
      <c r="K14" s="56">
        <v>150038.01287477714</v>
      </c>
      <c r="L14" s="56">
        <v>150038.01287477714</v>
      </c>
      <c r="M14" s="56">
        <v>150038.01287477714</v>
      </c>
      <c r="N14" s="56">
        <v>150038.01287477714</v>
      </c>
      <c r="O14" s="56">
        <v>150038.01287477714</v>
      </c>
      <c r="P14" s="56">
        <v>150038.01287477714</v>
      </c>
      <c r="Q14" s="56">
        <v>150038.01287477714</v>
      </c>
      <c r="R14" s="56">
        <v>150038.01287477714</v>
      </c>
      <c r="S14" s="56">
        <v>150038.01287477714</v>
      </c>
      <c r="T14" s="56">
        <v>150038.01287477714</v>
      </c>
      <c r="U14" s="56">
        <v>150038.01287477714</v>
      </c>
      <c r="V14" s="56">
        <v>150038.01287477714</v>
      </c>
    </row>
    <row r="15" spans="1:22">
      <c r="A15" s="5">
        <f t="shared" si="0"/>
        <v>7</v>
      </c>
      <c r="B15" t="s">
        <v>199</v>
      </c>
      <c r="D15" s="90">
        <v>4322</v>
      </c>
      <c r="E15" s="19">
        <f t="shared" si="1"/>
        <v>-4322</v>
      </c>
      <c r="F15" s="92">
        <v>0</v>
      </c>
      <c r="G15" s="22"/>
      <c r="H15" s="22"/>
      <c r="I15" s="19"/>
      <c r="J15" s="3">
        <f t="shared" si="2"/>
        <v>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</row>
    <row r="16" spans="1:22">
      <c r="A16" s="5">
        <f t="shared" si="0"/>
        <v>8</v>
      </c>
      <c r="B16" t="s">
        <v>160</v>
      </c>
      <c r="D16" s="90">
        <v>6060</v>
      </c>
      <c r="E16" s="19">
        <f t="shared" si="1"/>
        <v>736.96825040959629</v>
      </c>
      <c r="F16" s="90">
        <f>Index!C48/1000</f>
        <v>6796.9682504095963</v>
      </c>
      <c r="G16" s="95" t="s">
        <v>130</v>
      </c>
      <c r="H16" s="19">
        <v>0</v>
      </c>
      <c r="I16" s="95" t="s">
        <v>145</v>
      </c>
      <c r="J16" s="3">
        <f t="shared" ref="J16:J34" si="4">SUM(K16:V16)/1000</f>
        <v>6796.9682504095963</v>
      </c>
      <c r="K16" s="56">
        <f>Index!D48</f>
        <v>678363.7620467752</v>
      </c>
      <c r="L16" s="56">
        <f>Index!E48</f>
        <v>527701.1865574324</v>
      </c>
      <c r="M16" s="56">
        <f>Index!F48</f>
        <v>633688.73765828519</v>
      </c>
      <c r="N16" s="56">
        <f>Index!G48</f>
        <v>525629.37416832126</v>
      </c>
      <c r="O16" s="56">
        <f>Index!H48</f>
        <v>661060.01464698417</v>
      </c>
      <c r="P16" s="56">
        <f>Index!I48</f>
        <v>681572.51228429668</v>
      </c>
      <c r="Q16" s="56">
        <f>Index!J48</f>
        <v>579356.15248620755</v>
      </c>
      <c r="R16" s="56">
        <f>Index!K48</f>
        <v>477441.31126370712</v>
      </c>
      <c r="S16" s="56">
        <f>Index!L48</f>
        <v>413028.92681359785</v>
      </c>
      <c r="T16" s="56">
        <f>Index!M48</f>
        <v>497427.19352113968</v>
      </c>
      <c r="U16" s="56">
        <f>Index!N48</f>
        <v>532061.4401467049</v>
      </c>
      <c r="V16" s="56">
        <f>Index!O48</f>
        <v>589637.63881614537</v>
      </c>
    </row>
    <row r="17" spans="1:22">
      <c r="A17" s="5">
        <f t="shared" si="0"/>
        <v>9</v>
      </c>
      <c r="B17" t="s">
        <v>128</v>
      </c>
      <c r="D17" s="90">
        <v>4169</v>
      </c>
      <c r="E17" s="90">
        <f t="shared" ref="E17:E28" si="5">F17-D17</f>
        <v>-4169</v>
      </c>
      <c r="F17" s="92">
        <v>0</v>
      </c>
      <c r="G17" s="92"/>
      <c r="H17" s="92">
        <v>13906</v>
      </c>
      <c r="I17" s="19"/>
      <c r="J17" s="3">
        <f t="shared" si="4"/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</row>
    <row r="18" spans="1:22">
      <c r="A18" s="5">
        <f t="shared" ref="A18:A34" si="6">A17+1</f>
        <v>10</v>
      </c>
      <c r="B18" t="s">
        <v>127</v>
      </c>
      <c r="D18" s="90">
        <v>860</v>
      </c>
      <c r="E18" s="90">
        <f t="shared" si="5"/>
        <v>-66</v>
      </c>
      <c r="F18" s="92">
        <v>794</v>
      </c>
      <c r="G18" s="92"/>
      <c r="H18" s="92">
        <v>5512</v>
      </c>
      <c r="I18" s="19"/>
      <c r="J18" s="3">
        <f t="shared" si="4"/>
        <v>794.24835863975238</v>
      </c>
      <c r="K18" s="56">
        <v>36037.931598340045</v>
      </c>
      <c r="L18" s="56">
        <v>35749.44604251111</v>
      </c>
      <c r="M18" s="56">
        <v>56226.256372336298</v>
      </c>
      <c r="N18" s="56">
        <v>99313.534877629325</v>
      </c>
      <c r="O18" s="56">
        <v>136625.37711517344</v>
      </c>
      <c r="P18" s="56">
        <v>149612.96971211457</v>
      </c>
      <c r="Q18" s="56">
        <v>106431.43192744569</v>
      </c>
      <c r="R18" s="56">
        <v>64460.969330206368</v>
      </c>
      <c r="S18" s="56">
        <v>29391.322228668556</v>
      </c>
      <c r="T18" s="56">
        <v>31345.031808845921</v>
      </c>
      <c r="U18" s="56">
        <v>26563.585687717936</v>
      </c>
      <c r="V18" s="56">
        <v>22490.501938763107</v>
      </c>
    </row>
    <row r="19" spans="1:22">
      <c r="A19" s="5">
        <f t="shared" si="6"/>
        <v>11</v>
      </c>
      <c r="B19" t="s">
        <v>191</v>
      </c>
      <c r="D19" s="90">
        <v>21093</v>
      </c>
      <c r="E19" s="90">
        <f t="shared" si="5"/>
        <v>967</v>
      </c>
      <c r="F19" s="92">
        <v>22060</v>
      </c>
      <c r="G19" s="92"/>
      <c r="H19" s="92"/>
      <c r="I19" s="19"/>
      <c r="J19" s="3">
        <f t="shared" si="4"/>
        <v>22060.260600000005</v>
      </c>
      <c r="K19" s="56">
        <v>1838355.05</v>
      </c>
      <c r="L19" s="56">
        <v>1838355.05</v>
      </c>
      <c r="M19" s="56">
        <v>1838355.05</v>
      </c>
      <c r="N19" s="56">
        <v>1838355.05</v>
      </c>
      <c r="O19" s="56">
        <v>1838355.05</v>
      </c>
      <c r="P19" s="56">
        <v>1838355.05</v>
      </c>
      <c r="Q19" s="56">
        <v>1838355.05</v>
      </c>
      <c r="R19" s="56">
        <v>1838355.05</v>
      </c>
      <c r="S19" s="56">
        <v>1838355.05</v>
      </c>
      <c r="T19" s="56">
        <v>1838355.05</v>
      </c>
      <c r="U19" s="56">
        <v>1838355.05</v>
      </c>
      <c r="V19" s="56">
        <v>1838355.05</v>
      </c>
    </row>
    <row r="20" spans="1:22">
      <c r="A20" s="5">
        <f t="shared" si="6"/>
        <v>12</v>
      </c>
      <c r="B20" t="s">
        <v>190</v>
      </c>
      <c r="D20" s="90">
        <v>1733</v>
      </c>
      <c r="E20" s="90">
        <f t="shared" si="5"/>
        <v>1077.783840463379</v>
      </c>
      <c r="F20" s="92">
        <f>'WGJ-4'!C33*2.032/1000</f>
        <v>2810.783840463379</v>
      </c>
      <c r="G20" s="92"/>
      <c r="H20" s="92"/>
      <c r="I20" s="19"/>
      <c r="J20" s="3">
        <f t="shared" si="4"/>
        <v>2810.783840463379</v>
      </c>
      <c r="K20" s="56">
        <f>'WGJ-4'!D33*2.032</f>
        <v>282952.00724614953</v>
      </c>
      <c r="L20" s="56">
        <f>'WGJ-4'!E33*2.032</f>
        <v>272255.12770128349</v>
      </c>
      <c r="M20" s="56">
        <f>'WGJ-4'!F33*2.032</f>
        <v>261996.76008604211</v>
      </c>
      <c r="N20" s="56">
        <f>'WGJ-4'!G33*2.032</f>
        <v>152107.49214006698</v>
      </c>
      <c r="O20" s="56">
        <f>'WGJ-4'!H33*2.032</f>
        <v>54189.16996783622</v>
      </c>
      <c r="P20" s="56">
        <f>'WGJ-4'!I33*2.032</f>
        <v>48132.978611272309</v>
      </c>
      <c r="Q20" s="56">
        <f>'WGJ-4'!J33*2.032</f>
        <v>205039.81160870535</v>
      </c>
      <c r="R20" s="56">
        <f>'WGJ-4'!K33*2.032</f>
        <v>258985.2621955357</v>
      </c>
      <c r="S20" s="56">
        <f>'WGJ-4'!L33*2.032</f>
        <v>289653.06628035713</v>
      </c>
      <c r="T20" s="56">
        <f>'WGJ-4'!M33*2.032</f>
        <v>318374.95697500004</v>
      </c>
      <c r="U20" s="56">
        <f>'WGJ-4'!N33*2.032</f>
        <v>329156.52649821428</v>
      </c>
      <c r="V20" s="56">
        <f>'WGJ-4'!O33*2.032</f>
        <v>337940.68115291576</v>
      </c>
    </row>
    <row r="21" spans="1:22">
      <c r="A21" s="5">
        <f t="shared" si="6"/>
        <v>13</v>
      </c>
      <c r="B21" t="s">
        <v>215</v>
      </c>
      <c r="D21" s="90">
        <v>65</v>
      </c>
      <c r="E21" s="90">
        <f t="shared" si="5"/>
        <v>-65</v>
      </c>
      <c r="F21" s="92">
        <v>0</v>
      </c>
      <c r="G21" s="92"/>
      <c r="H21" s="92"/>
      <c r="I21" s="19"/>
      <c r="J21" s="3">
        <f t="shared" si="4"/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</row>
    <row r="22" spans="1:22">
      <c r="A22" s="5">
        <f t="shared" si="6"/>
        <v>14</v>
      </c>
      <c r="B22" t="s">
        <v>232</v>
      </c>
      <c r="D22" s="90">
        <v>0</v>
      </c>
      <c r="E22" s="90">
        <f t="shared" si="5"/>
        <v>18852</v>
      </c>
      <c r="F22" s="92">
        <v>18852</v>
      </c>
      <c r="G22" s="92"/>
      <c r="H22" s="92"/>
      <c r="I22" s="19"/>
      <c r="J22" s="3">
        <f t="shared" si="4"/>
        <v>18852.083028231027</v>
      </c>
      <c r="K22" s="56">
        <v>2144745.3944631699</v>
      </c>
      <c r="L22" s="56">
        <v>1677576.9027882256</v>
      </c>
      <c r="M22" s="56">
        <v>1955275.1492494419</v>
      </c>
      <c r="N22" s="56">
        <v>1584800.5902639511</v>
      </c>
      <c r="O22" s="56">
        <v>1359033.3248240794</v>
      </c>
      <c r="P22" s="56">
        <v>1078930.1526993583</v>
      </c>
      <c r="Q22" s="56">
        <v>1017750.7911470423</v>
      </c>
      <c r="R22" s="56">
        <v>1071332.6865820312</v>
      </c>
      <c r="S22" s="56">
        <v>1236087.6670898439</v>
      </c>
      <c r="T22" s="56">
        <v>1519186.1693705358</v>
      </c>
      <c r="U22" s="56">
        <v>1959797.4169921875</v>
      </c>
      <c r="V22" s="56">
        <v>2247566.7827611612</v>
      </c>
    </row>
    <row r="23" spans="1:22">
      <c r="A23" s="5">
        <f t="shared" si="6"/>
        <v>15</v>
      </c>
      <c r="B23" t="s">
        <v>6</v>
      </c>
      <c r="D23" s="90">
        <v>14836</v>
      </c>
      <c r="E23" s="19">
        <f t="shared" si="5"/>
        <v>579</v>
      </c>
      <c r="F23" s="130">
        <v>15415</v>
      </c>
      <c r="G23" s="19" t="s">
        <v>176</v>
      </c>
      <c r="H23" s="19">
        <v>-2690</v>
      </c>
      <c r="I23" s="97" t="s">
        <v>177</v>
      </c>
      <c r="J23" s="3">
        <f t="shared" si="4"/>
        <v>15415.227471268352</v>
      </c>
      <c r="K23" s="57">
        <v>3153510.2039725967</v>
      </c>
      <c r="L23" s="57">
        <v>2825840.394703263</v>
      </c>
      <c r="M23" s="57">
        <v>1618191.7838535644</v>
      </c>
      <c r="N23" s="57">
        <v>1495793.5610861636</v>
      </c>
      <c r="O23" s="57"/>
      <c r="P23" s="57"/>
      <c r="Q23" s="57"/>
      <c r="R23" s="57"/>
      <c r="S23" s="57"/>
      <c r="T23" s="57"/>
      <c r="U23" s="57">
        <v>3111596.0128101446</v>
      </c>
      <c r="V23" s="57">
        <v>3210295.5148426192</v>
      </c>
    </row>
    <row r="24" spans="1:22">
      <c r="A24" s="5">
        <f t="shared" si="6"/>
        <v>16</v>
      </c>
      <c r="B24" t="s">
        <v>7</v>
      </c>
      <c r="D24" s="90">
        <v>6</v>
      </c>
      <c r="E24" s="19">
        <f t="shared" si="5"/>
        <v>0</v>
      </c>
      <c r="F24" s="19">
        <v>6</v>
      </c>
      <c r="G24" s="19"/>
      <c r="H24" s="19">
        <v>6679.5</v>
      </c>
      <c r="I24" s="19"/>
      <c r="J24" s="3">
        <f t="shared" si="4"/>
        <v>6.2107900000000003</v>
      </c>
      <c r="K24" s="56">
        <v>140.83000000000001</v>
      </c>
      <c r="L24" s="56">
        <v>692.57</v>
      </c>
      <c r="M24" s="56">
        <v>636.97</v>
      </c>
      <c r="N24" s="56">
        <v>611.29999999999995</v>
      </c>
      <c r="O24" s="56">
        <v>671.18</v>
      </c>
      <c r="P24" s="56">
        <v>487.27</v>
      </c>
      <c r="Q24" s="56">
        <v>380.35</v>
      </c>
      <c r="R24" s="56">
        <v>500.1</v>
      </c>
      <c r="S24" s="56">
        <v>572.80999999999995</v>
      </c>
      <c r="T24" s="56">
        <v>427.39</v>
      </c>
      <c r="U24" s="56">
        <v>354.68</v>
      </c>
      <c r="V24" s="56">
        <v>735.34</v>
      </c>
    </row>
    <row r="25" spans="1:22">
      <c r="A25" s="5">
        <f t="shared" si="6"/>
        <v>17</v>
      </c>
      <c r="B25" t="s">
        <v>138</v>
      </c>
      <c r="D25" s="90">
        <v>1334</v>
      </c>
      <c r="E25" s="19">
        <f t="shared" si="5"/>
        <v>-262</v>
      </c>
      <c r="F25" s="92">
        <v>1072</v>
      </c>
      <c r="G25" s="19" t="s">
        <v>176</v>
      </c>
      <c r="H25" s="92">
        <v>6132</v>
      </c>
      <c r="I25" s="19"/>
      <c r="J25" s="3">
        <f t="shared" si="4"/>
        <v>1072.1281944946061</v>
      </c>
      <c r="K25" s="56">
        <v>75997.8594550579</v>
      </c>
      <c r="L25" s="56">
        <v>88076.573465845853</v>
      </c>
      <c r="M25" s="56">
        <v>137205.47708306424</v>
      </c>
      <c r="N25" s="56">
        <v>131562.92121340067</v>
      </c>
      <c r="O25" s="56">
        <v>133829.7089055317</v>
      </c>
      <c r="P25" s="56">
        <v>119717.15836940915</v>
      </c>
      <c r="Q25" s="56">
        <v>108593.48844341755</v>
      </c>
      <c r="R25" s="56">
        <v>61257.468367854948</v>
      </c>
      <c r="S25" s="56">
        <v>46972.300648051503</v>
      </c>
      <c r="T25" s="56">
        <v>53199.148802237854</v>
      </c>
      <c r="U25" s="56">
        <v>58122.02362005115</v>
      </c>
      <c r="V25" s="56">
        <v>57594.06612068347</v>
      </c>
    </row>
    <row r="26" spans="1:22">
      <c r="A26" s="5">
        <f t="shared" si="6"/>
        <v>18</v>
      </c>
      <c r="B26" t="s">
        <v>157</v>
      </c>
      <c r="D26" s="90">
        <v>1922</v>
      </c>
      <c r="E26" s="19">
        <f t="shared" si="5"/>
        <v>112</v>
      </c>
      <c r="F26" s="130">
        <v>2034</v>
      </c>
      <c r="G26" s="19" t="s">
        <v>176</v>
      </c>
      <c r="H26" s="90">
        <v>6132</v>
      </c>
      <c r="I26" s="97" t="s">
        <v>133</v>
      </c>
      <c r="J26" s="3">
        <f t="shared" si="4"/>
        <v>2033.6072625128909</v>
      </c>
      <c r="K26" s="56">
        <v>172032.34462207032</v>
      </c>
      <c r="L26" s="56">
        <v>158587.85671171875</v>
      </c>
      <c r="M26" s="56">
        <v>140699.99552929687</v>
      </c>
      <c r="N26" s="56">
        <v>114135.19035351562</v>
      </c>
      <c r="O26" s="56">
        <v>146562.4944</v>
      </c>
      <c r="P26" s="56">
        <v>140499.75517675781</v>
      </c>
      <c r="Q26" s="56">
        <v>171588.9657779297</v>
      </c>
      <c r="R26" s="56">
        <v>204399.2621337891</v>
      </c>
      <c r="S26" s="56">
        <v>181500.71045976563</v>
      </c>
      <c r="T26" s="56">
        <v>205286.01982207032</v>
      </c>
      <c r="U26" s="56">
        <v>194802.17762988282</v>
      </c>
      <c r="V26" s="56">
        <v>203512.48989609376</v>
      </c>
    </row>
    <row r="27" spans="1:22">
      <c r="A27" s="5">
        <f t="shared" si="6"/>
        <v>19</v>
      </c>
      <c r="B27" t="s">
        <v>8</v>
      </c>
      <c r="D27" s="90">
        <v>2387</v>
      </c>
      <c r="E27" s="19">
        <f t="shared" si="5"/>
        <v>27</v>
      </c>
      <c r="F27" s="90">
        <v>2414</v>
      </c>
      <c r="G27" s="19" t="s">
        <v>176</v>
      </c>
      <c r="H27" s="19">
        <v>6953.25</v>
      </c>
      <c r="I27" s="19"/>
      <c r="J27" s="3">
        <f t="shared" si="4"/>
        <v>2414.1647220546874</v>
      </c>
      <c r="K27" s="56">
        <v>289134.49507031246</v>
      </c>
      <c r="L27" s="56">
        <v>279812.28015234368</v>
      </c>
      <c r="M27" s="56">
        <v>378699.7505976563</v>
      </c>
      <c r="N27" s="56">
        <v>304683.17455468746</v>
      </c>
      <c r="O27" s="56">
        <v>292148.17289062496</v>
      </c>
      <c r="P27" s="56">
        <v>238519.80733984374</v>
      </c>
      <c r="Q27" s="56">
        <v>75696.150632812496</v>
      </c>
      <c r="R27" s="56">
        <v>-41899.31525390625</v>
      </c>
      <c r="S27" s="56">
        <v>15046.46087109375</v>
      </c>
      <c r="T27" s="56">
        <v>112704.78868359374</v>
      </c>
      <c r="U27" s="56">
        <v>182747.32514062501</v>
      </c>
      <c r="V27" s="56">
        <v>286871.631375</v>
      </c>
    </row>
    <row r="28" spans="1:22">
      <c r="A28" s="5">
        <f t="shared" si="6"/>
        <v>20</v>
      </c>
      <c r="B28" t="s">
        <v>239</v>
      </c>
      <c r="D28" s="90">
        <v>0</v>
      </c>
      <c r="E28" s="19">
        <f t="shared" si="5"/>
        <v>6150</v>
      </c>
      <c r="F28" s="90">
        <v>6150</v>
      </c>
      <c r="G28" s="19"/>
      <c r="H28" s="19"/>
      <c r="I28" s="19"/>
      <c r="J28" s="3">
        <f t="shared" si="4"/>
        <v>6149.58667851469</v>
      </c>
      <c r="K28" s="56">
        <v>531208.31864531245</v>
      </c>
      <c r="L28" s="56">
        <v>462019.25752500002</v>
      </c>
      <c r="M28" s="56">
        <v>616168.98368437507</v>
      </c>
      <c r="N28" s="56">
        <v>382998.21712781809</v>
      </c>
      <c r="O28" s="56">
        <v>423588.2045100446</v>
      </c>
      <c r="P28" s="56">
        <v>336150.53335026506</v>
      </c>
      <c r="Q28" s="56">
        <v>581956.15831874998</v>
      </c>
      <c r="R28" s="56">
        <v>498570.32330625004</v>
      </c>
      <c r="S28" s="56">
        <v>544322.50162499992</v>
      </c>
      <c r="T28" s="56">
        <v>589430.3052937499</v>
      </c>
      <c r="U28" s="56">
        <v>623377.15584374988</v>
      </c>
      <c r="V28" s="56">
        <v>559796.71928437497</v>
      </c>
    </row>
    <row r="29" spans="1:22">
      <c r="A29" s="5">
        <f t="shared" si="6"/>
        <v>21</v>
      </c>
      <c r="B29" t="s">
        <v>30</v>
      </c>
      <c r="D29" s="90">
        <v>118</v>
      </c>
      <c r="E29" s="19">
        <f t="shared" ref="E29:E34" si="7">F29-D29</f>
        <v>-118</v>
      </c>
      <c r="F29" s="90">
        <v>0</v>
      </c>
      <c r="G29" s="19" t="s">
        <v>176</v>
      </c>
      <c r="H29" s="90">
        <v>4</v>
      </c>
      <c r="I29" s="95" t="s">
        <v>130</v>
      </c>
      <c r="J29" s="3">
        <f t="shared" si="4"/>
        <v>0</v>
      </c>
      <c r="K29" s="56"/>
      <c r="L29" s="56"/>
      <c r="M29" s="56"/>
      <c r="N29" s="56"/>
      <c r="O29" s="56"/>
      <c r="P29" s="56"/>
      <c r="Q29" s="56"/>
      <c r="R29" s="56"/>
      <c r="S29" s="56"/>
      <c r="T29" s="56">
        <f>F29*1000</f>
        <v>0</v>
      </c>
      <c r="U29" s="56"/>
      <c r="V29" s="56"/>
    </row>
    <row r="30" spans="1:22">
      <c r="A30" s="5">
        <f t="shared" si="6"/>
        <v>22</v>
      </c>
      <c r="B30" t="s">
        <v>54</v>
      </c>
      <c r="D30" s="90">
        <v>59</v>
      </c>
      <c r="E30" s="19">
        <f t="shared" si="7"/>
        <v>-59</v>
      </c>
      <c r="F30" s="19">
        <v>0</v>
      </c>
      <c r="G30" s="19"/>
      <c r="H30" s="19">
        <v>921</v>
      </c>
      <c r="I30" s="95" t="s">
        <v>122</v>
      </c>
      <c r="J30" s="3">
        <f t="shared" si="4"/>
        <v>0</v>
      </c>
      <c r="K30" s="56">
        <f t="shared" ref="K30:V30" si="8">$F30/12</f>
        <v>0</v>
      </c>
      <c r="L30" s="56">
        <f t="shared" si="8"/>
        <v>0</v>
      </c>
      <c r="M30" s="56">
        <f t="shared" si="8"/>
        <v>0</v>
      </c>
      <c r="N30" s="56">
        <f t="shared" si="8"/>
        <v>0</v>
      </c>
      <c r="O30" s="56">
        <f t="shared" si="8"/>
        <v>0</v>
      </c>
      <c r="P30" s="56">
        <f t="shared" si="8"/>
        <v>0</v>
      </c>
      <c r="Q30" s="56">
        <f t="shared" si="8"/>
        <v>0</v>
      </c>
      <c r="R30" s="56">
        <f t="shared" si="8"/>
        <v>0</v>
      </c>
      <c r="S30" s="56">
        <f t="shared" si="8"/>
        <v>0</v>
      </c>
      <c r="T30" s="56">
        <f t="shared" si="8"/>
        <v>0</v>
      </c>
      <c r="U30" s="56">
        <f t="shared" si="8"/>
        <v>0</v>
      </c>
      <c r="V30" s="56">
        <f t="shared" si="8"/>
        <v>0</v>
      </c>
    </row>
    <row r="31" spans="1:22">
      <c r="A31" s="5">
        <f t="shared" si="6"/>
        <v>23</v>
      </c>
      <c r="B31" t="s">
        <v>196</v>
      </c>
      <c r="D31" s="90">
        <v>19070</v>
      </c>
      <c r="E31" s="19">
        <f t="shared" si="7"/>
        <v>-19070</v>
      </c>
      <c r="F31" s="19">
        <v>0</v>
      </c>
      <c r="G31" s="19"/>
      <c r="H31" s="19">
        <v>441.68747583767572</v>
      </c>
      <c r="I31" s="19"/>
      <c r="J31" s="3">
        <f t="shared" si="4"/>
        <v>0</v>
      </c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>
      <c r="A32" s="5">
        <f t="shared" si="6"/>
        <v>24</v>
      </c>
      <c r="B32" t="s">
        <v>153</v>
      </c>
      <c r="D32" s="90">
        <v>645</v>
      </c>
      <c r="E32" s="19">
        <f t="shared" si="7"/>
        <v>-645</v>
      </c>
      <c r="F32" s="19">
        <v>0</v>
      </c>
      <c r="G32" s="19"/>
      <c r="H32" s="19"/>
      <c r="I32" s="19"/>
      <c r="J32" s="3">
        <f t="shared" si="4"/>
        <v>0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2">
      <c r="A33" s="5">
        <f t="shared" si="6"/>
        <v>25</v>
      </c>
      <c r="B33" s="17" t="s">
        <v>182</v>
      </c>
      <c r="C33" s="17"/>
      <c r="D33" s="91">
        <v>3633</v>
      </c>
      <c r="E33" s="39">
        <f t="shared" si="7"/>
        <v>-385</v>
      </c>
      <c r="F33" s="144">
        <v>3248</v>
      </c>
      <c r="G33" s="90" t="s">
        <v>172</v>
      </c>
      <c r="H33" s="90">
        <v>0</v>
      </c>
      <c r="I33" s="19" t="s">
        <v>129</v>
      </c>
      <c r="J33" s="86">
        <f t="shared" si="4"/>
        <v>3248.1721484765626</v>
      </c>
      <c r="K33" s="78">
        <v>300220.37211914058</v>
      </c>
      <c r="L33" s="78">
        <v>193926.77211914063</v>
      </c>
      <c r="M33" s="78">
        <v>332648.34788085939</v>
      </c>
      <c r="N33" s="78">
        <v>312933.42</v>
      </c>
      <c r="O33" s="78">
        <v>298259.00211914058</v>
      </c>
      <c r="P33" s="78">
        <v>331155.18</v>
      </c>
      <c r="Q33" s="78">
        <v>262954.34211914061</v>
      </c>
      <c r="R33" s="78">
        <v>281783.49</v>
      </c>
      <c r="S33" s="78">
        <v>214864.92</v>
      </c>
      <c r="T33" s="78">
        <v>224380.73211914062</v>
      </c>
      <c r="U33" s="78">
        <v>270795.59999999998</v>
      </c>
      <c r="V33" s="78">
        <v>224249.97</v>
      </c>
    </row>
    <row r="34" spans="1:22">
      <c r="A34" s="5">
        <f t="shared" si="6"/>
        <v>26</v>
      </c>
      <c r="B34" t="s">
        <v>9</v>
      </c>
      <c r="D34" s="90">
        <f>SUM(D9:D33)</f>
        <v>209550</v>
      </c>
      <c r="E34" s="19">
        <f t="shared" si="7"/>
        <v>-84652.522592011868</v>
      </c>
      <c r="F34" s="19">
        <f>SUM(F9:F33)</f>
        <v>124897.47740798813</v>
      </c>
      <c r="G34" s="19"/>
      <c r="H34" s="19">
        <v>0</v>
      </c>
      <c r="I34" s="19"/>
      <c r="J34" s="3">
        <f t="shared" si="4"/>
        <v>124898.37429551748</v>
      </c>
      <c r="K34" s="25">
        <f>SUM(K9:K33)</f>
        <v>15057425.780213907</v>
      </c>
      <c r="L34" s="25">
        <f t="shared" ref="L34:V34" si="9">SUM(L9:L33)</f>
        <v>13069276.568239104</v>
      </c>
      <c r="M34" s="25">
        <f t="shared" si="9"/>
        <v>12427070.732362358</v>
      </c>
      <c r="N34" s="25">
        <f t="shared" si="9"/>
        <v>9677290.9559306968</v>
      </c>
      <c r="O34" s="25">
        <f t="shared" si="9"/>
        <v>7563380.316247873</v>
      </c>
      <c r="P34" s="25">
        <f t="shared" si="9"/>
        <v>7441855.6548197726</v>
      </c>
      <c r="Q34" s="25">
        <f t="shared" si="9"/>
        <v>7885267.7469576672</v>
      </c>
      <c r="R34" s="25">
        <f t="shared" si="9"/>
        <v>10622208.12779334</v>
      </c>
      <c r="S34" s="25">
        <f t="shared" si="9"/>
        <v>7886704.1734438362</v>
      </c>
      <c r="T34" s="25">
        <f t="shared" si="9"/>
        <v>8591205.7747086044</v>
      </c>
      <c r="U34" s="25">
        <f t="shared" si="9"/>
        <v>11881675.752474139</v>
      </c>
      <c r="V34" s="25">
        <f t="shared" si="9"/>
        <v>12795012.712326188</v>
      </c>
    </row>
    <row r="35" spans="1:22">
      <c r="A35" s="5"/>
      <c r="E35" s="19"/>
      <c r="F35" s="19"/>
      <c r="G35" s="19"/>
      <c r="H35" s="39">
        <v>3186</v>
      </c>
      <c r="I35" s="19"/>
      <c r="J35" s="3"/>
    </row>
    <row r="36" spans="1:22">
      <c r="A36" s="5"/>
      <c r="B36" s="7" t="s">
        <v>28</v>
      </c>
      <c r="D36" s="19"/>
      <c r="E36" s="19"/>
      <c r="F36" s="19"/>
      <c r="G36" s="19"/>
      <c r="H36" s="19">
        <v>0</v>
      </c>
      <c r="I36" s="19"/>
      <c r="J36" s="3"/>
    </row>
    <row r="37" spans="1:22">
      <c r="A37" s="5">
        <f>A34+1</f>
        <v>27</v>
      </c>
      <c r="B37" t="s">
        <v>13</v>
      </c>
      <c r="D37" s="90">
        <v>884</v>
      </c>
      <c r="E37" s="90">
        <f t="shared" ref="E37:E42" si="10">F37-D37</f>
        <v>0</v>
      </c>
      <c r="F37" s="130">
        <v>884</v>
      </c>
      <c r="G37" s="95" t="s">
        <v>214</v>
      </c>
      <c r="H37" s="91">
        <v>150</v>
      </c>
      <c r="I37" s="95"/>
      <c r="J37" s="3">
        <f>SUM(K37:V37)/1000</f>
        <v>883.71100000000001</v>
      </c>
      <c r="K37" s="56">
        <v>42656</v>
      </c>
      <c r="L37" s="56">
        <v>64015</v>
      </c>
      <c r="M37" s="56">
        <v>129860</v>
      </c>
      <c r="N37" s="56">
        <v>97390</v>
      </c>
      <c r="O37" s="56">
        <v>52577</v>
      </c>
      <c r="P37" s="56">
        <v>70281</v>
      </c>
      <c r="Q37" s="56">
        <v>65808</v>
      </c>
      <c r="R37" s="56">
        <v>76848</v>
      </c>
      <c r="S37" s="56">
        <v>86944</v>
      </c>
      <c r="T37" s="56">
        <v>43966</v>
      </c>
      <c r="U37" s="56">
        <v>52696</v>
      </c>
      <c r="V37" s="56">
        <v>100670</v>
      </c>
    </row>
    <row r="38" spans="1:22">
      <c r="A38" s="5">
        <f>A37+1</f>
        <v>28</v>
      </c>
      <c r="B38" t="s">
        <v>242</v>
      </c>
      <c r="D38" s="90">
        <v>374</v>
      </c>
      <c r="E38" s="90">
        <f t="shared" si="10"/>
        <v>-200</v>
      </c>
      <c r="F38" s="90">
        <v>174</v>
      </c>
      <c r="G38" s="90"/>
      <c r="H38" s="90"/>
      <c r="I38" s="19"/>
      <c r="J38" s="3">
        <f>SUM(K38:V38)/1000</f>
        <v>350.4</v>
      </c>
      <c r="K38" s="56">
        <f>40*K5</f>
        <v>29760</v>
      </c>
      <c r="L38" s="56">
        <f t="shared" ref="L38:V38" si="11">40*L5</f>
        <v>26880</v>
      </c>
      <c r="M38" s="56">
        <f t="shared" si="11"/>
        <v>29760</v>
      </c>
      <c r="N38" s="56">
        <f t="shared" si="11"/>
        <v>28760</v>
      </c>
      <c r="O38" s="56">
        <f t="shared" si="11"/>
        <v>29760</v>
      </c>
      <c r="P38" s="56">
        <f t="shared" si="11"/>
        <v>28800</v>
      </c>
      <c r="Q38" s="56">
        <f t="shared" si="11"/>
        <v>29760</v>
      </c>
      <c r="R38" s="56">
        <f t="shared" si="11"/>
        <v>29760</v>
      </c>
      <c r="S38" s="56">
        <f t="shared" si="11"/>
        <v>28800</v>
      </c>
      <c r="T38" s="56">
        <f t="shared" si="11"/>
        <v>29800</v>
      </c>
      <c r="U38" s="56">
        <f t="shared" si="11"/>
        <v>28800</v>
      </c>
      <c r="V38" s="56">
        <f t="shared" si="11"/>
        <v>29760</v>
      </c>
    </row>
    <row r="39" spans="1:22">
      <c r="A39" s="5">
        <f t="shared" ref="A39:A41" si="12">A38+1</f>
        <v>29</v>
      </c>
      <c r="B39" t="s">
        <v>241</v>
      </c>
      <c r="D39" s="90">
        <v>0</v>
      </c>
      <c r="E39" s="90">
        <f t="shared" si="10"/>
        <v>769</v>
      </c>
      <c r="F39" s="90">
        <v>769</v>
      </c>
      <c r="G39" s="90"/>
      <c r="H39" s="90"/>
      <c r="I39" s="19"/>
      <c r="J39" s="3">
        <f>SUM(K39:V39)/1000</f>
        <v>724.99999999999989</v>
      </c>
      <c r="K39" s="56">
        <f>725000/12</f>
        <v>60416.666666666664</v>
      </c>
      <c r="L39" s="56">
        <f t="shared" ref="L39:V39" si="13">725000/12</f>
        <v>60416.666666666664</v>
      </c>
      <c r="M39" s="56">
        <f t="shared" si="13"/>
        <v>60416.666666666664</v>
      </c>
      <c r="N39" s="56">
        <f t="shared" si="13"/>
        <v>60416.666666666664</v>
      </c>
      <c r="O39" s="56">
        <f t="shared" si="13"/>
        <v>60416.666666666664</v>
      </c>
      <c r="P39" s="56">
        <f t="shared" si="13"/>
        <v>60416.666666666664</v>
      </c>
      <c r="Q39" s="56">
        <f t="shared" si="13"/>
        <v>60416.666666666664</v>
      </c>
      <c r="R39" s="56">
        <f t="shared" si="13"/>
        <v>60416.666666666664</v>
      </c>
      <c r="S39" s="56">
        <f t="shared" si="13"/>
        <v>60416.666666666664</v>
      </c>
      <c r="T39" s="56">
        <f t="shared" si="13"/>
        <v>60416.666666666664</v>
      </c>
      <c r="U39" s="56">
        <f t="shared" si="13"/>
        <v>60416.666666666664</v>
      </c>
      <c r="V39" s="56">
        <f t="shared" si="13"/>
        <v>60416.666666666664</v>
      </c>
    </row>
    <row r="40" spans="1:22">
      <c r="A40" s="5">
        <f t="shared" si="12"/>
        <v>30</v>
      </c>
      <c r="B40" t="s">
        <v>245</v>
      </c>
      <c r="D40" s="90">
        <v>-151</v>
      </c>
      <c r="E40" s="90">
        <f t="shared" si="10"/>
        <v>151</v>
      </c>
      <c r="F40" s="90">
        <v>0</v>
      </c>
      <c r="G40" s="90"/>
      <c r="H40" s="90"/>
      <c r="I40" s="19"/>
      <c r="J40" s="3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</row>
    <row r="41" spans="1:22">
      <c r="A41" s="5">
        <f t="shared" si="12"/>
        <v>31</v>
      </c>
      <c r="B41" s="17" t="s">
        <v>168</v>
      </c>
      <c r="C41" s="17"/>
      <c r="D41" s="19">
        <v>190130</v>
      </c>
      <c r="E41" s="39">
        <f t="shared" si="10"/>
        <v>-190130</v>
      </c>
      <c r="F41" s="19">
        <v>0</v>
      </c>
      <c r="G41" s="19"/>
      <c r="H41" s="19">
        <v>152</v>
      </c>
      <c r="I41" s="95" t="s">
        <v>132</v>
      </c>
      <c r="J41" s="3">
        <f>SUM(K41:V41)/1000</f>
        <v>0</v>
      </c>
    </row>
    <row r="42" spans="1:22">
      <c r="A42" s="5">
        <f>A41+1</f>
        <v>32</v>
      </c>
      <c r="B42" t="s">
        <v>14</v>
      </c>
      <c r="D42" s="106">
        <f>SUM(D37:D41)</f>
        <v>191237</v>
      </c>
      <c r="E42" s="19">
        <f t="shared" si="10"/>
        <v>-189410</v>
      </c>
      <c r="F42" s="21">
        <f>SUM(F37:F41)</f>
        <v>1827</v>
      </c>
      <c r="G42" s="19"/>
      <c r="H42" s="19"/>
      <c r="I42" s="19"/>
      <c r="J42" s="3"/>
    </row>
    <row r="43" spans="1:22">
      <c r="A43" s="5"/>
      <c r="D43" s="19"/>
      <c r="E43" s="19"/>
      <c r="F43" s="19"/>
      <c r="G43" s="19"/>
      <c r="H43" s="19"/>
      <c r="I43" s="19"/>
      <c r="J43" s="3"/>
    </row>
    <row r="44" spans="1:22">
      <c r="A44" s="5"/>
      <c r="B44" s="7" t="s">
        <v>51</v>
      </c>
      <c r="D44" s="19"/>
      <c r="E44" s="19"/>
      <c r="F44" s="19"/>
      <c r="G44" s="19"/>
      <c r="H44" s="19">
        <v>78</v>
      </c>
      <c r="I44" s="19"/>
      <c r="J44" s="3"/>
    </row>
    <row r="45" spans="1:22">
      <c r="A45" s="5">
        <f>A42+1</f>
        <v>33</v>
      </c>
      <c r="B45" t="s">
        <v>49</v>
      </c>
      <c r="C45" s="13"/>
      <c r="D45" s="19">
        <v>11448</v>
      </c>
      <c r="E45" s="19">
        <f>F45-D45</f>
        <v>-1278.6391164302822</v>
      </c>
      <c r="F45" s="90">
        <f>'WGJ-4'!C27/1000</f>
        <v>10169.360883569718</v>
      </c>
      <c r="G45" s="90"/>
      <c r="H45" s="91">
        <v>0</v>
      </c>
      <c r="I45" s="95" t="s">
        <v>131</v>
      </c>
      <c r="J45" s="3">
        <f>SUM(K45:V45)/1000</f>
        <v>10169.360883569718</v>
      </c>
      <c r="K45" s="25">
        <f>'WGJ-4'!D27</f>
        <v>963815.9960065569</v>
      </c>
      <c r="L45" s="25">
        <f>'WGJ-4'!E27</f>
        <v>894199.94768415182</v>
      </c>
      <c r="M45" s="25">
        <f>'WGJ-4'!F27</f>
        <v>947054.38058035716</v>
      </c>
      <c r="N45" s="25">
        <f>'WGJ-4'!G27</f>
        <v>654169.46155003144</v>
      </c>
      <c r="O45" s="25">
        <f>'WGJ-4'!H27</f>
        <v>522714.47281837458</v>
      </c>
      <c r="P45" s="25">
        <f>'WGJ-4'!I27</f>
        <v>354159.44126674108</v>
      </c>
      <c r="Q45" s="25">
        <f>'WGJ-4'!J27</f>
        <v>871123.0355398996</v>
      </c>
      <c r="R45" s="25">
        <f>'WGJ-4'!K27</f>
        <v>995610.69248744426</v>
      </c>
      <c r="S45" s="25">
        <f>'WGJ-4'!L27</f>
        <v>975885.25390625</v>
      </c>
      <c r="T45" s="25">
        <f>'WGJ-4'!M27</f>
        <v>1007090.4636928013</v>
      </c>
      <c r="U45" s="25">
        <f>'WGJ-4'!N27</f>
        <v>977114.80189732136</v>
      </c>
      <c r="V45" s="25">
        <f>'WGJ-4'!O27</f>
        <v>1006422.9361397879</v>
      </c>
    </row>
    <row r="46" spans="1:22">
      <c r="A46" s="5">
        <f>A45+1</f>
        <v>34</v>
      </c>
      <c r="B46" t="s">
        <v>192</v>
      </c>
      <c r="C46" s="13"/>
      <c r="D46" s="22">
        <v>20</v>
      </c>
      <c r="E46" s="19">
        <f>F46-D46</f>
        <v>0</v>
      </c>
      <c r="F46" s="19">
        <v>20</v>
      </c>
      <c r="G46" s="19"/>
      <c r="H46" s="19">
        <v>78</v>
      </c>
      <c r="I46" s="19"/>
      <c r="J46" s="3">
        <f>SUM(K46:V46)/1000</f>
        <v>19.852</v>
      </c>
      <c r="K46">
        <v>-696</v>
      </c>
      <c r="L46">
        <v>1293</v>
      </c>
      <c r="M46">
        <v>6213</v>
      </c>
      <c r="N46">
        <v>1903</v>
      </c>
      <c r="O46">
        <v>326</v>
      </c>
      <c r="P46">
        <v>9418</v>
      </c>
      <c r="Q46">
        <v>6488</v>
      </c>
      <c r="R46">
        <v>169</v>
      </c>
      <c r="S46">
        <v>-6707</v>
      </c>
      <c r="T46">
        <v>395</v>
      </c>
      <c r="U46">
        <v>1406</v>
      </c>
      <c r="V46">
        <v>-356</v>
      </c>
    </row>
    <row r="47" spans="1:22">
      <c r="A47" s="5">
        <f>A46+1</f>
        <v>35</v>
      </c>
      <c r="B47" s="12" t="s">
        <v>50</v>
      </c>
      <c r="C47" s="11"/>
      <c r="D47" s="19">
        <v>17623</v>
      </c>
      <c r="E47" s="19">
        <f>F47-D47</f>
        <v>3175.2224790300643</v>
      </c>
      <c r="F47" s="90">
        <f>'WGJ-4'!C23/1000</f>
        <v>20798.222479030064</v>
      </c>
      <c r="G47" s="90"/>
      <c r="H47" s="90"/>
      <c r="I47" s="95" t="s">
        <v>131</v>
      </c>
      <c r="J47" s="3">
        <f>SUM(K47:V47)/1000</f>
        <v>20798.222479030064</v>
      </c>
      <c r="K47" s="82">
        <f>'WGJ-4'!D23</f>
        <v>1834179.3683733258</v>
      </c>
      <c r="L47" s="82">
        <f>'WGJ-4'!E23</f>
        <v>1772847.9056222097</v>
      </c>
      <c r="M47" s="82">
        <f>'WGJ-4'!F23</f>
        <v>1846499.5178222656</v>
      </c>
      <c r="N47" s="82">
        <f>'WGJ-4'!G23</f>
        <v>1395725.6367274693</v>
      </c>
      <c r="O47" s="82">
        <f>'WGJ-4'!H23</f>
        <v>1224995.2784946987</v>
      </c>
      <c r="P47" s="82">
        <f>'WGJ-4'!I23</f>
        <v>1151422.578212193</v>
      </c>
      <c r="Q47" s="82">
        <f>'WGJ-4'!J23</f>
        <v>1841935.4553222656</v>
      </c>
      <c r="R47" s="82">
        <f>'WGJ-4'!K23</f>
        <v>1942939.3362862722</v>
      </c>
      <c r="S47" s="82">
        <f>'WGJ-4'!L23</f>
        <v>1914200.2825055805</v>
      </c>
      <c r="T47" s="82">
        <f>'WGJ-4'!M23</f>
        <v>1979758.6382184708</v>
      </c>
      <c r="U47" s="82">
        <f>'WGJ-4'!N23</f>
        <v>1928216.9154575893</v>
      </c>
      <c r="V47" s="82">
        <f>'WGJ-4'!O23</f>
        <v>1965501.5659877234</v>
      </c>
    </row>
    <row r="48" spans="1:22">
      <c r="A48" s="5">
        <f>A47+1</f>
        <v>36</v>
      </c>
      <c r="B48" s="17" t="s">
        <v>218</v>
      </c>
      <c r="C48" s="40"/>
      <c r="D48" s="41">
        <v>294</v>
      </c>
      <c r="E48" s="39">
        <f>F48-D48</f>
        <v>0</v>
      </c>
      <c r="F48" s="91">
        <v>294</v>
      </c>
      <c r="G48" s="19" t="s">
        <v>173</v>
      </c>
      <c r="H48" s="19"/>
      <c r="I48" s="19"/>
      <c r="J48" s="3">
        <f>SUM(K48:V48)/1000</f>
        <v>294.09699999999998</v>
      </c>
      <c r="K48" s="107">
        <v>22948</v>
      </c>
      <c r="L48" s="107">
        <v>26753</v>
      </c>
      <c r="M48" s="107">
        <v>13344</v>
      </c>
      <c r="N48" s="107">
        <v>599</v>
      </c>
      <c r="O48" s="107">
        <v>1941</v>
      </c>
      <c r="P48" s="107">
        <v>3354</v>
      </c>
      <c r="Q48" s="107">
        <v>64364</v>
      </c>
      <c r="R48" s="107">
        <v>40590</v>
      </c>
      <c r="S48" s="107">
        <v>35155</v>
      </c>
      <c r="T48" s="107">
        <v>48328</v>
      </c>
      <c r="U48" s="107">
        <v>940</v>
      </c>
      <c r="V48" s="107">
        <v>35781</v>
      </c>
    </row>
    <row r="49" spans="1:22">
      <c r="A49" s="11">
        <f>A48+1</f>
        <v>37</v>
      </c>
      <c r="B49" t="s">
        <v>23</v>
      </c>
      <c r="D49" s="90">
        <f>SUM(D45:D48)</f>
        <v>29385</v>
      </c>
      <c r="E49" s="19">
        <f>F49-D49</f>
        <v>1896.5833625997839</v>
      </c>
      <c r="F49" s="19">
        <f>SUM(F45:F48)</f>
        <v>31281.583362599784</v>
      </c>
      <c r="G49" s="19"/>
      <c r="H49" s="19">
        <v>8095.4688974966612</v>
      </c>
      <c r="I49" s="19"/>
      <c r="J49" s="3">
        <f>SUM(K49:V49)/1000</f>
        <v>31281.532362599784</v>
      </c>
      <c r="K49" s="25">
        <f>SUM(K45:K48)</f>
        <v>2820247.3643798828</v>
      </c>
      <c r="L49" s="25">
        <f t="shared" ref="L49:V49" si="14">SUM(L45:L48)</f>
        <v>2695093.8533063615</v>
      </c>
      <c r="M49" s="25">
        <f t="shared" si="14"/>
        <v>2813110.8984026229</v>
      </c>
      <c r="N49" s="25">
        <f t="shared" si="14"/>
        <v>2052397.0982775008</v>
      </c>
      <c r="O49" s="25">
        <f t="shared" si="14"/>
        <v>1749976.7513130733</v>
      </c>
      <c r="P49" s="25">
        <f t="shared" si="14"/>
        <v>1518354.0194789341</v>
      </c>
      <c r="Q49" s="25">
        <f t="shared" si="14"/>
        <v>2783910.4908621651</v>
      </c>
      <c r="R49" s="25">
        <f t="shared" si="14"/>
        <v>2979309.0287737167</v>
      </c>
      <c r="S49" s="25">
        <f t="shared" si="14"/>
        <v>2918533.5364118302</v>
      </c>
      <c r="T49" s="25">
        <f t="shared" si="14"/>
        <v>3035572.1019112719</v>
      </c>
      <c r="U49" s="25">
        <f t="shared" si="14"/>
        <v>2907677.7173549104</v>
      </c>
      <c r="V49" s="25">
        <f t="shared" si="14"/>
        <v>3007349.5021275114</v>
      </c>
    </row>
    <row r="50" spans="1:22">
      <c r="A50" s="5"/>
      <c r="D50" s="19"/>
      <c r="E50" s="19"/>
      <c r="F50" s="19"/>
      <c r="G50" s="19"/>
      <c r="H50" s="19">
        <v>0</v>
      </c>
      <c r="I50" s="19"/>
      <c r="J50" s="3"/>
    </row>
    <row r="51" spans="1:22">
      <c r="A51" s="5"/>
      <c r="B51" s="7" t="s">
        <v>52</v>
      </c>
      <c r="D51" s="19"/>
      <c r="E51" s="19"/>
      <c r="F51" s="19"/>
      <c r="G51" s="19"/>
      <c r="H51" s="19">
        <v>10682.990036010742</v>
      </c>
      <c r="I51" s="19"/>
      <c r="J51" s="3"/>
    </row>
    <row r="52" spans="1:22">
      <c r="A52" s="5">
        <f>A49+1</f>
        <v>38</v>
      </c>
      <c r="B52" s="16" t="s">
        <v>62</v>
      </c>
      <c r="D52" s="90">
        <v>18449</v>
      </c>
      <c r="E52" s="19">
        <f t="shared" ref="E52:E63" si="15">F52-D52</f>
        <v>23785.723279354519</v>
      </c>
      <c r="F52" s="90">
        <f>'WGJ-4'!C31/1000</f>
        <v>42234.723279354519</v>
      </c>
      <c r="G52" s="90"/>
      <c r="H52" s="91">
        <v>188</v>
      </c>
      <c r="I52" s="95" t="s">
        <v>131</v>
      </c>
      <c r="J52" s="3">
        <f t="shared" ref="J52:J63" si="16">SUM(K52:V52)/1000</f>
        <v>42234.723279354519</v>
      </c>
      <c r="K52" s="25">
        <f>'WGJ-4'!D31</f>
        <v>3875539.3534718384</v>
      </c>
      <c r="L52" s="25">
        <f>'WGJ-4'!E31</f>
        <v>3815750.958151063</v>
      </c>
      <c r="M52" s="25">
        <f>'WGJ-4'!F31</f>
        <v>3532699.3769974946</v>
      </c>
      <c r="N52" s="25">
        <f>'WGJ-4'!G31</f>
        <v>1909343.8290417437</v>
      </c>
      <c r="O52" s="25">
        <f>'WGJ-4'!H31</f>
        <v>1245117.7305604243</v>
      </c>
      <c r="P52" s="25">
        <f>'WGJ-4'!I31</f>
        <v>1022953.6341623703</v>
      </c>
      <c r="Q52" s="25">
        <f>'WGJ-4'!J31</f>
        <v>3216518.5228485712</v>
      </c>
      <c r="R52" s="25">
        <f>'WGJ-4'!K31</f>
        <v>4204743.1753860274</v>
      </c>
      <c r="S52" s="25">
        <f>'WGJ-4'!L31</f>
        <v>4360692.1442923192</v>
      </c>
      <c r="T52" s="25">
        <f>'WGJ-4'!M31</f>
        <v>4662107.9025346963</v>
      </c>
      <c r="U52" s="25">
        <f>'WGJ-4'!N31</f>
        <v>4955841.9232941289</v>
      </c>
      <c r="V52" s="25">
        <f>'WGJ-4'!O31</f>
        <v>5433414.7286138386</v>
      </c>
    </row>
    <row r="53" spans="1:22">
      <c r="A53" s="5">
        <f>A52+1</f>
        <v>39</v>
      </c>
      <c r="B53" s="16" t="s">
        <v>201</v>
      </c>
      <c r="D53" s="90">
        <v>7228</v>
      </c>
      <c r="E53" s="19">
        <f t="shared" si="15"/>
        <v>-14</v>
      </c>
      <c r="F53" s="90">
        <v>7214</v>
      </c>
      <c r="G53" s="19"/>
      <c r="H53" s="19">
        <v>18966.458933507405</v>
      </c>
      <c r="I53" s="19"/>
      <c r="J53" s="3">
        <f t="shared" si="16"/>
        <v>7214.4480000000003</v>
      </c>
      <c r="K53" s="83">
        <v>601204</v>
      </c>
      <c r="L53" s="83">
        <v>601204</v>
      </c>
      <c r="M53" s="83">
        <v>601204</v>
      </c>
      <c r="N53" s="83">
        <v>601204</v>
      </c>
      <c r="O53" s="83">
        <v>601204</v>
      </c>
      <c r="P53" s="83">
        <v>601204</v>
      </c>
      <c r="Q53" s="83">
        <v>601204</v>
      </c>
      <c r="R53" s="83">
        <v>601204</v>
      </c>
      <c r="S53" s="83">
        <v>601204</v>
      </c>
      <c r="T53" s="83">
        <v>601204</v>
      </c>
      <c r="U53" s="83">
        <v>601204</v>
      </c>
      <c r="V53" s="83">
        <v>601204</v>
      </c>
    </row>
    <row r="54" spans="1:22">
      <c r="A54" s="5">
        <f t="shared" ref="A54:A64" si="17">A53+1</f>
        <v>40</v>
      </c>
      <c r="B54" s="16" t="s">
        <v>185</v>
      </c>
      <c r="D54" s="90">
        <v>22845</v>
      </c>
      <c r="E54" s="19">
        <f t="shared" si="15"/>
        <v>16899.344240504812</v>
      </c>
      <c r="F54" s="90">
        <f>'WGJ-4'!C35/1000</f>
        <v>39744.344240504812</v>
      </c>
      <c r="G54" s="19"/>
      <c r="H54" s="19"/>
      <c r="I54" s="19"/>
      <c r="J54" s="3">
        <f t="shared" si="16"/>
        <v>39744.344240504812</v>
      </c>
      <c r="K54" s="83">
        <f>'WGJ-4'!D35</f>
        <v>3910431.359141944</v>
      </c>
      <c r="L54" s="83">
        <f>'WGJ-4'!E35</f>
        <v>3737893.7312045204</v>
      </c>
      <c r="M54" s="83">
        <f>'WGJ-4'!F35</f>
        <v>3581166.0924465768</v>
      </c>
      <c r="N54" s="83">
        <f>'WGJ-4'!G35</f>
        <v>2060966.9692113989</v>
      </c>
      <c r="O54" s="83">
        <f>'WGJ-4'!H35</f>
        <v>750799.43334880506</v>
      </c>
      <c r="P54" s="83">
        <f>'WGJ-4'!I35</f>
        <v>682630.28417382541</v>
      </c>
      <c r="Q54" s="83">
        <f>'WGJ-4'!J35</f>
        <v>2918682.6171474643</v>
      </c>
      <c r="R54" s="83">
        <f>'WGJ-4'!K35</f>
        <v>3646191.5114701316</v>
      </c>
      <c r="S54" s="83">
        <f>'WGJ-4'!L35</f>
        <v>4042885.7482400071</v>
      </c>
      <c r="T54" s="83">
        <f>'WGJ-4'!M35</f>
        <v>4478957.1574681867</v>
      </c>
      <c r="U54" s="83">
        <f>'WGJ-4'!N35</f>
        <v>4800076.6666613547</v>
      </c>
      <c r="V54" s="83">
        <f>'WGJ-4'!O35</f>
        <v>5133662.6699905982</v>
      </c>
    </row>
    <row r="55" spans="1:22">
      <c r="A55" s="5">
        <f t="shared" si="17"/>
        <v>41</v>
      </c>
      <c r="B55" s="16" t="s">
        <v>200</v>
      </c>
      <c r="D55" s="90">
        <v>5537</v>
      </c>
      <c r="E55" s="19">
        <f t="shared" si="15"/>
        <v>614</v>
      </c>
      <c r="F55" s="90">
        <v>6151</v>
      </c>
      <c r="G55" s="19"/>
      <c r="H55" s="19"/>
      <c r="I55" s="19"/>
      <c r="J55" s="3">
        <f t="shared" si="16"/>
        <v>6150.732</v>
      </c>
      <c r="K55" s="83">
        <v>512561</v>
      </c>
      <c r="L55" s="83">
        <v>512561</v>
      </c>
      <c r="M55" s="83">
        <v>512561</v>
      </c>
      <c r="N55" s="83">
        <v>512561</v>
      </c>
      <c r="O55" s="83">
        <v>512561</v>
      </c>
      <c r="P55" s="83">
        <v>512561</v>
      </c>
      <c r="Q55" s="83">
        <v>512561</v>
      </c>
      <c r="R55" s="83">
        <v>512561</v>
      </c>
      <c r="S55" s="83">
        <v>512561</v>
      </c>
      <c r="T55" s="83">
        <v>512561</v>
      </c>
      <c r="U55" s="83">
        <v>512561</v>
      </c>
      <c r="V55" s="83">
        <v>512561</v>
      </c>
    </row>
    <row r="56" spans="1:22">
      <c r="A56" s="5">
        <f t="shared" si="17"/>
        <v>42</v>
      </c>
      <c r="B56" t="s">
        <v>240</v>
      </c>
      <c r="D56" s="90">
        <v>0</v>
      </c>
      <c r="E56" s="19">
        <f t="shared" si="15"/>
        <v>-3174</v>
      </c>
      <c r="F56" s="130">
        <v>-3174</v>
      </c>
      <c r="G56" s="19"/>
      <c r="H56" s="19"/>
      <c r="I56" s="19"/>
      <c r="J56" s="3">
        <f t="shared" si="16"/>
        <v>-3174.3856147423526</v>
      </c>
      <c r="K56" s="83">
        <v>-355452.72537185671</v>
      </c>
      <c r="L56" s="83">
        <v>-274724.8716769407</v>
      </c>
      <c r="M56" s="83">
        <v>-307377.33500198345</v>
      </c>
      <c r="N56" s="83">
        <v>-203728.28704376199</v>
      </c>
      <c r="O56" s="83">
        <v>-238066.87143424965</v>
      </c>
      <c r="P56" s="83">
        <v>-283362.1783401487</v>
      </c>
      <c r="Q56" s="83">
        <v>-300933.83232215862</v>
      </c>
      <c r="R56" s="83">
        <v>-363085.02183059673</v>
      </c>
      <c r="S56" s="83">
        <v>-259422.56063003518</v>
      </c>
      <c r="T56" s="83">
        <v>-211416.77214912392</v>
      </c>
      <c r="U56" s="83">
        <v>-143324.15347595193</v>
      </c>
      <c r="V56" s="83">
        <v>-233491.00546554543</v>
      </c>
    </row>
    <row r="57" spans="1:22">
      <c r="A57" s="5">
        <f t="shared" si="17"/>
        <v>43</v>
      </c>
      <c r="B57" t="s">
        <v>208</v>
      </c>
      <c r="D57" s="90">
        <v>0</v>
      </c>
      <c r="E57" s="19">
        <f t="shared" si="15"/>
        <v>355</v>
      </c>
      <c r="F57" s="130">
        <v>355</v>
      </c>
      <c r="G57" s="19"/>
      <c r="H57" s="19"/>
      <c r="I57" s="19"/>
      <c r="J57" s="3">
        <f t="shared" si="16"/>
        <v>354.90567603111117</v>
      </c>
      <c r="K57" s="83">
        <v>406330.86314024247</v>
      </c>
      <c r="L57" s="83">
        <v>367008.52154602541</v>
      </c>
      <c r="M57" s="83">
        <v>406330.86314024247</v>
      </c>
      <c r="N57" s="83">
        <v>-116965.88739238385</v>
      </c>
      <c r="O57" s="83">
        <v>-120864.75030546331</v>
      </c>
      <c r="P57" s="83">
        <v>-116965.88739238385</v>
      </c>
      <c r="Q57" s="83">
        <v>-70320.104880952174</v>
      </c>
      <c r="R57" s="83">
        <v>-70320.104880952174</v>
      </c>
      <c r="S57" s="83">
        <v>-68051.714400921453</v>
      </c>
      <c r="T57" s="83">
        <v>-88038.693465354518</v>
      </c>
      <c r="U57" s="83">
        <v>-85198.735611633412</v>
      </c>
      <c r="V57" s="83">
        <v>-88038.693465354518</v>
      </c>
    </row>
    <row r="58" spans="1:22">
      <c r="A58" s="5">
        <f t="shared" si="17"/>
        <v>44</v>
      </c>
      <c r="B58" t="s">
        <v>207</v>
      </c>
      <c r="D58" s="90">
        <v>0</v>
      </c>
      <c r="E58" s="19">
        <f t="shared" si="15"/>
        <v>-1007</v>
      </c>
      <c r="F58" s="130">
        <v>-1007</v>
      </c>
      <c r="G58" s="19"/>
      <c r="H58" s="19"/>
      <c r="I58" s="19"/>
      <c r="J58" s="3">
        <f t="shared" si="16"/>
        <v>-1006.5832191944135</v>
      </c>
      <c r="K58" s="83">
        <v>-32747.250305463407</v>
      </c>
      <c r="L58" s="83">
        <v>-29578.161566225033</v>
      </c>
      <c r="M58" s="83">
        <v>-32747.250305463407</v>
      </c>
      <c r="N58" s="83">
        <v>-129091.73669281026</v>
      </c>
      <c r="O58" s="83">
        <v>-133394.79458257061</v>
      </c>
      <c r="P58" s="83">
        <v>-129091.73669281026</v>
      </c>
      <c r="Q58" s="83">
        <v>-5670.4594564409781</v>
      </c>
      <c r="R58" s="83">
        <v>-5670.4594564409781</v>
      </c>
      <c r="S58" s="83">
        <v>-5487.5414094589796</v>
      </c>
      <c r="T58" s="83">
        <v>-169524.11620139799</v>
      </c>
      <c r="U58" s="83">
        <v>-164055.5963239336</v>
      </c>
      <c r="V58" s="83">
        <v>-169524.11620139799</v>
      </c>
    </row>
    <row r="59" spans="1:22">
      <c r="A59" s="5">
        <f t="shared" si="17"/>
        <v>45</v>
      </c>
      <c r="B59" t="s">
        <v>216</v>
      </c>
      <c r="D59" s="90">
        <v>24</v>
      </c>
      <c r="E59" s="19">
        <f t="shared" si="15"/>
        <v>0</v>
      </c>
      <c r="F59" s="130">
        <v>24</v>
      </c>
      <c r="G59" s="19"/>
      <c r="H59" s="19"/>
      <c r="I59" s="19"/>
      <c r="J59" s="3">
        <f t="shared" si="16"/>
        <v>23.888000000000002</v>
      </c>
      <c r="K59" s="132">
        <v>216</v>
      </c>
      <c r="L59" s="132">
        <v>736</v>
      </c>
      <c r="M59" s="132">
        <v>2601</v>
      </c>
      <c r="N59" s="132">
        <v>1560</v>
      </c>
      <c r="O59" s="132">
        <v>2949</v>
      </c>
      <c r="P59" s="132">
        <v>3396</v>
      </c>
      <c r="Q59" s="132">
        <v>2919</v>
      </c>
      <c r="R59" s="132">
        <v>4479</v>
      </c>
      <c r="S59" s="132">
        <v>76</v>
      </c>
      <c r="T59" s="132">
        <v>51</v>
      </c>
      <c r="U59" s="132">
        <v>1626</v>
      </c>
      <c r="V59" s="132">
        <v>3279</v>
      </c>
    </row>
    <row r="60" spans="1:22">
      <c r="A60" s="5">
        <f t="shared" si="17"/>
        <v>46</v>
      </c>
      <c r="B60" s="12" t="s">
        <v>66</v>
      </c>
      <c r="C60" s="12"/>
      <c r="D60" s="19">
        <v>424</v>
      </c>
      <c r="E60" s="19">
        <f t="shared" si="15"/>
        <v>289.57006530037779</v>
      </c>
      <c r="F60" s="90">
        <f>'WGJ-4'!C47/1000</f>
        <v>713.57006530037779</v>
      </c>
      <c r="G60" s="90"/>
      <c r="H60" s="90"/>
      <c r="I60" s="95" t="s">
        <v>131</v>
      </c>
      <c r="J60" s="3">
        <f t="shared" si="16"/>
        <v>713.57006530037779</v>
      </c>
      <c r="K60" s="25">
        <f>'WGJ-4'!D47</f>
        <v>206429.94061388288</v>
      </c>
      <c r="L60" s="25">
        <f>'WGJ-4'!E47</f>
        <v>93063.391911302286</v>
      </c>
      <c r="M60" s="25">
        <f>'WGJ-4'!F47</f>
        <v>31509.634618977139</v>
      </c>
      <c r="N60" s="25">
        <f>'WGJ-4'!G47</f>
        <v>78591.467967115139</v>
      </c>
      <c r="O60" s="25">
        <f>'WGJ-4'!H47</f>
        <v>4457.0469568252565</v>
      </c>
      <c r="P60" s="25">
        <f>'WGJ-4'!I47</f>
        <v>0</v>
      </c>
      <c r="Q60" s="25">
        <f>'WGJ-4'!J47</f>
        <v>28378.709043012346</v>
      </c>
      <c r="R60" s="25">
        <f>'WGJ-4'!K47</f>
        <v>94606.666672221254</v>
      </c>
      <c r="S60" s="25">
        <f>'WGJ-4'!L47</f>
        <v>22445.506742644313</v>
      </c>
      <c r="T60" s="25">
        <f>'WGJ-4'!M47</f>
        <v>696.62367095947263</v>
      </c>
      <c r="U60" s="25">
        <f>'WGJ-4'!N47</f>
        <v>71920.633108302529</v>
      </c>
      <c r="V60" s="25">
        <f>'WGJ-4'!O47</f>
        <v>81470.443995135167</v>
      </c>
    </row>
    <row r="61" spans="1:22">
      <c r="A61" s="5">
        <f t="shared" si="17"/>
        <v>47</v>
      </c>
      <c r="B61" t="s">
        <v>65</v>
      </c>
      <c r="D61" s="19">
        <v>26</v>
      </c>
      <c r="E61" s="19">
        <f t="shared" si="15"/>
        <v>-3.8703114059055217</v>
      </c>
      <c r="F61" s="90">
        <f>'WGJ-4'!C51/1000</f>
        <v>22.129688594094478</v>
      </c>
      <c r="G61" s="90" t="s">
        <v>174</v>
      </c>
      <c r="H61" s="90"/>
      <c r="I61" s="95" t="s">
        <v>131</v>
      </c>
      <c r="J61" s="3">
        <f t="shared" si="16"/>
        <v>22.129688594094478</v>
      </c>
      <c r="K61" s="25">
        <f>'WGJ-4'!D51</f>
        <v>2116.0636536012003</v>
      </c>
      <c r="L61" s="25">
        <f>'WGJ-4'!E51</f>
        <v>1410.8646477971758</v>
      </c>
      <c r="M61" s="25">
        <f>'WGJ-4'!F51</f>
        <v>922.53977544605732</v>
      </c>
      <c r="N61" s="25">
        <f>'WGJ-4'!G51</f>
        <v>7626.5407025814056</v>
      </c>
      <c r="O61" s="25">
        <f>'WGJ-4'!H51</f>
        <v>458.0272514905248</v>
      </c>
      <c r="P61" s="25">
        <f>'WGJ-4'!I51</f>
        <v>0</v>
      </c>
      <c r="Q61" s="25">
        <f>'WGJ-4'!J51</f>
        <v>520.31466109412065</v>
      </c>
      <c r="R61" s="25">
        <f>'WGJ-4'!K51</f>
        <v>2099.0028608058183</v>
      </c>
      <c r="S61" s="25">
        <f>'WGJ-4'!L51</f>
        <v>3613.3281138326438</v>
      </c>
      <c r="T61" s="25">
        <f>'WGJ-4'!M51</f>
        <v>215.66736554460866</v>
      </c>
      <c r="U61" s="25">
        <f>'WGJ-4'!N51</f>
        <v>852.72015157554824</v>
      </c>
      <c r="V61" s="25">
        <f>'WGJ-4'!O51</f>
        <v>2294.6194103253742</v>
      </c>
    </row>
    <row r="62" spans="1:22">
      <c r="A62" s="5">
        <f t="shared" si="17"/>
        <v>48</v>
      </c>
      <c r="B62" t="s">
        <v>63</v>
      </c>
      <c r="D62" s="19">
        <v>376</v>
      </c>
      <c r="E62" s="19">
        <f t="shared" si="15"/>
        <v>67.289688892343179</v>
      </c>
      <c r="F62" s="90">
        <f>'WGJ-4'!C39/1000</f>
        <v>443.28968889234318</v>
      </c>
      <c r="G62" s="90"/>
      <c r="H62" s="90">
        <v>59394.366704579188</v>
      </c>
      <c r="I62" s="95" t="s">
        <v>131</v>
      </c>
      <c r="J62" s="3">
        <f t="shared" si="16"/>
        <v>443.28968889234318</v>
      </c>
      <c r="K62" s="25">
        <f>'WGJ-4'!D39</f>
        <v>88058.468965973181</v>
      </c>
      <c r="L62" s="25">
        <f>'WGJ-4'!E39</f>
        <v>78552.302697726656</v>
      </c>
      <c r="M62" s="25">
        <f>'WGJ-4'!F39</f>
        <v>54645.500169481551</v>
      </c>
      <c r="N62" s="25">
        <f>'WGJ-4'!G39</f>
        <v>35164.417523997174</v>
      </c>
      <c r="O62" s="25">
        <f>'WGJ-4'!H39</f>
        <v>19744.061783275432</v>
      </c>
      <c r="P62" s="25">
        <f>'WGJ-4'!I39</f>
        <v>1109.8602665322169</v>
      </c>
      <c r="Q62" s="25">
        <f>'WGJ-4'!J39</f>
        <v>7570.9742897323194</v>
      </c>
      <c r="R62" s="25">
        <f>'WGJ-4'!K39</f>
        <v>19498.969354480505</v>
      </c>
      <c r="S62" s="25">
        <f>'WGJ-4'!L39</f>
        <v>16748.027453252249</v>
      </c>
      <c r="T62" s="25">
        <f>'WGJ-4'!M39</f>
        <v>4445.8107770553661</v>
      </c>
      <c r="U62" s="25">
        <f>'WGJ-4'!N39</f>
        <v>39862.519073486328</v>
      </c>
      <c r="V62" s="25">
        <f>'WGJ-4'!O39</f>
        <v>77888.776537350233</v>
      </c>
    </row>
    <row r="63" spans="1:22">
      <c r="A63" s="5">
        <f t="shared" si="17"/>
        <v>49</v>
      </c>
      <c r="B63" s="105" t="s">
        <v>64</v>
      </c>
      <c r="C63" s="17"/>
      <c r="D63" s="39">
        <v>73</v>
      </c>
      <c r="E63" s="39">
        <f t="shared" si="15"/>
        <v>429.33335291847055</v>
      </c>
      <c r="F63" s="91">
        <f>'WGJ-4'!C43/1000</f>
        <v>502.33335291847055</v>
      </c>
      <c r="G63" s="90"/>
      <c r="H63" s="90">
        <v>6240</v>
      </c>
      <c r="I63" s="95" t="s">
        <v>131</v>
      </c>
      <c r="J63" s="86">
        <f t="shared" si="16"/>
        <v>502.33335291847055</v>
      </c>
      <c r="K63" s="122">
        <f>'WGJ-4'!D43</f>
        <v>65280.7926684618</v>
      </c>
      <c r="L63" s="122">
        <f>'WGJ-4'!E43</f>
        <v>60592.961941446578</v>
      </c>
      <c r="M63" s="122">
        <f>'WGJ-4'!F43</f>
        <v>42739.483268558979</v>
      </c>
      <c r="N63" s="122">
        <f>'WGJ-4'!G43</f>
        <v>42109.918764659335</v>
      </c>
      <c r="O63" s="122">
        <f>'WGJ-4'!H43</f>
        <v>32705.703239994393</v>
      </c>
      <c r="P63" s="122">
        <f>'WGJ-4'!I43</f>
        <v>9314.726682832199</v>
      </c>
      <c r="Q63" s="122">
        <f>'WGJ-4'!J43</f>
        <v>23622.051593235559</v>
      </c>
      <c r="R63" s="122">
        <f>'WGJ-4'!K43</f>
        <v>36698.418739863802</v>
      </c>
      <c r="S63" s="122">
        <f>'WGJ-4'!L43</f>
        <v>37189.398847307479</v>
      </c>
      <c r="T63" s="122">
        <f>'WGJ-4'!M43</f>
        <v>24577.865082877022</v>
      </c>
      <c r="U63" s="122">
        <f>'WGJ-4'!N43</f>
        <v>42800.410951886857</v>
      </c>
      <c r="V63" s="122">
        <f>'WGJ-4'!O43</f>
        <v>84701.621137346534</v>
      </c>
    </row>
    <row r="64" spans="1:22">
      <c r="A64" s="5">
        <f t="shared" si="17"/>
        <v>50</v>
      </c>
      <c r="B64" t="s">
        <v>47</v>
      </c>
      <c r="D64" s="90">
        <f>SUM(D52:D63)</f>
        <v>54982</v>
      </c>
      <c r="E64" s="19">
        <f>F64-D64</f>
        <v>38241.390315564611</v>
      </c>
      <c r="F64" s="19">
        <f>SUM(F52:F63)</f>
        <v>93223.390315564611</v>
      </c>
      <c r="G64" s="19"/>
      <c r="H64" s="19">
        <v>0.11360950271288535</v>
      </c>
      <c r="I64" s="19"/>
      <c r="J64" s="3">
        <f t="shared" ref="J64:V64" si="18">SUM(J52:J63)</f>
        <v>93223.395157658975</v>
      </c>
      <c r="K64" s="25">
        <f t="shared" si="18"/>
        <v>9279967.8659786247</v>
      </c>
      <c r="L64" s="25">
        <f t="shared" si="18"/>
        <v>8964470.6988567151</v>
      </c>
      <c r="M64" s="25">
        <f t="shared" si="18"/>
        <v>8426254.905109331</v>
      </c>
      <c r="N64" s="25">
        <f t="shared" si="18"/>
        <v>4799342.2320825383</v>
      </c>
      <c r="O64" s="25">
        <f t="shared" si="18"/>
        <v>2677669.5868185321</v>
      </c>
      <c r="P64" s="25">
        <f t="shared" si="18"/>
        <v>2303749.7028602171</v>
      </c>
      <c r="Q64" s="25">
        <f t="shared" si="18"/>
        <v>6935052.7929235566</v>
      </c>
      <c r="R64" s="25">
        <f t="shared" si="18"/>
        <v>8683006.1583155412</v>
      </c>
      <c r="S64" s="25">
        <f t="shared" si="18"/>
        <v>9264453.3372489512</v>
      </c>
      <c r="T64" s="25">
        <f t="shared" si="18"/>
        <v>9815837.4450834431</v>
      </c>
      <c r="U64" s="25">
        <f t="shared" si="18"/>
        <v>10634167.387829214</v>
      </c>
      <c r="V64" s="25">
        <f t="shared" si="18"/>
        <v>11439423.044552296</v>
      </c>
    </row>
    <row r="65" spans="1:22">
      <c r="A65" s="5"/>
      <c r="D65" s="19"/>
      <c r="E65" s="19"/>
      <c r="F65" s="19"/>
      <c r="G65" s="19"/>
      <c r="H65" s="19">
        <v>3237.8010523088278</v>
      </c>
      <c r="I65" s="19"/>
      <c r="J65" s="3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</row>
    <row r="66" spans="1:22">
      <c r="A66" s="5"/>
      <c r="D66" s="19"/>
      <c r="E66" s="19"/>
      <c r="F66" s="19"/>
      <c r="G66" s="19"/>
      <c r="H66" s="19">
        <v>592.63582339628294</v>
      </c>
      <c r="I66" s="19"/>
      <c r="J66" s="3"/>
    </row>
    <row r="67" spans="1:22">
      <c r="A67" s="5"/>
      <c r="B67" s="7" t="s">
        <v>11</v>
      </c>
      <c r="D67" s="19"/>
      <c r="E67" s="19" t="s">
        <v>10</v>
      </c>
      <c r="F67" s="19"/>
      <c r="G67" s="19"/>
      <c r="H67" s="39">
        <v>480</v>
      </c>
      <c r="I67" s="19"/>
      <c r="J67" s="3"/>
    </row>
    <row r="68" spans="1:22">
      <c r="A68" s="5">
        <f>A64+1</f>
        <v>51</v>
      </c>
      <c r="B68" t="s">
        <v>6</v>
      </c>
      <c r="C68" s="12"/>
      <c r="D68" s="19">
        <v>789</v>
      </c>
      <c r="E68" s="19">
        <f t="shared" ref="E68:E77" si="19">F68-D68</f>
        <v>15</v>
      </c>
      <c r="F68" s="90">
        <v>804</v>
      </c>
      <c r="G68" s="19"/>
      <c r="H68" s="19">
        <v>70026.232758276092</v>
      </c>
      <c r="I68" s="19"/>
      <c r="J68" s="3">
        <f t="shared" ref="J68:J78" si="20">SUM(K68:V68)/1000</f>
        <v>804.21120000000008</v>
      </c>
      <c r="K68" s="57">
        <v>65728.800000000003</v>
      </c>
      <c r="L68" s="57">
        <v>65728.800000000003</v>
      </c>
      <c r="M68" s="57">
        <v>65728.800000000003</v>
      </c>
      <c r="N68" s="57">
        <v>65728.800000000003</v>
      </c>
      <c r="O68" s="57">
        <v>65728.800000000003</v>
      </c>
      <c r="P68" s="57">
        <v>65728.800000000003</v>
      </c>
      <c r="Q68" s="57">
        <v>65728.800000000003</v>
      </c>
      <c r="R68" s="57">
        <v>65728.800000000003</v>
      </c>
      <c r="S68" s="57">
        <v>65728.800000000003</v>
      </c>
      <c r="T68" s="57">
        <v>70884</v>
      </c>
      <c r="U68" s="57">
        <v>70884</v>
      </c>
      <c r="V68" s="57">
        <v>70884</v>
      </c>
    </row>
    <row r="69" spans="1:22">
      <c r="A69" s="5">
        <f>A68+1</f>
        <v>52</v>
      </c>
      <c r="B69" t="s">
        <v>27</v>
      </c>
      <c r="D69" s="19">
        <v>39</v>
      </c>
      <c r="E69" s="19">
        <f>F69-D69</f>
        <v>-39</v>
      </c>
      <c r="F69" s="92">
        <v>0</v>
      </c>
      <c r="G69" s="22" t="s">
        <v>176</v>
      </c>
      <c r="H69" s="22"/>
      <c r="I69" s="22"/>
      <c r="J69" s="3">
        <f t="shared" si="20"/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</row>
    <row r="70" spans="1:22">
      <c r="A70" s="5">
        <f>A69+1</f>
        <v>53</v>
      </c>
      <c r="B70" t="s">
        <v>121</v>
      </c>
      <c r="D70" s="19">
        <v>172</v>
      </c>
      <c r="E70" s="19">
        <f t="shared" si="19"/>
        <v>0</v>
      </c>
      <c r="F70" s="90">
        <v>172</v>
      </c>
      <c r="G70" s="19"/>
      <c r="H70" s="19"/>
      <c r="I70" s="19"/>
      <c r="J70" s="3">
        <f t="shared" si="20"/>
        <v>172.14784999999978</v>
      </c>
      <c r="K70" s="57">
        <v>7788.1</v>
      </c>
      <c r="L70" s="57">
        <v>1426.8000000000466</v>
      </c>
      <c r="M70" s="57">
        <v>24728.979999999981</v>
      </c>
      <c r="N70" s="57">
        <v>1310.6999999999348</v>
      </c>
      <c r="O70" s="57">
        <v>1694.4399999999348</v>
      </c>
      <c r="P70" s="57">
        <v>0</v>
      </c>
      <c r="Q70" s="57">
        <v>6149.7800000000188</v>
      </c>
      <c r="R70" s="57">
        <v>13374.899999999898</v>
      </c>
      <c r="S70" s="57">
        <v>16591.3299999999</v>
      </c>
      <c r="T70" s="57">
        <v>1983.960000000093</v>
      </c>
      <c r="U70" s="57">
        <v>48337.100000000057</v>
      </c>
      <c r="V70" s="57">
        <v>48761.759999999922</v>
      </c>
    </row>
    <row r="71" spans="1:22">
      <c r="A71" s="5">
        <f t="shared" ref="A71:A78" si="21">A70+1</f>
        <v>54</v>
      </c>
      <c r="B71" t="s">
        <v>237</v>
      </c>
      <c r="D71" s="19">
        <v>12861</v>
      </c>
      <c r="E71" s="19">
        <f t="shared" si="19"/>
        <v>332</v>
      </c>
      <c r="F71" s="90">
        <v>13193</v>
      </c>
      <c r="G71" s="90"/>
      <c r="H71" s="90">
        <v>772</v>
      </c>
      <c r="I71" s="93"/>
      <c r="J71" s="3">
        <f t="shared" si="20"/>
        <v>13193.25</v>
      </c>
      <c r="K71" s="57">
        <v>1077718</v>
      </c>
      <c r="L71" s="57">
        <v>1077718</v>
      </c>
      <c r="M71" s="57">
        <v>1077718</v>
      </c>
      <c r="N71" s="57">
        <v>1077718</v>
      </c>
      <c r="O71" s="57">
        <v>1077718</v>
      </c>
      <c r="P71" s="57">
        <v>1077718</v>
      </c>
      <c r="Q71" s="57">
        <v>1077718</v>
      </c>
      <c r="R71" s="57">
        <v>1077718</v>
      </c>
      <c r="S71" s="57">
        <v>1077718</v>
      </c>
      <c r="T71" s="57">
        <v>1164596</v>
      </c>
      <c r="U71" s="57">
        <v>1164596</v>
      </c>
      <c r="V71" s="57">
        <v>1164596</v>
      </c>
    </row>
    <row r="72" spans="1:22">
      <c r="A72" s="5">
        <f t="shared" si="21"/>
        <v>55</v>
      </c>
      <c r="B72" t="s">
        <v>25</v>
      </c>
      <c r="D72" s="19">
        <v>1257</v>
      </c>
      <c r="E72" s="19">
        <f t="shared" si="19"/>
        <v>251</v>
      </c>
      <c r="F72" s="90">
        <v>1508</v>
      </c>
      <c r="G72" s="19" t="s">
        <v>175</v>
      </c>
      <c r="H72" s="19">
        <v>49</v>
      </c>
      <c r="I72" s="19"/>
      <c r="J72" s="3">
        <f t="shared" si="20"/>
        <v>1507.7159999999999</v>
      </c>
      <c r="K72" s="57">
        <v>125643</v>
      </c>
      <c r="L72" s="57">
        <v>125643</v>
      </c>
      <c r="M72" s="57">
        <v>125643</v>
      </c>
      <c r="N72" s="57">
        <v>125643</v>
      </c>
      <c r="O72" s="57">
        <v>125643</v>
      </c>
      <c r="P72" s="57">
        <v>125643</v>
      </c>
      <c r="Q72" s="57">
        <v>125643</v>
      </c>
      <c r="R72" s="57">
        <v>125643</v>
      </c>
      <c r="S72" s="57">
        <v>125643</v>
      </c>
      <c r="T72" s="57">
        <v>125643</v>
      </c>
      <c r="U72" s="57">
        <v>125643</v>
      </c>
      <c r="V72" s="57">
        <v>125643</v>
      </c>
    </row>
    <row r="73" spans="1:22">
      <c r="A73" s="5">
        <f t="shared" si="21"/>
        <v>56</v>
      </c>
      <c r="B73" t="s">
        <v>100</v>
      </c>
      <c r="D73" s="19">
        <v>1237</v>
      </c>
      <c r="E73" s="19">
        <f t="shared" si="19"/>
        <v>10</v>
      </c>
      <c r="F73" s="90">
        <v>1247</v>
      </c>
      <c r="G73" s="95"/>
      <c r="H73" s="19">
        <v>348</v>
      </c>
      <c r="I73" s="19"/>
      <c r="J73" s="3">
        <f t="shared" si="20"/>
        <v>1246.7333678000002</v>
      </c>
      <c r="K73" s="57">
        <v>151344</v>
      </c>
      <c r="L73" s="57">
        <v>100270</v>
      </c>
      <c r="M73" s="57">
        <v>116251</v>
      </c>
      <c r="N73" s="57">
        <v>104499</v>
      </c>
      <c r="O73" s="57">
        <v>87002</v>
      </c>
      <c r="P73" s="57">
        <v>59057</v>
      </c>
      <c r="Q73" s="57">
        <v>84927</v>
      </c>
      <c r="R73" s="57">
        <v>91954</v>
      </c>
      <c r="S73" s="57">
        <v>103762</v>
      </c>
      <c r="T73" s="57">
        <v>83722.621899999998</v>
      </c>
      <c r="U73" s="57">
        <v>150649.48019999999</v>
      </c>
      <c r="V73" s="57">
        <v>113295.26569999999</v>
      </c>
    </row>
    <row r="74" spans="1:22">
      <c r="A74" s="5">
        <f t="shared" si="21"/>
        <v>57</v>
      </c>
      <c r="B74" t="s">
        <v>99</v>
      </c>
      <c r="D74" s="19">
        <v>45</v>
      </c>
      <c r="E74" s="19">
        <f t="shared" si="19"/>
        <v>0</v>
      </c>
      <c r="F74" s="90">
        <v>45</v>
      </c>
      <c r="G74" s="19"/>
      <c r="H74" s="19">
        <v>8315</v>
      </c>
      <c r="I74" s="19"/>
      <c r="J74" s="3">
        <f t="shared" si="20"/>
        <v>45.222000000000001</v>
      </c>
      <c r="K74" s="57">
        <v>3768.5</v>
      </c>
      <c r="L74" s="57">
        <v>3768.5</v>
      </c>
      <c r="M74" s="57">
        <v>3768.5</v>
      </c>
      <c r="N74" s="57">
        <v>3768.5</v>
      </c>
      <c r="O74" s="57">
        <v>3768.5</v>
      </c>
      <c r="P74" s="57">
        <v>3768.5</v>
      </c>
      <c r="Q74" s="57">
        <v>3768.5</v>
      </c>
      <c r="R74" s="57">
        <v>3768.5</v>
      </c>
      <c r="S74" s="57">
        <v>3768.5</v>
      </c>
      <c r="T74" s="57">
        <v>3768.5</v>
      </c>
      <c r="U74" s="57">
        <v>3768.5</v>
      </c>
      <c r="V74" s="57">
        <v>3768.5</v>
      </c>
    </row>
    <row r="75" spans="1:22">
      <c r="A75" s="5">
        <f t="shared" si="21"/>
        <v>58</v>
      </c>
      <c r="B75" t="s">
        <v>134</v>
      </c>
      <c r="D75" s="19">
        <v>136</v>
      </c>
      <c r="E75" s="19">
        <f t="shared" si="19"/>
        <v>0</v>
      </c>
      <c r="F75" s="90">
        <v>136</v>
      </c>
      <c r="G75" s="19"/>
      <c r="H75" s="19">
        <v>1245</v>
      </c>
      <c r="I75" s="19"/>
      <c r="J75" s="3">
        <f t="shared" si="20"/>
        <v>135.88393999999997</v>
      </c>
      <c r="K75" s="57">
        <v>11126.4</v>
      </c>
      <c r="L75" s="57">
        <v>11126.4</v>
      </c>
      <c r="M75" s="57">
        <v>13493.539999999999</v>
      </c>
      <c r="N75" s="57">
        <v>11126.4</v>
      </c>
      <c r="O75" s="57">
        <v>11126.4</v>
      </c>
      <c r="P75" s="57">
        <v>11126.4</v>
      </c>
      <c r="Q75" s="57">
        <v>11126.4</v>
      </c>
      <c r="R75" s="57">
        <v>11126.4</v>
      </c>
      <c r="S75" s="57">
        <v>11126.4</v>
      </c>
      <c r="T75" s="57">
        <v>11126.4</v>
      </c>
      <c r="U75" s="57">
        <v>11126.4</v>
      </c>
      <c r="V75" s="57">
        <v>11126.4</v>
      </c>
    </row>
    <row r="76" spans="1:22">
      <c r="A76" s="5">
        <f t="shared" si="21"/>
        <v>59</v>
      </c>
      <c r="B76" t="s">
        <v>238</v>
      </c>
      <c r="C76" s="12"/>
      <c r="D76" s="19">
        <v>311</v>
      </c>
      <c r="E76" s="19">
        <f t="shared" si="19"/>
        <v>0</v>
      </c>
      <c r="F76" s="90">
        <v>311</v>
      </c>
      <c r="G76" s="19"/>
      <c r="H76" s="19">
        <v>1689</v>
      </c>
      <c r="I76" s="19"/>
      <c r="J76" s="3">
        <f t="shared" si="20"/>
        <v>310.56539999999995</v>
      </c>
      <c r="K76" s="57">
        <v>23661.85</v>
      </c>
      <c r="L76" s="57">
        <v>26118.36</v>
      </c>
      <c r="M76" s="57">
        <v>27824.329999999998</v>
      </c>
      <c r="N76" s="57">
        <v>161.28</v>
      </c>
      <c r="O76" s="57">
        <v>4.5599999999999996</v>
      </c>
      <c r="P76" s="57">
        <v>127.67999999999999</v>
      </c>
      <c r="Q76" s="57">
        <v>12530.880000000001</v>
      </c>
      <c r="R76" s="57">
        <v>46151.759999999995</v>
      </c>
      <c r="S76" s="57">
        <v>34242.720000000001</v>
      </c>
      <c r="T76" s="57">
        <v>41426.94</v>
      </c>
      <c r="U76" s="57">
        <v>45600.17</v>
      </c>
      <c r="V76" s="57">
        <v>52714.87</v>
      </c>
    </row>
    <row r="77" spans="1:22">
      <c r="A77" s="5">
        <f t="shared" si="21"/>
        <v>60</v>
      </c>
      <c r="B77" s="17" t="s">
        <v>31</v>
      </c>
      <c r="C77" s="17"/>
      <c r="D77" s="39">
        <v>643</v>
      </c>
      <c r="E77" s="39">
        <f t="shared" si="19"/>
        <v>0</v>
      </c>
      <c r="F77" s="91">
        <v>643</v>
      </c>
      <c r="G77" s="19"/>
      <c r="H77" s="19">
        <v>32.112000000000002</v>
      </c>
      <c r="I77" s="19"/>
      <c r="J77" s="86">
        <f t="shared" si="20"/>
        <v>642.98904000000005</v>
      </c>
      <c r="K77" s="104">
        <v>53582.42</v>
      </c>
      <c r="L77" s="104">
        <v>53582.42</v>
      </c>
      <c r="M77" s="104">
        <v>53582.42</v>
      </c>
      <c r="N77" s="104">
        <v>53582.42</v>
      </c>
      <c r="O77" s="104">
        <v>53582.42</v>
      </c>
      <c r="P77" s="104">
        <v>53582.42</v>
      </c>
      <c r="Q77" s="104">
        <v>53582.42</v>
      </c>
      <c r="R77" s="104">
        <v>53582.42</v>
      </c>
      <c r="S77" s="104">
        <v>53582.42</v>
      </c>
      <c r="T77" s="104">
        <v>53582.42</v>
      </c>
      <c r="U77" s="104">
        <v>53582.42</v>
      </c>
      <c r="V77" s="104">
        <v>53582.42</v>
      </c>
    </row>
    <row r="78" spans="1:22">
      <c r="A78" s="5">
        <f t="shared" si="21"/>
        <v>61</v>
      </c>
      <c r="B78" t="s">
        <v>12</v>
      </c>
      <c r="D78" s="90">
        <f>SUM(D68:D77)</f>
        <v>17490</v>
      </c>
      <c r="E78" s="19">
        <f>F78-D78</f>
        <v>569</v>
      </c>
      <c r="F78" s="19">
        <f>SUM(F68:F77)</f>
        <v>18059</v>
      </c>
      <c r="G78" s="19"/>
      <c r="H78" s="19">
        <v>214</v>
      </c>
      <c r="I78" s="19"/>
      <c r="J78" s="3">
        <f t="shared" si="20"/>
        <v>18058.718797799997</v>
      </c>
      <c r="K78" s="25">
        <f t="shared" ref="K78:V78" si="22">SUM(K68:K77)</f>
        <v>1520361.0699999998</v>
      </c>
      <c r="L78" s="25">
        <f t="shared" si="22"/>
        <v>1465382.28</v>
      </c>
      <c r="M78" s="25">
        <f t="shared" si="22"/>
        <v>1508738.57</v>
      </c>
      <c r="N78" s="25">
        <f t="shared" si="22"/>
        <v>1443538.0999999999</v>
      </c>
      <c r="O78" s="25">
        <f t="shared" si="22"/>
        <v>1426268.1199999999</v>
      </c>
      <c r="P78" s="25">
        <f t="shared" si="22"/>
        <v>1396751.7999999998</v>
      </c>
      <c r="Q78" s="25">
        <f t="shared" si="22"/>
        <v>1441174.7799999998</v>
      </c>
      <c r="R78" s="25">
        <f t="shared" si="22"/>
        <v>1489047.7799999998</v>
      </c>
      <c r="S78" s="25">
        <f t="shared" si="22"/>
        <v>1492163.1699999997</v>
      </c>
      <c r="T78" s="25">
        <f t="shared" si="22"/>
        <v>1556733.8418999999</v>
      </c>
      <c r="U78" s="25">
        <f t="shared" si="22"/>
        <v>1674187.0702</v>
      </c>
      <c r="V78" s="25">
        <f t="shared" si="22"/>
        <v>1644372.2157000001</v>
      </c>
    </row>
    <row r="79" spans="1:22" ht="12.95" customHeight="1">
      <c r="A79" s="5"/>
      <c r="D79" s="19"/>
      <c r="E79" s="19"/>
      <c r="F79" s="19"/>
      <c r="G79" s="19"/>
      <c r="H79" s="39">
        <v>643</v>
      </c>
      <c r="I79" s="19"/>
      <c r="J79" s="3"/>
    </row>
    <row r="80" spans="1:22" ht="12" customHeight="1">
      <c r="A80" s="5"/>
      <c r="B80" s="7" t="s">
        <v>15</v>
      </c>
      <c r="D80" s="19"/>
      <c r="E80" s="19"/>
      <c r="F80" s="19"/>
      <c r="G80" s="19"/>
      <c r="H80" s="19">
        <v>13307.111999999999</v>
      </c>
      <c r="I80" s="19"/>
      <c r="J80" s="3"/>
    </row>
    <row r="81" spans="1:22" ht="12" customHeight="1">
      <c r="A81" s="5">
        <f>A78+1</f>
        <v>62</v>
      </c>
      <c r="B81" t="s">
        <v>109</v>
      </c>
      <c r="D81" s="90">
        <v>974</v>
      </c>
      <c r="E81" s="90">
        <f>F81-D81</f>
        <v>-39</v>
      </c>
      <c r="F81" s="90">
        <v>935</v>
      </c>
      <c r="G81" s="90"/>
      <c r="H81" s="90"/>
      <c r="I81" s="19"/>
      <c r="J81" s="3"/>
    </row>
    <row r="82" spans="1:22" ht="12" customHeight="1">
      <c r="A82" s="5"/>
      <c r="D82" s="19"/>
      <c r="E82" s="19"/>
      <c r="F82" s="19"/>
      <c r="G82" s="19"/>
      <c r="H82" s="19"/>
      <c r="I82" s="19"/>
      <c r="J82" s="3"/>
    </row>
    <row r="83" spans="1:22" ht="12" customHeight="1">
      <c r="A83" s="5"/>
      <c r="B83" s="7" t="s">
        <v>53</v>
      </c>
      <c r="D83" s="19"/>
      <c r="E83" s="19"/>
      <c r="F83" s="19"/>
      <c r="G83" s="19"/>
      <c r="H83" s="19">
        <v>6729</v>
      </c>
      <c r="I83" s="19"/>
      <c r="J83" s="3"/>
    </row>
    <row r="84" spans="1:22" ht="12" customHeight="1">
      <c r="A84" s="5">
        <f>A81+1</f>
        <v>63</v>
      </c>
      <c r="B84" t="s">
        <v>48</v>
      </c>
      <c r="D84" s="90">
        <v>160</v>
      </c>
      <c r="E84" s="90">
        <f>F84-D84</f>
        <v>0</v>
      </c>
      <c r="F84" s="90">
        <v>160</v>
      </c>
      <c r="G84" s="90"/>
      <c r="H84" s="90"/>
      <c r="I84" s="19"/>
      <c r="J84" s="3"/>
    </row>
    <row r="85" spans="1:22" ht="12" customHeight="1">
      <c r="A85" s="5"/>
      <c r="D85" s="19"/>
      <c r="E85" s="19"/>
      <c r="F85" s="19"/>
      <c r="G85" s="19"/>
      <c r="H85" s="19"/>
      <c r="I85" s="19"/>
      <c r="J85" s="3"/>
    </row>
    <row r="86" spans="1:22" ht="12" customHeight="1">
      <c r="A86" s="5">
        <f>A84+1</f>
        <v>64</v>
      </c>
      <c r="B86" s="42" t="s">
        <v>16</v>
      </c>
      <c r="C86" s="35"/>
      <c r="D86" s="43">
        <f>D34+D42+D49+D64+D78+D81+D84</f>
        <v>503778</v>
      </c>
      <c r="E86" s="43">
        <f>F86-D86</f>
        <v>-233394.54891384748</v>
      </c>
      <c r="F86" s="44">
        <f>F34+F42+F49+F64+F78+F81+F84</f>
        <v>270383.45108615252</v>
      </c>
      <c r="G86" s="19"/>
      <c r="H86" s="19">
        <v>133</v>
      </c>
      <c r="I86" s="19"/>
      <c r="J86" s="3"/>
    </row>
    <row r="87" spans="1:22" ht="12" customHeight="1">
      <c r="A87" s="5"/>
      <c r="B87" s="2"/>
      <c r="D87" s="19"/>
      <c r="E87" s="19"/>
      <c r="F87" s="19"/>
      <c r="G87" s="19"/>
      <c r="H87" s="39"/>
      <c r="I87" s="19"/>
      <c r="J87" s="3"/>
    </row>
    <row r="88" spans="1:22" ht="12" customHeight="1">
      <c r="A88" s="5"/>
      <c r="B88" s="7" t="s">
        <v>17</v>
      </c>
      <c r="D88" s="19"/>
      <c r="E88" s="19"/>
      <c r="F88" s="19"/>
      <c r="G88" s="19"/>
      <c r="H88" s="43">
        <v>188457.26014905036</v>
      </c>
      <c r="I88" s="19"/>
      <c r="J88" s="3"/>
    </row>
    <row r="89" spans="1:22" ht="12.95" customHeight="1">
      <c r="A89" s="5">
        <f>A86+1</f>
        <v>65</v>
      </c>
      <c r="B89" t="s">
        <v>166</v>
      </c>
      <c r="D89" s="19">
        <v>0</v>
      </c>
      <c r="E89" s="19">
        <f t="shared" ref="E89:E99" si="23">F89-D89</f>
        <v>35776.146806485311</v>
      </c>
      <c r="F89" s="19">
        <f>-'WGJ-4'!C9/1000</f>
        <v>35776.146806485311</v>
      </c>
      <c r="G89" s="19"/>
      <c r="H89" s="19"/>
      <c r="I89" s="18"/>
      <c r="J89" s="3">
        <f>SUM(K89:V89)/1000</f>
        <v>35776.146806485311</v>
      </c>
      <c r="K89" s="25">
        <f>-'WGJ-4'!D9</f>
        <v>2297400.8260999406</v>
      </c>
      <c r="L89" s="25">
        <f>-'WGJ-4'!E9</f>
        <v>2235491.2756374907</v>
      </c>
      <c r="M89" s="25">
        <f>-'WGJ-4'!F9</f>
        <v>2590153.3985682894</v>
      </c>
      <c r="N89" s="25">
        <f>-'WGJ-4'!G9</f>
        <v>3360531.0792105538</v>
      </c>
      <c r="O89" s="25">
        <f>-'WGJ-4'!H9</f>
        <v>3516536.9942801339</v>
      </c>
      <c r="P89" s="25">
        <f>-'WGJ-4'!I9</f>
        <v>2765293.7893458777</v>
      </c>
      <c r="Q89" s="25">
        <f>-'WGJ-4'!J9</f>
        <v>3899547.0302036828</v>
      </c>
      <c r="R89" s="25">
        <f>-'WGJ-4'!K9</f>
        <v>899007.77740478516</v>
      </c>
      <c r="S89" s="25">
        <f>-'WGJ-4'!L9</f>
        <v>2492647.9675292969</v>
      </c>
      <c r="T89" s="25">
        <f>-'WGJ-4'!M9</f>
        <v>2719109.5319475448</v>
      </c>
      <c r="U89" s="25">
        <f>-'WGJ-4'!N9</f>
        <v>4254387.7859933032</v>
      </c>
      <c r="V89" s="25">
        <f>-'WGJ-4'!O9</f>
        <v>4746039.3502644133</v>
      </c>
    </row>
    <row r="90" spans="1:22" ht="12.95" customHeight="1">
      <c r="A90" s="5">
        <f t="shared" ref="A90:A98" si="24">A89+1</f>
        <v>66</v>
      </c>
      <c r="B90" t="s">
        <v>203</v>
      </c>
      <c r="D90" s="90">
        <f>88930+1748+66</f>
        <v>90744</v>
      </c>
      <c r="E90" s="19">
        <f t="shared" si="23"/>
        <v>-89914</v>
      </c>
      <c r="F90" s="130">
        <v>830</v>
      </c>
      <c r="G90" s="19"/>
      <c r="H90" s="19"/>
      <c r="I90" s="18"/>
      <c r="J90" s="3">
        <f>SUM(K90:V90)/1000</f>
        <v>830.45</v>
      </c>
      <c r="K90" s="25"/>
      <c r="L90" s="25"/>
      <c r="M90" s="25"/>
      <c r="N90" s="25"/>
      <c r="O90" s="25"/>
      <c r="P90" s="25"/>
      <c r="Q90" s="25"/>
      <c r="R90" s="25"/>
      <c r="S90" s="25"/>
      <c r="T90" s="25">
        <v>265200</v>
      </c>
      <c r="U90" s="25">
        <v>272850</v>
      </c>
      <c r="V90" s="25">
        <v>292400</v>
      </c>
    </row>
    <row r="91" spans="1:22" ht="12.95" customHeight="1">
      <c r="A91" s="5">
        <f t="shared" si="24"/>
        <v>67</v>
      </c>
      <c r="B91" t="s">
        <v>202</v>
      </c>
      <c r="D91" s="90">
        <v>0</v>
      </c>
      <c r="E91" s="19">
        <f t="shared" si="23"/>
        <v>7614</v>
      </c>
      <c r="F91" s="130">
        <v>7614</v>
      </c>
      <c r="G91" s="19"/>
      <c r="H91" s="19"/>
      <c r="I91" s="18"/>
      <c r="J91" s="3">
        <f>SUM(K91:V91)/1000</f>
        <v>7613.9349881386797</v>
      </c>
      <c r="K91" s="25">
        <v>637900.11423896917</v>
      </c>
      <c r="L91" s="25">
        <v>588830.87468212529</v>
      </c>
      <c r="M91" s="25">
        <v>637900.11423896917</v>
      </c>
      <c r="N91" s="25">
        <v>665523.16125510063</v>
      </c>
      <c r="O91" s="25">
        <v>665523.16125510063</v>
      </c>
      <c r="P91" s="25">
        <v>639926.11659144273</v>
      </c>
      <c r="Q91" s="25">
        <v>637900.11423896917</v>
      </c>
      <c r="R91" s="25">
        <v>662434.73401739076</v>
      </c>
      <c r="S91" s="25">
        <v>588830.87468212529</v>
      </c>
      <c r="T91" s="25">
        <v>662434.73401739076</v>
      </c>
      <c r="U91" s="25">
        <v>613365.49446054723</v>
      </c>
      <c r="V91" s="25">
        <v>613365.49446054723</v>
      </c>
    </row>
    <row r="92" spans="1:22">
      <c r="A92" s="5">
        <f t="shared" si="24"/>
        <v>68</v>
      </c>
      <c r="B92" s="6" t="s">
        <v>120</v>
      </c>
      <c r="D92" s="90">
        <v>1752</v>
      </c>
      <c r="E92" s="19">
        <f t="shared" si="23"/>
        <v>0</v>
      </c>
      <c r="F92" s="90">
        <v>1752</v>
      </c>
      <c r="G92" s="19"/>
      <c r="H92" s="19"/>
      <c r="I92" s="19"/>
      <c r="J92" s="3">
        <f t="shared" ref="J92:J100" si="25">SUM(K92:V92)/1000</f>
        <v>1752.2149999999999</v>
      </c>
      <c r="K92" s="133">
        <v>146020</v>
      </c>
      <c r="L92" s="133">
        <v>146345</v>
      </c>
      <c r="M92" s="133">
        <v>144955</v>
      </c>
      <c r="N92" s="133">
        <v>146150</v>
      </c>
      <c r="O92" s="133">
        <v>146085</v>
      </c>
      <c r="P92" s="133">
        <v>146085</v>
      </c>
      <c r="Q92" s="133">
        <v>146150</v>
      </c>
      <c r="R92" s="133">
        <v>146150</v>
      </c>
      <c r="S92" s="133">
        <v>146215</v>
      </c>
      <c r="T92" s="133">
        <v>146020</v>
      </c>
      <c r="U92" s="133">
        <v>146085</v>
      </c>
      <c r="V92" s="133">
        <v>145955</v>
      </c>
    </row>
    <row r="93" spans="1:22">
      <c r="A93" s="5">
        <f t="shared" si="24"/>
        <v>69</v>
      </c>
      <c r="B93" t="s">
        <v>32</v>
      </c>
      <c r="D93" s="98">
        <v>1229</v>
      </c>
      <c r="E93" s="19">
        <f t="shared" si="23"/>
        <v>488.33087680081485</v>
      </c>
      <c r="F93" s="90">
        <f>Index!C14/1000</f>
        <v>1717.3308768008148</v>
      </c>
      <c r="G93" s="119" t="s">
        <v>130</v>
      </c>
      <c r="H93" s="98">
        <v>1800</v>
      </c>
      <c r="I93" s="94" t="s">
        <v>130</v>
      </c>
      <c r="J93" s="3">
        <f t="shared" si="25"/>
        <v>1717.3308768008148</v>
      </c>
      <c r="K93" s="25">
        <f>Index!D14</f>
        <v>192327.35983208247</v>
      </c>
      <c r="L93" s="25">
        <f>Index!E14</f>
        <v>178569.30241241457</v>
      </c>
      <c r="M93" s="25">
        <f>Index!F14</f>
        <v>174081.44330561499</v>
      </c>
      <c r="N93" s="25">
        <f>Index!G14</f>
        <v>126216.6138820052</v>
      </c>
      <c r="O93" s="25">
        <f>Index!H14</f>
        <v>113478.00251498222</v>
      </c>
      <c r="P93" s="25">
        <f>Index!I14</f>
        <v>99731.816223365924</v>
      </c>
      <c r="Q93" s="25">
        <f>Index!J14</f>
        <v>184175.86267596652</v>
      </c>
      <c r="R93" s="25">
        <f>Index!K14</f>
        <v>197779.22425836837</v>
      </c>
      <c r="S93" s="25">
        <f>Index!L14</f>
        <v>193221.92735399521</v>
      </c>
      <c r="T93" s="25">
        <f>Index!M14</f>
        <v>202870.44950245452</v>
      </c>
      <c r="U93" s="25">
        <f>Index!N14</f>
        <v>26558.606924874442</v>
      </c>
      <c r="V93" s="25">
        <f>Index!O14</f>
        <v>28320.267914690296</v>
      </c>
    </row>
    <row r="94" spans="1:22">
      <c r="A94" s="5">
        <f t="shared" si="24"/>
        <v>70</v>
      </c>
      <c r="B94" t="s">
        <v>125</v>
      </c>
      <c r="D94" s="98">
        <v>78</v>
      </c>
      <c r="E94" s="19">
        <f t="shared" si="23"/>
        <v>0</v>
      </c>
      <c r="F94" s="90">
        <v>78</v>
      </c>
      <c r="G94" s="20"/>
      <c r="H94" s="20">
        <v>-63</v>
      </c>
      <c r="J94" s="3">
        <f t="shared" si="25"/>
        <v>78.469499999999996</v>
      </c>
      <c r="K94" s="25">
        <v>6386</v>
      </c>
      <c r="L94" s="25">
        <v>5870.75</v>
      </c>
      <c r="M94" s="25">
        <v>6667.25</v>
      </c>
      <c r="N94" s="25">
        <v>6264</v>
      </c>
      <c r="O94" s="25">
        <v>6770.75</v>
      </c>
      <c r="P94" s="25">
        <v>6511.5</v>
      </c>
      <c r="Q94" s="25">
        <v>6668.75</v>
      </c>
      <c r="R94" s="25">
        <v>6665.25</v>
      </c>
      <c r="S94" s="25">
        <v>6540.75</v>
      </c>
      <c r="T94" s="25">
        <v>6715</v>
      </c>
      <c r="U94" s="25">
        <v>6653</v>
      </c>
      <c r="V94" s="25">
        <v>6756.5</v>
      </c>
    </row>
    <row r="95" spans="1:22">
      <c r="A95" s="5">
        <f t="shared" si="24"/>
        <v>71</v>
      </c>
      <c r="B95" t="s">
        <v>33</v>
      </c>
      <c r="D95" s="98">
        <v>430</v>
      </c>
      <c r="E95" s="19">
        <f t="shared" si="23"/>
        <v>0</v>
      </c>
      <c r="F95" s="90">
        <v>430</v>
      </c>
      <c r="G95" s="79"/>
      <c r="H95" s="79">
        <v>272</v>
      </c>
      <c r="J95" s="3">
        <f t="shared" si="25"/>
        <v>429.63432</v>
      </c>
      <c r="K95" s="25">
        <v>41841.399999999994</v>
      </c>
      <c r="L95" s="25">
        <v>38712.840000000004</v>
      </c>
      <c r="M95" s="25">
        <v>41439.5</v>
      </c>
      <c r="N95" s="25">
        <v>40290.259999999995</v>
      </c>
      <c r="O95" s="25">
        <v>27240.47</v>
      </c>
      <c r="P95" s="25">
        <v>26309.75</v>
      </c>
      <c r="Q95" s="25">
        <v>29485.219999999998</v>
      </c>
      <c r="R95" s="25">
        <v>36195.040000000001</v>
      </c>
      <c r="S95" s="25">
        <v>34190.120000000003</v>
      </c>
      <c r="T95" s="25">
        <v>39890.78</v>
      </c>
      <c r="U95" s="25">
        <v>37860.92</v>
      </c>
      <c r="V95" s="25">
        <v>36178.020000000004</v>
      </c>
    </row>
    <row r="96" spans="1:22">
      <c r="A96" s="5">
        <f t="shared" si="24"/>
        <v>72</v>
      </c>
      <c r="B96" t="s">
        <v>126</v>
      </c>
      <c r="D96" s="98">
        <v>251</v>
      </c>
      <c r="E96" s="19">
        <f t="shared" si="23"/>
        <v>-251</v>
      </c>
      <c r="F96" s="90">
        <v>0</v>
      </c>
      <c r="G96" s="94"/>
      <c r="H96" s="20">
        <v>69</v>
      </c>
      <c r="J96" s="3">
        <f t="shared" si="25"/>
        <v>0</v>
      </c>
      <c r="K96" s="25">
        <f t="shared" ref="K96:K97" si="26">$F96/12*1000</f>
        <v>0</v>
      </c>
      <c r="L96" s="25">
        <f t="shared" ref="L96:V97" si="27">$F96/12*1000</f>
        <v>0</v>
      </c>
      <c r="M96" s="25">
        <f t="shared" si="27"/>
        <v>0</v>
      </c>
      <c r="N96" s="25">
        <f t="shared" si="27"/>
        <v>0</v>
      </c>
      <c r="O96" s="25">
        <f t="shared" si="27"/>
        <v>0</v>
      </c>
      <c r="P96" s="25">
        <f t="shared" si="27"/>
        <v>0</v>
      </c>
      <c r="Q96" s="25">
        <f t="shared" si="27"/>
        <v>0</v>
      </c>
      <c r="R96" s="25">
        <f t="shared" si="27"/>
        <v>0</v>
      </c>
      <c r="S96" s="25">
        <f t="shared" si="27"/>
        <v>0</v>
      </c>
      <c r="T96" s="25">
        <f t="shared" si="27"/>
        <v>0</v>
      </c>
      <c r="U96" s="25">
        <f t="shared" si="27"/>
        <v>0</v>
      </c>
      <c r="V96" s="25">
        <f t="shared" si="27"/>
        <v>0</v>
      </c>
    </row>
    <row r="97" spans="1:22">
      <c r="A97" s="5">
        <f t="shared" si="24"/>
        <v>73</v>
      </c>
      <c r="B97" t="s">
        <v>197</v>
      </c>
      <c r="D97" s="98">
        <v>443</v>
      </c>
      <c r="E97" s="19">
        <f t="shared" si="23"/>
        <v>-443</v>
      </c>
      <c r="F97" s="90">
        <v>0</v>
      </c>
      <c r="G97" s="94"/>
      <c r="H97" s="20"/>
      <c r="J97" s="3">
        <f t="shared" si="25"/>
        <v>0</v>
      </c>
      <c r="K97" s="25">
        <f t="shared" si="26"/>
        <v>0</v>
      </c>
      <c r="L97" s="25">
        <f t="shared" si="27"/>
        <v>0</v>
      </c>
      <c r="M97" s="25">
        <f t="shared" si="27"/>
        <v>0</v>
      </c>
      <c r="N97" s="25">
        <f t="shared" si="27"/>
        <v>0</v>
      </c>
      <c r="O97" s="25">
        <f t="shared" si="27"/>
        <v>0</v>
      </c>
      <c r="P97" s="25">
        <f t="shared" si="27"/>
        <v>0</v>
      </c>
      <c r="Q97" s="25">
        <f t="shared" si="27"/>
        <v>0</v>
      </c>
      <c r="R97" s="25">
        <f t="shared" si="27"/>
        <v>0</v>
      </c>
      <c r="S97" s="25">
        <f t="shared" si="27"/>
        <v>0</v>
      </c>
      <c r="T97" s="25">
        <f t="shared" si="27"/>
        <v>0</v>
      </c>
      <c r="U97" s="25">
        <f t="shared" si="27"/>
        <v>0</v>
      </c>
      <c r="V97" s="25">
        <f t="shared" si="27"/>
        <v>0</v>
      </c>
    </row>
    <row r="98" spans="1:22">
      <c r="A98" s="5">
        <f t="shared" si="24"/>
        <v>74</v>
      </c>
      <c r="B98" t="s">
        <v>213</v>
      </c>
      <c r="D98" s="98">
        <v>22439</v>
      </c>
      <c r="E98" s="19">
        <f t="shared" si="23"/>
        <v>2171</v>
      </c>
      <c r="F98" s="90">
        <v>24610</v>
      </c>
      <c r="G98" s="20"/>
      <c r="H98" s="20"/>
      <c r="J98" s="3">
        <f t="shared" si="25"/>
        <v>24609.743807111463</v>
      </c>
      <c r="K98" s="25">
        <v>2512324.6930803573</v>
      </c>
      <c r="L98" s="25">
        <v>2278998.7740652901</v>
      </c>
      <c r="M98" s="25">
        <v>2318004.5370919365</v>
      </c>
      <c r="N98" s="25">
        <v>2548834.9923270089</v>
      </c>
      <c r="O98" s="25">
        <v>2293622.119140625</v>
      </c>
      <c r="P98" s="25">
        <v>2217894.9846540177</v>
      </c>
      <c r="Q98" s="25">
        <v>1682443.5407366073</v>
      </c>
      <c r="R98" s="25">
        <v>1739667.0741489953</v>
      </c>
      <c r="S98" s="25">
        <v>1686314.0345982143</v>
      </c>
      <c r="T98" s="25">
        <v>1751022.0511300224</v>
      </c>
      <c r="U98" s="25">
        <v>1742548.8577706474</v>
      </c>
      <c r="V98" s="25">
        <v>1838068.1483677456</v>
      </c>
    </row>
    <row r="99" spans="1:22">
      <c r="A99" s="5">
        <f>A98+1</f>
        <v>75</v>
      </c>
      <c r="B99" s="17" t="s">
        <v>153</v>
      </c>
      <c r="C99" s="17"/>
      <c r="D99" s="91">
        <v>645</v>
      </c>
      <c r="E99" s="39">
        <f t="shared" si="23"/>
        <v>-645</v>
      </c>
      <c r="F99" s="39">
        <v>0</v>
      </c>
      <c r="G99" s="20"/>
      <c r="H99" s="20"/>
      <c r="J99" s="86">
        <f t="shared" si="25"/>
        <v>0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</row>
    <row r="100" spans="1:22">
      <c r="A100" s="5">
        <f>A99+1</f>
        <v>76</v>
      </c>
      <c r="B100" t="s">
        <v>18</v>
      </c>
      <c r="D100" s="19">
        <f>SUM(D89:D99)</f>
        <v>118011</v>
      </c>
      <c r="E100" s="19">
        <f>F100-D100</f>
        <v>-45203.522316713876</v>
      </c>
      <c r="F100" s="19">
        <f>SUM(F89:F99)</f>
        <v>72807.477683286124</v>
      </c>
      <c r="G100" s="19"/>
      <c r="H100" s="39">
        <v>0</v>
      </c>
      <c r="I100" s="19"/>
      <c r="J100" s="3">
        <f t="shared" si="25"/>
        <v>72807.925298536269</v>
      </c>
      <c r="K100" s="25">
        <f t="shared" ref="K100:V100" si="28">SUM(K89:K99)</f>
        <v>5834200.3932513492</v>
      </c>
      <c r="L100" s="25">
        <f t="shared" si="28"/>
        <v>5472818.8167973198</v>
      </c>
      <c r="M100" s="25">
        <f t="shared" si="28"/>
        <v>5913201.2432048097</v>
      </c>
      <c r="N100" s="25">
        <f t="shared" si="28"/>
        <v>6893810.1066746674</v>
      </c>
      <c r="O100" s="25">
        <f t="shared" si="28"/>
        <v>6769256.4971908415</v>
      </c>
      <c r="P100" s="25">
        <f t="shared" si="28"/>
        <v>5901752.9568147045</v>
      </c>
      <c r="Q100" s="25">
        <f t="shared" si="28"/>
        <v>6586370.5178552261</v>
      </c>
      <c r="R100" s="25">
        <f t="shared" si="28"/>
        <v>3687899.0998295397</v>
      </c>
      <c r="S100" s="25">
        <f t="shared" si="28"/>
        <v>5147960.6741636321</v>
      </c>
      <c r="T100" s="25">
        <f t="shared" si="28"/>
        <v>5793262.5465974119</v>
      </c>
      <c r="U100" s="25">
        <f t="shared" si="28"/>
        <v>7100309.6651493721</v>
      </c>
      <c r="V100" s="25">
        <f t="shared" si="28"/>
        <v>7707082.7810073961</v>
      </c>
    </row>
    <row r="101" spans="1:22">
      <c r="A101" s="5"/>
      <c r="D101" s="19"/>
      <c r="E101" s="19"/>
      <c r="F101" s="19"/>
      <c r="G101" s="19"/>
      <c r="H101" s="19">
        <v>62060.890920372694</v>
      </c>
      <c r="I101" s="1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>
      <c r="A102" s="5"/>
      <c r="B102" s="7" t="s">
        <v>19</v>
      </c>
      <c r="D102" s="19"/>
      <c r="E102" s="19" t="s">
        <v>10</v>
      </c>
      <c r="F102" s="19"/>
      <c r="G102" s="19"/>
      <c r="H102" s="19"/>
      <c r="I102" s="19"/>
      <c r="J102" s="3"/>
    </row>
    <row r="103" spans="1:22">
      <c r="A103" s="5">
        <f>A100+1</f>
        <v>77</v>
      </c>
      <c r="B103" t="s">
        <v>243</v>
      </c>
      <c r="D103" s="90">
        <v>2178</v>
      </c>
      <c r="E103" s="90">
        <f>F103-D103</f>
        <v>-1800</v>
      </c>
      <c r="F103" s="90">
        <v>378</v>
      </c>
      <c r="G103" s="90"/>
      <c r="H103" s="90"/>
      <c r="I103" s="19"/>
      <c r="J103" s="3">
        <f t="shared" ref="J103" si="29">SUM(K103:V103)/1000</f>
        <v>850.00000000000011</v>
      </c>
      <c r="K103" s="25">
        <f>850000/12</f>
        <v>70833.333333333328</v>
      </c>
      <c r="L103" s="25">
        <f t="shared" ref="L103:V103" si="30">850000/12</f>
        <v>70833.333333333328</v>
      </c>
      <c r="M103" s="25">
        <f t="shared" si="30"/>
        <v>70833.333333333328</v>
      </c>
      <c r="N103" s="25">
        <f t="shared" si="30"/>
        <v>70833.333333333328</v>
      </c>
      <c r="O103" s="25">
        <f t="shared" si="30"/>
        <v>70833.333333333328</v>
      </c>
      <c r="P103" s="25">
        <f t="shared" si="30"/>
        <v>70833.333333333328</v>
      </c>
      <c r="Q103" s="25">
        <f t="shared" si="30"/>
        <v>70833.333333333328</v>
      </c>
      <c r="R103" s="25">
        <f t="shared" si="30"/>
        <v>70833.333333333328</v>
      </c>
      <c r="S103" s="25">
        <f t="shared" si="30"/>
        <v>70833.333333333328</v>
      </c>
      <c r="T103" s="25">
        <f t="shared" si="30"/>
        <v>70833.333333333328</v>
      </c>
      <c r="U103" s="25">
        <f t="shared" si="30"/>
        <v>70833.333333333328</v>
      </c>
      <c r="V103" s="25">
        <f t="shared" si="30"/>
        <v>70833.333333333328</v>
      </c>
    </row>
    <row r="104" spans="1:22">
      <c r="A104" s="5">
        <f>A103+1</f>
        <v>78</v>
      </c>
      <c r="B104" t="s">
        <v>244</v>
      </c>
      <c r="D104" s="90">
        <v>0</v>
      </c>
      <c r="E104" s="90">
        <f>F104-D104</f>
        <v>158</v>
      </c>
      <c r="F104" s="90">
        <v>158</v>
      </c>
      <c r="G104" s="90"/>
      <c r="H104" s="90"/>
      <c r="I104" s="19"/>
      <c r="J104" s="3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</row>
    <row r="105" spans="1:22">
      <c r="A105" s="5">
        <f>A104+1</f>
        <v>79</v>
      </c>
      <c r="B105" s="17" t="s">
        <v>101</v>
      </c>
      <c r="C105" s="17"/>
      <c r="D105" s="19">
        <v>179427</v>
      </c>
      <c r="E105" s="39">
        <f>F105-D105</f>
        <v>-179427</v>
      </c>
      <c r="F105" s="19">
        <v>0</v>
      </c>
      <c r="G105" s="19"/>
      <c r="H105" s="19">
        <v>48</v>
      </c>
      <c r="I105" s="19"/>
      <c r="J105" s="3"/>
    </row>
    <row r="106" spans="1:22">
      <c r="A106" s="5">
        <f>A105+1</f>
        <v>80</v>
      </c>
      <c r="B106" t="s">
        <v>20</v>
      </c>
      <c r="D106" s="106">
        <f>SUM(D103:D105)</f>
        <v>181605</v>
      </c>
      <c r="E106" s="19">
        <f>F106-D106</f>
        <v>-181069</v>
      </c>
      <c r="F106" s="21">
        <f>SUM(F103:F105)</f>
        <v>536</v>
      </c>
      <c r="G106" s="19"/>
      <c r="H106" s="19">
        <v>0</v>
      </c>
      <c r="I106" s="19"/>
      <c r="J106" s="3"/>
    </row>
    <row r="107" spans="1:22" ht="7.5" customHeight="1">
      <c r="A107" s="5" t="s">
        <v>10</v>
      </c>
      <c r="D107" s="19"/>
      <c r="E107" s="19"/>
      <c r="F107" s="19"/>
      <c r="G107" s="19"/>
      <c r="H107" s="39">
        <v>0</v>
      </c>
      <c r="I107" s="19"/>
      <c r="J107" s="3"/>
    </row>
    <row r="108" spans="1:22">
      <c r="A108" s="5"/>
      <c r="B108" s="45" t="s">
        <v>29</v>
      </c>
      <c r="D108" s="19"/>
      <c r="E108" s="19"/>
      <c r="F108" s="19" t="s">
        <v>10</v>
      </c>
      <c r="G108" s="19"/>
      <c r="H108" s="19">
        <v>48</v>
      </c>
      <c r="I108" s="19"/>
      <c r="J108" s="3"/>
    </row>
    <row r="109" spans="1:22">
      <c r="A109" s="5">
        <f>A106+1</f>
        <v>81</v>
      </c>
      <c r="B109" t="s">
        <v>26</v>
      </c>
      <c r="D109" s="90">
        <v>507</v>
      </c>
      <c r="E109" s="90">
        <f>F109-D109</f>
        <v>-77</v>
      </c>
      <c r="F109" s="90">
        <v>430</v>
      </c>
      <c r="G109" s="90"/>
      <c r="H109" s="90"/>
      <c r="I109" s="19"/>
      <c r="J109" s="3"/>
    </row>
    <row r="110" spans="1:22" ht="6.75" customHeight="1">
      <c r="A110" s="5"/>
      <c r="D110" s="90"/>
      <c r="E110" s="19"/>
      <c r="F110" s="90"/>
      <c r="G110" s="19"/>
      <c r="H110" s="19" t="s">
        <v>10</v>
      </c>
      <c r="I110" s="19"/>
      <c r="J110" s="3"/>
    </row>
    <row r="111" spans="1:22" ht="6" customHeight="1">
      <c r="A111" s="5"/>
      <c r="D111" s="19"/>
      <c r="E111" s="19"/>
      <c r="F111" s="19"/>
      <c r="G111" s="19"/>
      <c r="H111" s="19"/>
      <c r="I111" s="19"/>
      <c r="J111" s="3"/>
    </row>
    <row r="112" spans="1:22">
      <c r="A112" s="5">
        <f>A109+1</f>
        <v>82</v>
      </c>
      <c r="B112" s="42" t="s">
        <v>21</v>
      </c>
      <c r="C112" s="35"/>
      <c r="D112" s="43">
        <f>D100+D106+D109</f>
        <v>300123</v>
      </c>
      <c r="E112" s="43">
        <f>F112-D112</f>
        <v>-226349.52231671388</v>
      </c>
      <c r="F112" s="44">
        <f>F100+F106+F109</f>
        <v>73773.477683286124</v>
      </c>
      <c r="G112" s="19"/>
      <c r="H112" s="19">
        <v>24</v>
      </c>
      <c r="I112" s="19"/>
      <c r="J112" s="3"/>
    </row>
    <row r="113" spans="1:22" ht="7.5" customHeight="1">
      <c r="A113" s="5"/>
      <c r="D113" s="19"/>
      <c r="E113" s="19"/>
      <c r="F113" s="19"/>
      <c r="G113" s="19"/>
      <c r="H113" s="19"/>
      <c r="I113" s="19"/>
      <c r="J113" s="3"/>
    </row>
    <row r="114" spans="1:22">
      <c r="A114" s="5">
        <f>A112+1</f>
        <v>83</v>
      </c>
      <c r="B114" s="42" t="s">
        <v>152</v>
      </c>
      <c r="C114" s="35"/>
      <c r="D114" s="43">
        <f>D86-D112</f>
        <v>203655</v>
      </c>
      <c r="E114" s="43">
        <f>F114-D114</f>
        <v>-7045.0265971336048</v>
      </c>
      <c r="F114" s="44">
        <f>F86-F112</f>
        <v>196609.9734028664</v>
      </c>
      <c r="G114" s="19"/>
      <c r="H114" s="43">
        <v>62497.890920372694</v>
      </c>
      <c r="I114" s="19"/>
      <c r="J114" s="3"/>
    </row>
    <row r="115" spans="1:22" ht="6" customHeight="1">
      <c r="A115" s="5"/>
      <c r="D115" s="19"/>
      <c r="E115" s="19"/>
      <c r="F115" s="19"/>
      <c r="G115" s="19"/>
      <c r="H115" s="19"/>
      <c r="I115" s="19"/>
      <c r="J115" s="3"/>
    </row>
    <row r="116" spans="1:22" ht="12.75" customHeight="1">
      <c r="A116" s="5"/>
      <c r="B116" s="2"/>
      <c r="D116" s="19"/>
      <c r="F116"/>
      <c r="G116" s="19"/>
      <c r="H116" s="19"/>
      <c r="I116" s="19"/>
      <c r="J116" s="3"/>
    </row>
    <row r="117" spans="1:22" ht="9" customHeight="1">
      <c r="A117" s="5"/>
      <c r="B117" s="108"/>
      <c r="D117" s="19"/>
      <c r="F117"/>
      <c r="G117" s="19"/>
      <c r="H117" s="19"/>
      <c r="I117" s="19"/>
      <c r="J117" s="3"/>
    </row>
    <row r="118" spans="1:22" ht="12.75" customHeight="1">
      <c r="A118" s="5"/>
      <c r="B118" s="2"/>
      <c r="D118" s="3"/>
      <c r="J118" s="3"/>
    </row>
    <row r="119" spans="1:22">
      <c r="J119" s="3"/>
    </row>
    <row r="120" spans="1:22">
      <c r="J120" s="3">
        <f>SUM(K120:V120)</f>
        <v>176595376.51723999</v>
      </c>
      <c r="K120" s="25">
        <f t="shared" ref="K120:V120" si="31">K34+K49+K64-K100</f>
        <v>21323440.617321067</v>
      </c>
      <c r="L120" s="25">
        <f t="shared" si="31"/>
        <v>19256022.30360486</v>
      </c>
      <c r="M120" s="25">
        <f t="shared" si="31"/>
        <v>17753235.292669501</v>
      </c>
      <c r="N120" s="25">
        <f t="shared" si="31"/>
        <v>9635220.1796160676</v>
      </c>
      <c r="O120" s="25">
        <f t="shared" si="31"/>
        <v>5221770.1571886381</v>
      </c>
      <c r="P120" s="25">
        <f t="shared" si="31"/>
        <v>5362206.4203442205</v>
      </c>
      <c r="Q120" s="25">
        <f t="shared" si="31"/>
        <v>11017860.512888163</v>
      </c>
      <c r="R120" s="25">
        <f t="shared" si="31"/>
        <v>18596624.215053059</v>
      </c>
      <c r="S120" s="25">
        <f t="shared" si="31"/>
        <v>14921730.372940987</v>
      </c>
      <c r="T120" s="25">
        <f t="shared" si="31"/>
        <v>15649352.775105907</v>
      </c>
      <c r="U120" s="25">
        <f t="shared" si="31"/>
        <v>18323211.192508891</v>
      </c>
      <c r="V120" s="25">
        <f t="shared" si="31"/>
        <v>19534702.477998599</v>
      </c>
    </row>
    <row r="121" spans="1:22">
      <c r="J121" s="3"/>
    </row>
    <row r="122" spans="1:22">
      <c r="J122" s="3"/>
    </row>
    <row r="123" spans="1:22">
      <c r="J123" s="3"/>
    </row>
    <row r="124" spans="1:22">
      <c r="J124" s="3"/>
    </row>
    <row r="125" spans="1:22">
      <c r="J125" s="3"/>
    </row>
    <row r="126" spans="1:22">
      <c r="J126" s="3"/>
    </row>
    <row r="127" spans="1:22">
      <c r="J127" s="3"/>
    </row>
    <row r="128" spans="1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  <row r="691" spans="10:10">
      <c r="J691" s="3"/>
    </row>
    <row r="692" spans="10:10">
      <c r="J692" s="3"/>
    </row>
    <row r="693" spans="10:10">
      <c r="J693" s="3"/>
    </row>
  </sheetData>
  <phoneticPr fontId="6" type="noConversion"/>
  <pageMargins left="0.75" right="0.75" top="1" bottom="1" header="0.5" footer="0.5"/>
  <pageSetup scale="80" orientation="portrait" verticalDpi="4294967292" r:id="rId1"/>
  <headerFooter alignWithMargins="0">
    <oddHeader>&amp;RExhibit No.___(WGJ-2)</oddHeader>
    <oddFooter>&amp;R&amp;"Arial,Bold"&amp;12&amp;P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6"/>
  <sheetViews>
    <sheetView topLeftCell="A5" workbookViewId="0">
      <pane xSplit="6930" ySplit="1590" topLeftCell="J20" activePane="bottomRight"/>
      <selection activeCell="A7" sqref="A7"/>
      <selection pane="topRight" activeCell="D7" sqref="D7:O7"/>
      <selection pane="bottomLeft" activeCell="A4" sqref="A4"/>
      <selection pane="bottomRight" activeCell="D33" sqref="D33:O33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89" t="s">
        <v>34</v>
      </c>
    </row>
    <row r="2" spans="1:16" ht="18">
      <c r="A2" s="89" t="s">
        <v>124</v>
      </c>
    </row>
    <row r="3" spans="1:16" ht="18">
      <c r="A3" s="89" t="s">
        <v>233</v>
      </c>
      <c r="I3" s="14"/>
    </row>
    <row r="4" spans="1:16" ht="18">
      <c r="A4" s="89"/>
      <c r="B4" s="55"/>
      <c r="I4" s="14"/>
    </row>
    <row r="6" spans="1:16">
      <c r="C6" s="37"/>
      <c r="D6" s="37">
        <v>744</v>
      </c>
      <c r="E6" s="37">
        <v>672</v>
      </c>
      <c r="F6" s="37">
        <v>743</v>
      </c>
      <c r="G6" s="37">
        <v>720</v>
      </c>
      <c r="H6" s="37">
        <v>744</v>
      </c>
      <c r="I6" s="37">
        <v>720</v>
      </c>
      <c r="J6" s="37">
        <v>744</v>
      </c>
      <c r="K6" s="37">
        <v>744</v>
      </c>
      <c r="L6" s="37">
        <v>720</v>
      </c>
      <c r="M6" s="37">
        <v>744</v>
      </c>
      <c r="N6" s="37">
        <v>721</v>
      </c>
      <c r="O6" s="37">
        <v>744</v>
      </c>
    </row>
    <row r="7" spans="1:16">
      <c r="C7" s="23" t="s">
        <v>35</v>
      </c>
      <c r="D7" s="131">
        <v>39813</v>
      </c>
      <c r="E7" s="131">
        <v>39844</v>
      </c>
      <c r="F7" s="131">
        <v>39872</v>
      </c>
      <c r="G7" s="131">
        <v>39903</v>
      </c>
      <c r="H7" s="131">
        <v>39933</v>
      </c>
      <c r="I7" s="131">
        <v>39964</v>
      </c>
      <c r="J7" s="131">
        <v>39994</v>
      </c>
      <c r="K7" s="131">
        <v>40025</v>
      </c>
      <c r="L7" s="131">
        <v>40056</v>
      </c>
      <c r="M7" s="131">
        <v>40086</v>
      </c>
      <c r="N7" s="131">
        <v>40117</v>
      </c>
      <c r="O7" s="131">
        <v>40147</v>
      </c>
    </row>
    <row r="8" spans="1:16">
      <c r="C8" s="51"/>
    </row>
    <row r="9" spans="1:16">
      <c r="A9" t="s">
        <v>112</v>
      </c>
      <c r="B9" s="5" t="s">
        <v>55</v>
      </c>
      <c r="C9" s="38">
        <f>SUM(D9:O9)</f>
        <v>-35776146.80648531</v>
      </c>
      <c r="D9" s="25">
        <f>Aurora!B40*1000</f>
        <v>-2297400.8260999406</v>
      </c>
      <c r="E9" s="25">
        <f>Aurora!C40*1000</f>
        <v>-2235491.2756374907</v>
      </c>
      <c r="F9" s="25">
        <f>Aurora!D40*1000</f>
        <v>-2590153.3985682894</v>
      </c>
      <c r="G9" s="25">
        <f>Aurora!E40*1000</f>
        <v>-3360531.0792105538</v>
      </c>
      <c r="H9" s="25">
        <f>Aurora!F40*1000</f>
        <v>-3516536.9942801339</v>
      </c>
      <c r="I9" s="25">
        <f>Aurora!G40*1000</f>
        <v>-2765293.7893458777</v>
      </c>
      <c r="J9" s="25">
        <f>Aurora!H40*1000</f>
        <v>-3899547.0302036828</v>
      </c>
      <c r="K9" s="25">
        <f>Aurora!I40*1000</f>
        <v>-899007.77740478516</v>
      </c>
      <c r="L9" s="25">
        <f>Aurora!J40*1000</f>
        <v>-2492647.9675292969</v>
      </c>
      <c r="M9" s="25">
        <f>Aurora!K40*1000</f>
        <v>-2719109.5319475448</v>
      </c>
      <c r="N9" s="25">
        <f>Aurora!L40*1000</f>
        <v>-4254387.7859933032</v>
      </c>
      <c r="O9" s="25">
        <f>Aurora!M40*1000</f>
        <v>-4746039.3502644133</v>
      </c>
      <c r="P9" s="25"/>
    </row>
    <row r="10" spans="1:16">
      <c r="A10" t="s">
        <v>113</v>
      </c>
      <c r="C10" s="26">
        <f>SUM(D10:O10)</f>
        <v>-1177526.83826828</v>
      </c>
      <c r="D10" s="3">
        <f>Aurora!B36*1000</f>
        <v>-65076.08826468332</v>
      </c>
      <c r="E10" s="3">
        <f>Aurora!C36*1000</f>
        <v>-61388.499435424805</v>
      </c>
      <c r="F10" s="3">
        <f>Aurora!D36*1000</f>
        <v>-77388.955485316692</v>
      </c>
      <c r="G10" s="3">
        <f>Aurora!E36*1000</f>
        <v>-113506.07947823661</v>
      </c>
      <c r="H10" s="3">
        <f>Aurora!F36*1000</f>
        <v>-174283.71216517859</v>
      </c>
      <c r="I10" s="3">
        <f>Aurora!G36*1000</f>
        <v>-158777.37667410713</v>
      </c>
      <c r="J10" s="3">
        <f>Aurora!H36*1000</f>
        <v>-121649.7054966518</v>
      </c>
      <c r="K10" s="3">
        <f>Aurora!I36*1000</f>
        <v>-28021.165729631699</v>
      </c>
      <c r="L10" s="3">
        <f>Aurora!J36*1000</f>
        <v>-72862.265262276793</v>
      </c>
      <c r="M10" s="3">
        <f>Aurora!K36*1000</f>
        <v>-76178.226478794633</v>
      </c>
      <c r="N10" s="3">
        <f>Aurora!L36*1000</f>
        <v>-111107.21540178572</v>
      </c>
      <c r="O10" s="3">
        <f>Aurora!M36*1000</f>
        <v>-117287.54839619227</v>
      </c>
    </row>
    <row r="11" spans="1:16" hidden="1">
      <c r="A11" t="s">
        <v>56</v>
      </c>
      <c r="C11" s="28">
        <f>C9/C10</f>
        <v>30.382447043924028</v>
      </c>
      <c r="D11" s="29">
        <f>D9/D10</f>
        <v>35.303302447371223</v>
      </c>
      <c r="E11" s="29">
        <f t="shared" ref="E11:O11" si="0">E9/E10</f>
        <v>36.415473520232027</v>
      </c>
      <c r="F11" s="29">
        <f t="shared" si="0"/>
        <v>33.469290059868158</v>
      </c>
      <c r="G11" s="29">
        <f t="shared" si="0"/>
        <v>29.606617501531218</v>
      </c>
      <c r="H11" s="29">
        <f t="shared" si="0"/>
        <v>20.177083392321318</v>
      </c>
      <c r="I11" s="29">
        <f t="shared" si="0"/>
        <v>17.416170031714802</v>
      </c>
      <c r="J11" s="29">
        <f t="shared" si="0"/>
        <v>32.055540243876798</v>
      </c>
      <c r="K11" s="29">
        <f t="shared" si="0"/>
        <v>32.083168347778852</v>
      </c>
      <c r="L11" s="29">
        <f t="shared" si="0"/>
        <v>34.210409991464033</v>
      </c>
      <c r="M11" s="29">
        <f t="shared" si="0"/>
        <v>35.694051405941437</v>
      </c>
      <c r="N11" s="29">
        <f t="shared" si="0"/>
        <v>38.290832603522581</v>
      </c>
      <c r="O11" s="29">
        <f t="shared" si="0"/>
        <v>40.464988953750634</v>
      </c>
    </row>
    <row r="12" spans="1:16">
      <c r="A12" t="s">
        <v>111</v>
      </c>
      <c r="C12" s="52">
        <f>C9/C10</f>
        <v>30.382447043924028</v>
      </c>
      <c r="D12" s="50">
        <f>D9/D10</f>
        <v>35.303302447371223</v>
      </c>
      <c r="E12" s="50">
        <f t="shared" ref="E12:O12" si="1">E9/E10</f>
        <v>36.415473520232027</v>
      </c>
      <c r="F12" s="50">
        <f t="shared" si="1"/>
        <v>33.469290059868158</v>
      </c>
      <c r="G12" s="50">
        <f t="shared" si="1"/>
        <v>29.606617501531218</v>
      </c>
      <c r="H12" s="50">
        <f t="shared" si="1"/>
        <v>20.177083392321318</v>
      </c>
      <c r="I12" s="50">
        <f t="shared" si="1"/>
        <v>17.416170031714802</v>
      </c>
      <c r="J12" s="50">
        <f t="shared" si="1"/>
        <v>32.055540243876798</v>
      </c>
      <c r="K12" s="50">
        <f t="shared" si="1"/>
        <v>32.083168347778852</v>
      </c>
      <c r="L12" s="50">
        <f t="shared" si="1"/>
        <v>34.210409991464033</v>
      </c>
      <c r="M12" s="50">
        <f t="shared" si="1"/>
        <v>35.694051405941437</v>
      </c>
      <c r="N12" s="50">
        <f t="shared" si="1"/>
        <v>38.290832603522581</v>
      </c>
      <c r="O12" s="50">
        <f t="shared" si="1"/>
        <v>40.464988953750634</v>
      </c>
    </row>
    <row r="13" spans="1:16">
      <c r="A13" t="s">
        <v>114</v>
      </c>
      <c r="B13" s="5" t="s">
        <v>55</v>
      </c>
      <c r="C13" s="38">
        <f>SUM(D13:O13)</f>
        <v>18690725.317115158</v>
      </c>
      <c r="D13" s="25">
        <f>Aurora!B39*1000</f>
        <v>3101178.5164969312</v>
      </c>
      <c r="E13" s="25">
        <f>Aurora!C39*1000</f>
        <v>2360623.2036045622</v>
      </c>
      <c r="F13" s="25">
        <f>Aurora!D39*1000</f>
        <v>2004006.08858381</v>
      </c>
      <c r="G13" s="25">
        <f>Aurora!E39*1000</f>
        <v>882647.81738775119</v>
      </c>
      <c r="H13" s="25">
        <f>Aurora!F39*1000</f>
        <v>360683.7994447776</v>
      </c>
      <c r="I13" s="25">
        <f>Aurora!G39*1000</f>
        <v>646872.78836114064</v>
      </c>
      <c r="J13" s="25">
        <f>Aurora!H39*1000</f>
        <v>1078790.237072536</v>
      </c>
      <c r="K13" s="25">
        <f>Aurora!I39*1000</f>
        <v>4028776.8886021203</v>
      </c>
      <c r="L13" s="25">
        <f>Aurora!J39*1000</f>
        <v>1264928.7523542133</v>
      </c>
      <c r="M13" s="25">
        <f>Aurora!K39*1000</f>
        <v>1097418.6071412903</v>
      </c>
      <c r="N13" s="25">
        <f>Aurora!L39*1000</f>
        <v>706823.65579434799</v>
      </c>
      <c r="O13" s="25">
        <f>Aurora!M39*1000</f>
        <v>1157974.9622716701</v>
      </c>
    </row>
    <row r="14" spans="1:16" s="3" customFormat="1">
      <c r="A14" s="3" t="s">
        <v>118</v>
      </c>
      <c r="C14" s="27">
        <f>SUM(D14:O14)</f>
        <v>551384.52669852972</v>
      </c>
      <c r="D14" s="3">
        <f>Aurora!B35*1000</f>
        <v>93058.978738839272</v>
      </c>
      <c r="E14" s="3">
        <f>Aurora!C35*1000</f>
        <v>66667.106940569196</v>
      </c>
      <c r="F14" s="3">
        <f>Aurora!D35*1000</f>
        <v>66738.373127092636</v>
      </c>
      <c r="G14" s="3">
        <f>Aurora!E35*1000</f>
        <v>42813.166895185197</v>
      </c>
      <c r="H14" s="3">
        <f>Aurora!F35*1000</f>
        <v>16852.844142505102</v>
      </c>
      <c r="I14" s="3">
        <f>Aurora!G35*1000</f>
        <v>31632.039485822406</v>
      </c>
      <c r="J14" s="3">
        <f>Aurora!H35*1000</f>
        <v>25438.631141008653</v>
      </c>
      <c r="K14" s="3">
        <f>Aurora!I35*1000</f>
        <v>100573.2302734375</v>
      </c>
      <c r="L14" s="3">
        <f>Aurora!J35*1000</f>
        <v>31544.970152064732</v>
      </c>
      <c r="M14" s="3">
        <f>Aurora!K35*1000</f>
        <v>27572.789757973809</v>
      </c>
      <c r="N14" s="3">
        <f>Aurora!L35*1000</f>
        <v>17093.564689908708</v>
      </c>
      <c r="O14" s="3">
        <f>Aurora!M35*1000</f>
        <v>31398.831354122503</v>
      </c>
    </row>
    <row r="15" spans="1:16" hidden="1">
      <c r="A15" s="3" t="s">
        <v>57</v>
      </c>
      <c r="C15" s="28">
        <f>C13/C14</f>
        <v>33.897805273985028</v>
      </c>
      <c r="D15" s="29">
        <f>D13/D14</f>
        <v>33.324871587083273</v>
      </c>
      <c r="E15" s="29">
        <f t="shared" ref="E15:O15" si="2">E13/E14</f>
        <v>35.409114208434971</v>
      </c>
      <c r="F15" s="29">
        <f t="shared" si="2"/>
        <v>30.027793526933877</v>
      </c>
      <c r="G15" s="29">
        <f t="shared" si="2"/>
        <v>20.616270213054818</v>
      </c>
      <c r="H15" s="29">
        <f t="shared" si="2"/>
        <v>21.401954257387651</v>
      </c>
      <c r="I15" s="29">
        <f t="shared" si="2"/>
        <v>20.449923522985969</v>
      </c>
      <c r="J15" s="29">
        <f t="shared" si="2"/>
        <v>42.407558452839041</v>
      </c>
      <c r="K15" s="29">
        <f t="shared" si="2"/>
        <v>40.058143480613296</v>
      </c>
      <c r="L15" s="29">
        <f t="shared" si="2"/>
        <v>40.099221722402518</v>
      </c>
      <c r="M15" s="29">
        <f t="shared" si="2"/>
        <v>39.800782466124105</v>
      </c>
      <c r="N15" s="29">
        <f t="shared" si="2"/>
        <v>41.350278225560857</v>
      </c>
      <c r="O15" s="29">
        <f t="shared" si="2"/>
        <v>36.879556095951131</v>
      </c>
    </row>
    <row r="16" spans="1:16">
      <c r="A16" s="3" t="s">
        <v>116</v>
      </c>
      <c r="C16" s="52">
        <f>C13/C14</f>
        <v>33.897805273985028</v>
      </c>
      <c r="D16" s="50">
        <f>D13/D14</f>
        <v>33.324871587083273</v>
      </c>
      <c r="E16" s="50">
        <f t="shared" ref="E16:O16" si="3">E13/E14</f>
        <v>35.409114208434971</v>
      </c>
      <c r="F16" s="50">
        <f t="shared" si="3"/>
        <v>30.027793526933877</v>
      </c>
      <c r="G16" s="50">
        <f t="shared" si="3"/>
        <v>20.616270213054818</v>
      </c>
      <c r="H16" s="50">
        <f t="shared" si="3"/>
        <v>21.401954257387651</v>
      </c>
      <c r="I16" s="50"/>
      <c r="J16" s="50">
        <f t="shared" si="3"/>
        <v>42.407558452839041</v>
      </c>
      <c r="K16" s="50">
        <f t="shared" si="3"/>
        <v>40.058143480613296</v>
      </c>
      <c r="L16" s="50">
        <f t="shared" si="3"/>
        <v>40.099221722402518</v>
      </c>
      <c r="M16" s="50">
        <f t="shared" si="3"/>
        <v>39.800782466124105</v>
      </c>
      <c r="N16" s="50">
        <f t="shared" si="3"/>
        <v>41.350278225560857</v>
      </c>
      <c r="O16" s="50">
        <f t="shared" si="3"/>
        <v>36.879556095951131</v>
      </c>
    </row>
    <row r="17" spans="1:17">
      <c r="A17" t="s">
        <v>115</v>
      </c>
      <c r="C17" s="27">
        <f>C14+C10</f>
        <v>-626142.31156975031</v>
      </c>
      <c r="D17" s="19">
        <f>D14+D10</f>
        <v>27982.890474155953</v>
      </c>
      <c r="E17" s="19">
        <f>E14+E10</f>
        <v>5278.6075051443913</v>
      </c>
      <c r="F17" s="19">
        <f t="shared" ref="F17:O17" si="4">F14+F10</f>
        <v>-10650.582358224055</v>
      </c>
      <c r="G17" s="19">
        <f t="shared" si="4"/>
        <v>-70692.912583051424</v>
      </c>
      <c r="H17" s="19">
        <f t="shared" si="4"/>
        <v>-157430.86802267347</v>
      </c>
      <c r="I17" s="19">
        <f t="shared" si="4"/>
        <v>-127145.33718828473</v>
      </c>
      <c r="J17" s="19">
        <f t="shared" si="4"/>
        <v>-96211.074355643155</v>
      </c>
      <c r="K17" s="19">
        <f t="shared" si="4"/>
        <v>72552.064543805798</v>
      </c>
      <c r="L17" s="19">
        <f t="shared" si="4"/>
        <v>-41317.295110212057</v>
      </c>
      <c r="M17" s="19">
        <f t="shared" si="4"/>
        <v>-48605.436720820828</v>
      </c>
      <c r="N17" s="19">
        <f t="shared" si="4"/>
        <v>-94013.65071187701</v>
      </c>
      <c r="O17" s="19">
        <f t="shared" si="4"/>
        <v>-85888.717042069766</v>
      </c>
    </row>
    <row r="18" spans="1:17">
      <c r="A18" t="s">
        <v>117</v>
      </c>
      <c r="C18" s="116">
        <f>C17/8760</f>
        <v>-71.47743282759707</v>
      </c>
      <c r="D18" s="3">
        <f>D17/D6</f>
        <v>37.611411927628971</v>
      </c>
      <c r="E18" s="3">
        <f t="shared" ref="E18:O18" si="5">E17/E6</f>
        <v>7.8550706921791535</v>
      </c>
      <c r="F18" s="3">
        <f t="shared" si="5"/>
        <v>-14.334565758040451</v>
      </c>
      <c r="G18" s="3">
        <f t="shared" si="5"/>
        <v>-98.18460080979365</v>
      </c>
      <c r="H18" s="3">
        <f t="shared" si="5"/>
        <v>-211.60062906273316</v>
      </c>
      <c r="I18" s="3">
        <f t="shared" si="5"/>
        <v>-176.59074609483989</v>
      </c>
      <c r="J18" s="3">
        <f t="shared" si="5"/>
        <v>-129.31596015543434</v>
      </c>
      <c r="K18" s="3">
        <f t="shared" si="5"/>
        <v>97.516215784685215</v>
      </c>
      <c r="L18" s="3">
        <f t="shared" si="5"/>
        <v>-57.385132097516745</v>
      </c>
      <c r="M18" s="3">
        <f t="shared" si="5"/>
        <v>-65.329888065619386</v>
      </c>
      <c r="N18" s="3">
        <f t="shared" si="5"/>
        <v>-130.3934129152247</v>
      </c>
      <c r="O18" s="3">
        <f t="shared" si="5"/>
        <v>-115.44182398127657</v>
      </c>
    </row>
    <row r="19" spans="1:17">
      <c r="A19" t="s">
        <v>119</v>
      </c>
      <c r="C19" s="80">
        <f>(-C9+C13)/(-C10+C14)</f>
        <v>31.503565322821554</v>
      </c>
      <c r="D19" s="29">
        <f>(-D9+D13)/(-D10+D14)</f>
        <v>34.13903977715843</v>
      </c>
      <c r="E19" s="29">
        <f>(-E9+E13)/(-E10+E14)</f>
        <v>35.891552188250508</v>
      </c>
      <c r="F19" s="29">
        <f t="shared" ref="F19:O19" si="6">(-F9+F13)/(-F10+F14)</f>
        <v>31.875699989603106</v>
      </c>
      <c r="G19" s="29">
        <f t="shared" si="6"/>
        <v>27.144315207751358</v>
      </c>
      <c r="H19" s="29">
        <f t="shared" si="6"/>
        <v>20.28508239671077</v>
      </c>
      <c r="I19" s="29">
        <f t="shared" si="6"/>
        <v>17.920156715574695</v>
      </c>
      <c r="J19" s="29">
        <f t="shared" si="6"/>
        <v>33.845900912863861</v>
      </c>
      <c r="K19" s="29">
        <f t="shared" si="6"/>
        <v>38.320368687678219</v>
      </c>
      <c r="L19" s="29">
        <f t="shared" si="6"/>
        <v>35.989619924055219</v>
      </c>
      <c r="M19" s="29">
        <f t="shared" si="6"/>
        <v>36.785453073338587</v>
      </c>
      <c r="N19" s="29">
        <f t="shared" si="6"/>
        <v>38.698761725468358</v>
      </c>
      <c r="O19" s="29">
        <f t="shared" si="6"/>
        <v>39.707835529054798</v>
      </c>
    </row>
    <row r="20" spans="1:17">
      <c r="C20" s="28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7" s="3" customFormat="1">
      <c r="A21" s="3" t="s">
        <v>36</v>
      </c>
      <c r="C21" s="27">
        <f>SUM(D21:O21)</f>
        <v>1530933.9448521205</v>
      </c>
      <c r="D21" s="3">
        <f>Aurora!B6*1000</f>
        <v>135418.7722935268</v>
      </c>
      <c r="E21" s="3">
        <f>Aurora!C6*1000</f>
        <v>131198.96523437498</v>
      </c>
      <c r="F21" s="3">
        <f>Aurora!D6*1000</f>
        <v>135857.12960379463</v>
      </c>
      <c r="G21" s="3">
        <f>Aurora!E6*1000</f>
        <v>101275.40638950892</v>
      </c>
      <c r="H21" s="3">
        <f>Aurora!F6*1000</f>
        <v>88685.321121651781</v>
      </c>
      <c r="I21" s="3">
        <f>Aurora!G6*1000</f>
        <v>82789.092564174105</v>
      </c>
      <c r="J21" s="3">
        <f>Aurora!H6*1000</f>
        <v>135125.48180803572</v>
      </c>
      <c r="K21" s="3">
        <f>Aurora!I6*1000</f>
        <v>143559.72343749998</v>
      </c>
      <c r="L21" s="3">
        <f>Aurora!J6*1000</f>
        <v>141762.5955357143</v>
      </c>
      <c r="M21" s="3">
        <f>Aurora!K6*1000</f>
        <v>146634.28750000001</v>
      </c>
      <c r="N21" s="3">
        <f>Aurora!L6*1000</f>
        <v>142933.04179687501</v>
      </c>
      <c r="O21" s="3">
        <f>Aurora!M6*1000</f>
        <v>145694.12756696428</v>
      </c>
      <c r="P21" s="3">
        <f>C21/8784</f>
        <v>174.2866512809791</v>
      </c>
      <c r="Q21" s="115">
        <f>P21/230</f>
        <v>0.7577680490477352</v>
      </c>
    </row>
    <row r="22" spans="1:17">
      <c r="A22" s="3" t="s">
        <v>107</v>
      </c>
      <c r="C22" s="74">
        <f>C23/C21</f>
        <v>13.58531669440451</v>
      </c>
      <c r="D22" s="77">
        <f>D23/D21</f>
        <v>13.544498575113741</v>
      </c>
      <c r="E22" s="77">
        <f t="shared" ref="E22:O22" si="7">E23/E21</f>
        <v>13.512666829766369</v>
      </c>
      <c r="F22" s="77">
        <f t="shared" si="7"/>
        <v>13.591480426586983</v>
      </c>
      <c r="G22" s="77">
        <f t="shared" si="7"/>
        <v>13.781486409044437</v>
      </c>
      <c r="H22" s="77">
        <f t="shared" si="7"/>
        <v>13.812830161761982</v>
      </c>
      <c r="I22" s="77">
        <f t="shared" si="7"/>
        <v>13.907901905310363</v>
      </c>
      <c r="J22" s="77">
        <f t="shared" si="7"/>
        <v>13.63129611585021</v>
      </c>
      <c r="K22" s="77">
        <f t="shared" si="7"/>
        <v>13.534014205120339</v>
      </c>
      <c r="L22" s="77">
        <f t="shared" si="7"/>
        <v>13.502858601536648</v>
      </c>
      <c r="M22" s="77">
        <f t="shared" si="7"/>
        <v>13.501335001327508</v>
      </c>
      <c r="N22" s="77">
        <f t="shared" si="7"/>
        <v>13.490351084795472</v>
      </c>
      <c r="O22" s="77">
        <f t="shared" si="7"/>
        <v>13.490602530183208</v>
      </c>
    </row>
    <row r="23" spans="1:17">
      <c r="A23" t="s">
        <v>37</v>
      </c>
      <c r="C23" s="30">
        <f>SUM(D23:O23)</f>
        <v>20798222.479030065</v>
      </c>
      <c r="D23" s="31">
        <f>Aurora!B26*1000</f>
        <v>1834179.3683733258</v>
      </c>
      <c r="E23" s="31">
        <f>Aurora!C26*1000</f>
        <v>1772847.9056222097</v>
      </c>
      <c r="F23" s="31">
        <f>Aurora!D26*1000</f>
        <v>1846499.5178222656</v>
      </c>
      <c r="G23" s="31">
        <f>Aurora!E26*1000</f>
        <v>1395725.6367274693</v>
      </c>
      <c r="H23" s="31">
        <f>Aurora!F26*1000</f>
        <v>1224995.2784946987</v>
      </c>
      <c r="I23" s="31">
        <f>Aurora!G26*1000</f>
        <v>1151422.578212193</v>
      </c>
      <c r="J23" s="31">
        <f>Aurora!H26*1000</f>
        <v>1841935.4553222656</v>
      </c>
      <c r="K23" s="31">
        <f>Aurora!I26*1000</f>
        <v>1942939.3362862722</v>
      </c>
      <c r="L23" s="31">
        <f>Aurora!J26*1000</f>
        <v>1914200.2825055805</v>
      </c>
      <c r="M23" s="31">
        <f>Aurora!K26*1000</f>
        <v>1979758.6382184708</v>
      </c>
      <c r="N23" s="31">
        <f>Aurora!L26*1000</f>
        <v>1928216.9154575893</v>
      </c>
      <c r="O23" s="31">
        <f>Aurora!M26*1000</f>
        <v>1965501.5659877234</v>
      </c>
    </row>
    <row r="24" spans="1:17">
      <c r="C24" s="28"/>
    </row>
    <row r="25" spans="1:17" s="3" customFormat="1">
      <c r="A25" s="3" t="s">
        <v>38</v>
      </c>
      <c r="C25" s="27">
        <f>SUM(D25:O25)</f>
        <v>337418.35278058727</v>
      </c>
      <c r="D25" s="3">
        <f>Aurora!B8*1000</f>
        <v>31999.142075892854</v>
      </c>
      <c r="E25" s="3">
        <f>Aurora!C8*1000</f>
        <v>29708.080887276785</v>
      </c>
      <c r="F25" s="3">
        <f>Aurora!D8*1000</f>
        <v>31401.78256487165</v>
      </c>
      <c r="G25" s="3">
        <f>Aurora!E8*1000</f>
        <v>21550.66996372768</v>
      </c>
      <c r="H25" s="3">
        <f>Aurora!F8*1000</f>
        <v>17215.473369053434</v>
      </c>
      <c r="I25" s="3">
        <f>Aurora!G8*1000</f>
        <v>11665.43104030064</v>
      </c>
      <c r="J25" s="3">
        <f>Aurora!H8*1000</f>
        <v>28880.233565848212</v>
      </c>
      <c r="K25" s="3">
        <f>Aurora!I8*1000</f>
        <v>33085.682700892859</v>
      </c>
      <c r="L25" s="3">
        <f>Aurora!J8*1000</f>
        <v>32455.225837053567</v>
      </c>
      <c r="M25" s="3">
        <f>Aurora!K8*1000</f>
        <v>33490.012499999997</v>
      </c>
      <c r="N25" s="3">
        <f>Aurora!L8*1000</f>
        <v>32498.9140625</v>
      </c>
      <c r="O25" s="3">
        <f>Aurora!M8*1000</f>
        <v>33467.704213169643</v>
      </c>
      <c r="P25" s="3">
        <f>C25/8760</f>
        <v>38.518076801436905</v>
      </c>
    </row>
    <row r="26" spans="1:17">
      <c r="A26" s="3" t="s">
        <v>106</v>
      </c>
      <c r="C26" s="74">
        <f t="shared" ref="C26:O26" si="8">C27/C25</f>
        <v>30.138730747057313</v>
      </c>
      <c r="D26" s="77">
        <f>D27/D25</f>
        <v>30.120057397809596</v>
      </c>
      <c r="E26" s="77">
        <f t="shared" si="8"/>
        <v>30.0995527471825</v>
      </c>
      <c r="F26" s="77">
        <f t="shared" si="8"/>
        <v>30.159255406086469</v>
      </c>
      <c r="G26" s="77">
        <f t="shared" si="8"/>
        <v>30.354947788216137</v>
      </c>
      <c r="H26" s="77">
        <f t="shared" si="8"/>
        <v>30.363061277072234</v>
      </c>
      <c r="I26" s="77"/>
      <c r="J26" s="77">
        <f t="shared" si="8"/>
        <v>30.1632960673154</v>
      </c>
      <c r="K26" s="77">
        <f t="shared" si="8"/>
        <v>30.09188903514983</v>
      </c>
      <c r="L26" s="77">
        <f t="shared" si="8"/>
        <v>30.068663173253867</v>
      </c>
      <c r="M26" s="77">
        <f t="shared" si="8"/>
        <v>30.071367208143066</v>
      </c>
      <c r="N26" s="77">
        <f t="shared" si="8"/>
        <v>30.066075439265191</v>
      </c>
      <c r="O26" s="77">
        <f t="shared" si="8"/>
        <v>30.071466203043514</v>
      </c>
    </row>
    <row r="27" spans="1:17">
      <c r="A27" t="s">
        <v>39</v>
      </c>
      <c r="C27" s="30">
        <f>SUM(D27:O27)</f>
        <v>10169360.883569717</v>
      </c>
      <c r="D27" s="32">
        <f>Aurora!B28*1000</f>
        <v>963815.9960065569</v>
      </c>
      <c r="E27" s="32">
        <f>Aurora!C28*1000</f>
        <v>894199.94768415182</v>
      </c>
      <c r="F27" s="32">
        <f>Aurora!D28*1000</f>
        <v>947054.38058035716</v>
      </c>
      <c r="G27" s="32">
        <f>Aurora!E28*1000</f>
        <v>654169.46155003144</v>
      </c>
      <c r="H27" s="32">
        <f>Aurora!F28*1000</f>
        <v>522714.47281837458</v>
      </c>
      <c r="I27" s="32">
        <f>Aurora!G28*1000</f>
        <v>354159.44126674108</v>
      </c>
      <c r="J27" s="32">
        <f>Aurora!H28*1000</f>
        <v>871123.0355398996</v>
      </c>
      <c r="K27" s="32">
        <f>Aurora!I28*1000</f>
        <v>995610.69248744426</v>
      </c>
      <c r="L27" s="32">
        <f>Aurora!J28*1000</f>
        <v>975885.25390625</v>
      </c>
      <c r="M27" s="32">
        <f>Aurora!K28*1000</f>
        <v>1007090.4636928013</v>
      </c>
      <c r="N27" s="32">
        <f>Aurora!L28*1000</f>
        <v>977114.80189732136</v>
      </c>
      <c r="O27" s="32">
        <f>Aurora!M28*1000</f>
        <v>1006422.9361397879</v>
      </c>
    </row>
    <row r="28" spans="1:17">
      <c r="C28" s="80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>
      <c r="A29" t="s">
        <v>94</v>
      </c>
      <c r="C29" s="27">
        <f>SUM(D29:O29)</f>
        <v>1434973.7404894743</v>
      </c>
      <c r="D29" s="3">
        <f>Aurora!B7*1000</f>
        <v>131386.27575683594</v>
      </c>
      <c r="E29" s="3">
        <f>Aurora!C7*1000</f>
        <v>131085.45803571428</v>
      </c>
      <c r="F29" s="3">
        <f>Aurora!D7*1000</f>
        <v>122444.96470424108</v>
      </c>
      <c r="G29" s="3">
        <f>Aurora!E7*1000</f>
        <v>67724.570338245801</v>
      </c>
      <c r="H29" s="3">
        <f>Aurora!F7*1000</f>
        <v>43654.848254394528</v>
      </c>
      <c r="I29" s="3">
        <f>Aurora!G7*1000</f>
        <v>35206.418746512281</v>
      </c>
      <c r="J29" s="3">
        <f>Aurora!H7*1000</f>
        <v>109867.16685267855</v>
      </c>
      <c r="K29" s="3">
        <f>Aurora!I7*1000</f>
        <v>143553.29299665178</v>
      </c>
      <c r="L29" s="3">
        <f>Aurora!J7*1000</f>
        <v>150480.10189732144</v>
      </c>
      <c r="M29" s="3">
        <f>Aurora!K7*1000</f>
        <v>160676.91328125002</v>
      </c>
      <c r="N29" s="3">
        <f>Aurora!L7*1000</f>
        <v>165351.34185267857</v>
      </c>
      <c r="O29" s="3">
        <f>Aurora!M7*1000</f>
        <v>173542.38777295011</v>
      </c>
      <c r="P29" s="3">
        <f>C29/8784</f>
        <v>163.36222000107858</v>
      </c>
    </row>
    <row r="30" spans="1:17">
      <c r="A30" t="s">
        <v>104</v>
      </c>
      <c r="C30" s="74">
        <f>C31/C29</f>
        <v>29.432401505095221</v>
      </c>
      <c r="D30" s="77">
        <f>D31/D29</f>
        <v>29.497292096508769</v>
      </c>
      <c r="E30" s="77">
        <f t="shared" ref="E30:O30" si="9">E31/E29</f>
        <v>29.108880689965321</v>
      </c>
      <c r="F30" s="77">
        <f t="shared" si="9"/>
        <v>28.851324229873651</v>
      </c>
      <c r="G30" s="77">
        <f t="shared" si="9"/>
        <v>28.192778772986742</v>
      </c>
      <c r="H30" s="77">
        <f t="shared" si="9"/>
        <v>28.521865963308763</v>
      </c>
      <c r="I30" s="77">
        <f t="shared" si="9"/>
        <v>29.055884426293972</v>
      </c>
      <c r="J30" s="77">
        <f t="shared" si="9"/>
        <v>29.276430939205135</v>
      </c>
      <c r="K30" s="77">
        <f t="shared" si="9"/>
        <v>29.290468282633533</v>
      </c>
      <c r="L30" s="77">
        <f t="shared" si="9"/>
        <v>28.978529980447469</v>
      </c>
      <c r="M30" s="77">
        <f t="shared" si="9"/>
        <v>29.01541862690696</v>
      </c>
      <c r="N30" s="77">
        <f t="shared" si="9"/>
        <v>29.971585762573284</v>
      </c>
      <c r="O30" s="77">
        <f t="shared" si="9"/>
        <v>31.308862338130972</v>
      </c>
    </row>
    <row r="31" spans="1:17">
      <c r="A31" t="s">
        <v>92</v>
      </c>
      <c r="C31" s="30">
        <f>SUM(D31:O31)</f>
        <v>42234723.27935452</v>
      </c>
      <c r="D31" s="25">
        <f>Aurora!B27*1000</f>
        <v>3875539.3534718384</v>
      </c>
      <c r="E31" s="25">
        <f>Aurora!C27*1000</f>
        <v>3815750.958151063</v>
      </c>
      <c r="F31" s="25">
        <f>Aurora!D27*1000</f>
        <v>3532699.3769974946</v>
      </c>
      <c r="G31" s="25">
        <f>Aurora!E27*1000</f>
        <v>1909343.8290417437</v>
      </c>
      <c r="H31" s="25">
        <f>Aurora!F27*1000</f>
        <v>1245117.7305604243</v>
      </c>
      <c r="I31" s="25">
        <f>Aurora!G27*1000</f>
        <v>1022953.6341623703</v>
      </c>
      <c r="J31" s="25">
        <f>Aurora!H27*1000</f>
        <v>3216518.5228485712</v>
      </c>
      <c r="K31" s="25">
        <f>Aurora!I27*1000</f>
        <v>4204743.1753860274</v>
      </c>
      <c r="L31" s="25">
        <f>Aurora!J27*1000</f>
        <v>4360692.1442923192</v>
      </c>
      <c r="M31" s="25">
        <f>Aurora!K27*1000</f>
        <v>4662107.9025346963</v>
      </c>
      <c r="N31" s="25">
        <f>Aurora!L27*1000</f>
        <v>4955841.9232941289</v>
      </c>
      <c r="O31" s="25">
        <f>Aurora!M27*1000</f>
        <v>5433414.7286138386</v>
      </c>
    </row>
    <row r="32" spans="1:17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7">
      <c r="A33" t="s">
        <v>187</v>
      </c>
      <c r="C33" s="27">
        <f>SUM(D33:O33)</f>
        <v>1383259.7640075684</v>
      </c>
      <c r="D33" s="3">
        <f>Aurora!B10*1000</f>
        <v>139248.03506208147</v>
      </c>
      <c r="E33" s="3">
        <f>Aurora!C10*1000</f>
        <v>133983.82268763951</v>
      </c>
      <c r="F33" s="3">
        <f>Aurora!D10*1000</f>
        <v>128935.41342817033</v>
      </c>
      <c r="G33" s="3">
        <f>Aurora!E10*1000</f>
        <v>74856.04928152902</v>
      </c>
      <c r="H33" s="3">
        <f>Aurora!F10*1000</f>
        <v>26667.898606218612</v>
      </c>
      <c r="I33" s="3">
        <f>Aurora!G10*1000</f>
        <v>23687.489474051334</v>
      </c>
      <c r="J33" s="3">
        <f>Aurora!H10*1000</f>
        <v>100905.41909877231</v>
      </c>
      <c r="K33" s="3">
        <f>Aurora!I10*1000</f>
        <v>127453.37706473214</v>
      </c>
      <c r="L33" s="3">
        <f>Aurora!J10*1000</f>
        <v>142545.80033482143</v>
      </c>
      <c r="M33" s="3">
        <f>Aurora!K10*1000</f>
        <v>156680.58906250002</v>
      </c>
      <c r="N33" s="3">
        <f>Aurora!L10*1000</f>
        <v>161986.47957589285</v>
      </c>
      <c r="O33" s="3">
        <f>Aurora!M10*1000</f>
        <v>166309.39033115932</v>
      </c>
      <c r="P33" s="3">
        <f>C33/8784</f>
        <v>157.47492759649003</v>
      </c>
    </row>
    <row r="34" spans="1:17">
      <c r="A34" t="s">
        <v>188</v>
      </c>
      <c r="C34" s="74">
        <f>C35/C33</f>
        <v>28.732379322129514</v>
      </c>
      <c r="D34" s="77">
        <f>D35/D33</f>
        <v>28.082488613922212</v>
      </c>
      <c r="E34" s="77">
        <f t="shared" ref="E34:O34" si="10">E35/E33</f>
        <v>27.898097368954637</v>
      </c>
      <c r="F34" s="77">
        <f t="shared" si="10"/>
        <v>27.774883542306533</v>
      </c>
      <c r="G34" s="77">
        <f t="shared" si="10"/>
        <v>27.532403713429069</v>
      </c>
      <c r="H34" s="77">
        <f t="shared" si="10"/>
        <v>28.153678114470118</v>
      </c>
      <c r="I34" s="77">
        <f t="shared" si="10"/>
        <v>28.818177836938723</v>
      </c>
      <c r="J34" s="77">
        <f t="shared" si="10"/>
        <v>28.924934292086746</v>
      </c>
      <c r="K34" s="77">
        <f t="shared" si="10"/>
        <v>28.608041586989664</v>
      </c>
      <c r="L34" s="77">
        <f t="shared" si="10"/>
        <v>28.362012340902346</v>
      </c>
      <c r="M34" s="77">
        <f t="shared" si="10"/>
        <v>28.586547856809034</v>
      </c>
      <c r="N34" s="77">
        <f t="shared" si="10"/>
        <v>29.632575997877982</v>
      </c>
      <c r="O34" s="77">
        <f t="shared" si="10"/>
        <v>30.868146770115167</v>
      </c>
    </row>
    <row r="35" spans="1:17">
      <c r="A35" t="s">
        <v>189</v>
      </c>
      <c r="C35" s="30">
        <f>SUM(D35:O35)</f>
        <v>39744344.240504809</v>
      </c>
      <c r="D35" s="25">
        <f>Aurora!B30*1000</f>
        <v>3910431.359141944</v>
      </c>
      <c r="E35" s="25">
        <f>Aurora!C30*1000</f>
        <v>3737893.7312045204</v>
      </c>
      <c r="F35" s="25">
        <f>Aurora!D30*1000</f>
        <v>3581166.0924465768</v>
      </c>
      <c r="G35" s="25">
        <f>Aurora!E30*1000</f>
        <v>2060966.9692113989</v>
      </c>
      <c r="H35" s="25">
        <f>Aurora!F30*1000</f>
        <v>750799.43334880506</v>
      </c>
      <c r="I35" s="25">
        <f>Aurora!G30*1000</f>
        <v>682630.28417382541</v>
      </c>
      <c r="J35" s="25">
        <f>Aurora!H30*1000</f>
        <v>2918682.6171474643</v>
      </c>
      <c r="K35" s="25">
        <f>Aurora!I30*1000</f>
        <v>3646191.5114701316</v>
      </c>
      <c r="L35" s="25">
        <f>Aurora!J30*1000</f>
        <v>4042885.7482400071</v>
      </c>
      <c r="M35" s="25">
        <f>Aurora!K30*1000</f>
        <v>4478957.1574681867</v>
      </c>
      <c r="N35" s="25">
        <f>Aurora!L30*1000</f>
        <v>4800076.6666613547</v>
      </c>
      <c r="O35" s="25">
        <f>Aurora!M30*1000</f>
        <v>5133662.6699905982</v>
      </c>
    </row>
    <row r="36" spans="1:17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7">
      <c r="A37" t="s">
        <v>59</v>
      </c>
      <c r="C37" s="27">
        <f>SUM(D37:O37)</f>
        <v>10244.636679611038</v>
      </c>
      <c r="D37" s="3">
        <f>Aurora!B5*1000</f>
        <v>2040.903301892962</v>
      </c>
      <c r="E37" s="3">
        <f>Aurora!C5*1000</f>
        <v>1833.7772092001778</v>
      </c>
      <c r="F37" s="3">
        <f>Aurora!D5*1000</f>
        <v>1286.8986188616072</v>
      </c>
      <c r="G37" s="3">
        <f>Aurora!E5*1000</f>
        <v>849.5943540436881</v>
      </c>
      <c r="H37" s="3">
        <f>Aurora!F5*1000</f>
        <v>475.01524488074438</v>
      </c>
      <c r="I37" s="3">
        <f>Aurora!G5*1000</f>
        <v>26.525381020137246</v>
      </c>
      <c r="J37" s="3">
        <f>Aurora!H5*1000</f>
        <v>179.29534738404411</v>
      </c>
      <c r="K37" s="3">
        <f>Aurora!I5*1000</f>
        <v>459.8492817836148</v>
      </c>
      <c r="L37" s="3">
        <f>Aurora!J5*1000</f>
        <v>394.65522594451903</v>
      </c>
      <c r="M37" s="3">
        <f>Aurora!K5*1000</f>
        <v>103.97170795542854</v>
      </c>
      <c r="N37" s="3">
        <f>Aurora!L5*1000</f>
        <v>906.17356643676749</v>
      </c>
      <c r="O37" s="3">
        <f>Aurora!M5*1000</f>
        <v>1687.9774402073451</v>
      </c>
      <c r="P37" s="3">
        <f>C37/8760</f>
        <v>1.1694790730149587</v>
      </c>
      <c r="Q37" s="87">
        <f>SUM(P37:P49)</f>
        <v>4.1663877006079302</v>
      </c>
    </row>
    <row r="38" spans="1:17">
      <c r="A38" t="s">
        <v>105</v>
      </c>
      <c r="C38" s="74">
        <f>C39/C37</f>
        <v>43.270415804455233</v>
      </c>
      <c r="D38" s="77">
        <f>IF(D37&gt;0,D39/D37,"")</f>
        <v>43.14681096566305</v>
      </c>
      <c r="E38" s="77">
        <f t="shared" ref="E38:O38" si="11">IF(E37&gt;0,E39/E37,"")</f>
        <v>42.836339280270643</v>
      </c>
      <c r="F38" s="77">
        <f t="shared" si="11"/>
        <v>42.462941034019494</v>
      </c>
      <c r="G38" s="77">
        <f t="shared" si="11"/>
        <v>41.389655376863459</v>
      </c>
      <c r="H38" s="77">
        <f t="shared" si="11"/>
        <v>41.565111848636157</v>
      </c>
      <c r="I38" s="77">
        <f t="shared" si="11"/>
        <v>41.841444829374758</v>
      </c>
      <c r="J38" s="77">
        <f t="shared" si="11"/>
        <v>42.226273019319166</v>
      </c>
      <c r="K38" s="77">
        <f t="shared" si="11"/>
        <v>42.402957070738402</v>
      </c>
      <c r="L38" s="77">
        <f t="shared" si="11"/>
        <v>42.437110551797687</v>
      </c>
      <c r="M38" s="77">
        <f t="shared" si="11"/>
        <v>42.759812880646656</v>
      </c>
      <c r="N38" s="77">
        <f t="shared" si="11"/>
        <v>43.98993807580672</v>
      </c>
      <c r="O38" s="77">
        <f t="shared" si="11"/>
        <v>46.143256824441124</v>
      </c>
    </row>
    <row r="39" spans="1:17">
      <c r="A39" t="s">
        <v>58</v>
      </c>
      <c r="C39" s="30">
        <f>SUM(D39:O39)</f>
        <v>443289.6888923432</v>
      </c>
      <c r="D39" s="25">
        <f>Aurora!B25*1000</f>
        <v>88058.468965973181</v>
      </c>
      <c r="E39" s="25">
        <f>Aurora!C25*1000</f>
        <v>78552.302697726656</v>
      </c>
      <c r="F39" s="25">
        <f>Aurora!D25*1000</f>
        <v>54645.500169481551</v>
      </c>
      <c r="G39" s="25">
        <f>Aurora!E25*1000</f>
        <v>35164.417523997174</v>
      </c>
      <c r="H39" s="25">
        <f>Aurora!F25*1000</f>
        <v>19744.061783275432</v>
      </c>
      <c r="I39" s="25">
        <f>Aurora!G25*1000</f>
        <v>1109.8602665322169</v>
      </c>
      <c r="J39" s="25">
        <f>Aurora!H25*1000</f>
        <v>7570.9742897323194</v>
      </c>
      <c r="K39" s="25">
        <f>Aurora!I25*1000</f>
        <v>19498.969354480505</v>
      </c>
      <c r="L39" s="25">
        <f>Aurora!J25*1000</f>
        <v>16748.027453252249</v>
      </c>
      <c r="M39" s="25">
        <f>Aurora!K25*1000</f>
        <v>4445.8107770553661</v>
      </c>
      <c r="N39" s="25">
        <f>Aurora!L25*1000</f>
        <v>39862.519073486328</v>
      </c>
      <c r="O39" s="25">
        <f>Aurora!M25*1000</f>
        <v>77888.776537350233</v>
      </c>
    </row>
    <row r="40" spans="1:17"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7">
      <c r="A41" t="s">
        <v>61</v>
      </c>
      <c r="C41" s="27">
        <f>SUM(D41:O41)</f>
        <v>12011.483930391925</v>
      </c>
      <c r="D41" s="3">
        <f>Aurora!B9*1000</f>
        <v>1560.5434934752327</v>
      </c>
      <c r="E41" s="3">
        <f>Aurora!C9*1000</f>
        <v>1458.978837776184</v>
      </c>
      <c r="F41" s="3">
        <f>Aurora!D9*1000</f>
        <v>1038.1458128520421</v>
      </c>
      <c r="G41" s="3">
        <f>Aurora!E9*1000</f>
        <v>1049.3774945667813</v>
      </c>
      <c r="H41" s="3">
        <f>Aurora!F9*1000</f>
        <v>811.56655383791235</v>
      </c>
      <c r="I41" s="3">
        <f>Aurora!G9*1000</f>
        <v>229.61623992409025</v>
      </c>
      <c r="J41" s="3">
        <f>Aurora!H9*1000</f>
        <v>576.99760981968473</v>
      </c>
      <c r="K41" s="3">
        <f>Aurora!I9*1000</f>
        <v>892.6688191005162</v>
      </c>
      <c r="L41" s="3">
        <f>Aurora!J9*1000</f>
        <v>903.88359178815574</v>
      </c>
      <c r="M41" s="3">
        <f>Aurora!K9*1000</f>
        <v>592.85367758614677</v>
      </c>
      <c r="N41" s="3">
        <f>Aurora!L9*1000</f>
        <v>1003.5378230503627</v>
      </c>
      <c r="O41" s="3">
        <f>Aurora!M9*1000</f>
        <v>1893.3139766148156</v>
      </c>
      <c r="P41" s="3">
        <f>C41/8760</f>
        <v>1.3711739646566126</v>
      </c>
    </row>
    <row r="42" spans="1:17">
      <c r="A42" t="s">
        <v>108</v>
      </c>
      <c r="C42" s="74">
        <f>C43/C41</f>
        <v>41.821090202472575</v>
      </c>
      <c r="D42" s="77">
        <f t="shared" ref="D42:O42" si="12">IF(D41&gt;0,D43/D41,"")</f>
        <v>41.832087949747276</v>
      </c>
      <c r="E42" s="77">
        <f t="shared" si="12"/>
        <v>41.531076649339241</v>
      </c>
      <c r="F42" s="77">
        <f t="shared" si="12"/>
        <v>41.169056157095213</v>
      </c>
      <c r="G42" s="77">
        <f t="shared" si="12"/>
        <v>40.128475198568786</v>
      </c>
      <c r="H42" s="77">
        <f t="shared" si="12"/>
        <v>40.29947154097043</v>
      </c>
      <c r="I42" s="77">
        <f t="shared" si="12"/>
        <v>40.566497761271556</v>
      </c>
      <c r="J42" s="77">
        <f t="shared" si="12"/>
        <v>40.939600426798293</v>
      </c>
      <c r="K42" s="77">
        <f t="shared" si="12"/>
        <v>41.110900206912561</v>
      </c>
      <c r="L42" s="77">
        <f t="shared" si="12"/>
        <v>41.144013659696569</v>
      </c>
      <c r="M42" s="77">
        <f t="shared" si="12"/>
        <v>41.456882215773462</v>
      </c>
      <c r="N42" s="77">
        <f t="shared" si="12"/>
        <v>42.649524481090644</v>
      </c>
      <c r="O42" s="77">
        <f t="shared" si="12"/>
        <v>44.737229103854347</v>
      </c>
    </row>
    <row r="43" spans="1:17">
      <c r="A43" t="s">
        <v>60</v>
      </c>
      <c r="C43" s="30">
        <f>SUM(D43:O43)</f>
        <v>502333.35291847057</v>
      </c>
      <c r="D43" s="25">
        <f>Aurora!B29*1000</f>
        <v>65280.7926684618</v>
      </c>
      <c r="E43" s="25">
        <f>Aurora!C29*1000</f>
        <v>60592.961941446578</v>
      </c>
      <c r="F43" s="25">
        <f>Aurora!D29*1000</f>
        <v>42739.483268558979</v>
      </c>
      <c r="G43" s="25">
        <f>Aurora!E29*1000</f>
        <v>42109.918764659335</v>
      </c>
      <c r="H43" s="25">
        <f>Aurora!F29*1000</f>
        <v>32705.703239994393</v>
      </c>
      <c r="I43" s="25">
        <f>Aurora!G29*1000</f>
        <v>9314.726682832199</v>
      </c>
      <c r="J43" s="25">
        <f>Aurora!H29*1000</f>
        <v>23622.051593235559</v>
      </c>
      <c r="K43" s="25">
        <f>Aurora!I29*1000</f>
        <v>36698.418739863802</v>
      </c>
      <c r="L43" s="25">
        <f>Aurora!J29*1000</f>
        <v>37189.398847307479</v>
      </c>
      <c r="M43" s="25">
        <f>Aurora!K29*1000</f>
        <v>24577.865082877022</v>
      </c>
      <c r="N43" s="25">
        <f>Aurora!L29*1000</f>
        <v>42800.410951886857</v>
      </c>
      <c r="O43" s="25">
        <f>Aurora!M29*1000</f>
        <v>84701.621137346534</v>
      </c>
    </row>
    <row r="44" spans="1:17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7">
      <c r="A45" t="s">
        <v>40</v>
      </c>
      <c r="C45" s="27">
        <f>SUM(D45:O45)</f>
        <v>13875.430949132784</v>
      </c>
      <c r="D45" s="3">
        <f>Aurora!B12*1000</f>
        <v>4034.5036734444752</v>
      </c>
      <c r="E45" s="3">
        <f>Aurora!C12*1000</f>
        <v>1805.4384852409364</v>
      </c>
      <c r="F45" s="3">
        <f>Aurora!D12*1000</f>
        <v>605.86230283464715</v>
      </c>
      <c r="G45" s="3">
        <f>Aurora!E12*1000</f>
        <v>1601.0158628191266</v>
      </c>
      <c r="H45" s="3">
        <f>Aurora!F12*1000</f>
        <v>87.72776347569058</v>
      </c>
      <c r="I45" s="3">
        <f>Aurora!G12*1000</f>
        <v>0</v>
      </c>
      <c r="J45" s="3">
        <f>Aurora!H12*1000</f>
        <v>566.22899431501116</v>
      </c>
      <c r="K45" s="3">
        <f>Aurora!I12*1000</f>
        <v>1887.7249226808547</v>
      </c>
      <c r="L45" s="3">
        <f>Aurora!J12*1000</f>
        <v>445.74279701369153</v>
      </c>
      <c r="M45" s="3">
        <f>Aurora!K12*1000</f>
        <v>13.578813389369419</v>
      </c>
      <c r="N45" s="3">
        <f>Aurora!L12*1000</f>
        <v>1380.301136125837</v>
      </c>
      <c r="O45" s="3">
        <f>Aurora!M12*1000</f>
        <v>1447.3061977931432</v>
      </c>
      <c r="P45" s="3">
        <f>C45/8760</f>
        <v>1.5839533046955232</v>
      </c>
    </row>
    <row r="46" spans="1:17">
      <c r="A46" t="s">
        <v>102</v>
      </c>
      <c r="C46" s="74">
        <f>C47/C45</f>
        <v>51.426875887049547</v>
      </c>
      <c r="D46" s="77">
        <f t="shared" ref="D46:O46" si="13">IF(D45&gt;0,D47/D45,"")</f>
        <v>51.166130290728525</v>
      </c>
      <c r="E46" s="77">
        <f t="shared" si="13"/>
        <v>51.546143871461197</v>
      </c>
      <c r="F46" s="77">
        <f t="shared" si="13"/>
        <v>52.007914127604664</v>
      </c>
      <c r="G46" s="77">
        <f t="shared" si="13"/>
        <v>49.088500490387673</v>
      </c>
      <c r="H46" s="77">
        <f t="shared" si="13"/>
        <v>50.805432399519759</v>
      </c>
      <c r="I46" s="77" t="str">
        <f t="shared" si="13"/>
        <v/>
      </c>
      <c r="J46" s="77">
        <f t="shared" si="13"/>
        <v>50.118784675347037</v>
      </c>
      <c r="K46" s="77">
        <f t="shared" si="13"/>
        <v>50.116765178829915</v>
      </c>
      <c r="L46" s="77">
        <f t="shared" si="13"/>
        <v>50.355287607608545</v>
      </c>
      <c r="M46" s="77">
        <f t="shared" si="13"/>
        <v>51.302249392781654</v>
      </c>
      <c r="N46" s="77">
        <f t="shared" si="13"/>
        <v>52.105030725516833</v>
      </c>
      <c r="O46" s="77">
        <f t="shared" si="13"/>
        <v>56.291090385269918</v>
      </c>
    </row>
    <row r="47" spans="1:17">
      <c r="A47" t="s">
        <v>41</v>
      </c>
      <c r="C47" s="30">
        <f>SUM(D47:O47)</f>
        <v>713570.06530037778</v>
      </c>
      <c r="D47" s="25">
        <f>Aurora!B32*1000</f>
        <v>206429.94061388288</v>
      </c>
      <c r="E47" s="25">
        <f>Aurora!C32*1000</f>
        <v>93063.391911302286</v>
      </c>
      <c r="F47" s="25">
        <f>Aurora!D32*1000</f>
        <v>31509.634618977139</v>
      </c>
      <c r="G47" s="25">
        <f>Aurora!E32*1000</f>
        <v>78591.467967115139</v>
      </c>
      <c r="H47" s="25">
        <f>Aurora!F32*1000</f>
        <v>4457.0469568252565</v>
      </c>
      <c r="I47" s="25">
        <f>Aurora!G32*1000</f>
        <v>0</v>
      </c>
      <c r="J47" s="25">
        <f>Aurora!H32*1000</f>
        <v>28378.709043012346</v>
      </c>
      <c r="K47" s="25">
        <f>Aurora!I32*1000</f>
        <v>94606.666672221254</v>
      </c>
      <c r="L47" s="25">
        <f>Aurora!J32*1000</f>
        <v>22445.506742644313</v>
      </c>
      <c r="M47" s="25">
        <f>Aurora!K32*1000</f>
        <v>696.62367095947263</v>
      </c>
      <c r="N47" s="25">
        <f>Aurora!L32*1000</f>
        <v>71920.633108302529</v>
      </c>
      <c r="O47" s="25">
        <f>Aurora!M32*1000</f>
        <v>81470.443995135167</v>
      </c>
    </row>
    <row r="48" spans="1:17"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>
      <c r="A49" t="s">
        <v>45</v>
      </c>
      <c r="C49" s="27">
        <f>SUM(D49:O49)</f>
        <v>366.00469818972056</v>
      </c>
      <c r="D49" s="3">
        <f>Aurora!B11*1000</f>
        <v>34.511978888458444</v>
      </c>
      <c r="E49" s="3">
        <f>Aurora!C11*1000</f>
        <v>23.177299826485768</v>
      </c>
      <c r="F49" s="3">
        <f>Aurora!D11*1000</f>
        <v>15.288499737637386</v>
      </c>
      <c r="G49" s="3">
        <f>Aurora!E11*1000</f>
        <v>129.66585132053922</v>
      </c>
      <c r="H49" s="3">
        <f>Aurora!F11*1000</f>
        <v>7.754471707344055</v>
      </c>
      <c r="I49" s="3">
        <f>Aurora!G11*1000</f>
        <v>0</v>
      </c>
      <c r="J49" s="3">
        <f>Aurora!H11*1000</f>
        <v>8.6710790497916079</v>
      </c>
      <c r="K49" s="3">
        <f>Aurora!I11*1000</f>
        <v>34.834270455156059</v>
      </c>
      <c r="L49" s="3">
        <f>Aurora!J11*1000</f>
        <v>59.917188664845057</v>
      </c>
      <c r="M49" s="3">
        <f>Aurora!K11*1000</f>
        <v>3.5492654979228973</v>
      </c>
      <c r="N49" s="3">
        <f>Aurora!L11*1000</f>
        <v>13.640899849044425</v>
      </c>
      <c r="O49" s="3">
        <f>Aurora!M11*1000</f>
        <v>34.993893192495619</v>
      </c>
      <c r="P49" s="3">
        <f>C49/8760</f>
        <v>4.1781358240835682E-2</v>
      </c>
    </row>
    <row r="50" spans="1:16">
      <c r="A50" t="s">
        <v>103</v>
      </c>
      <c r="C50" s="74">
        <f>C51/C49</f>
        <v>60.46285390201038</v>
      </c>
      <c r="D50" s="77">
        <f t="shared" ref="D50:O50" si="14">IF(D49&gt;0,D51/D49,"")</f>
        <v>61.313889314786813</v>
      </c>
      <c r="E50" s="77">
        <f t="shared" si="14"/>
        <v>60.872692606966915</v>
      </c>
      <c r="F50" s="77">
        <f t="shared" si="14"/>
        <v>60.342073537466824</v>
      </c>
      <c r="G50" s="77">
        <f t="shared" si="14"/>
        <v>58.816879115907618</v>
      </c>
      <c r="H50" s="77">
        <f t="shared" si="14"/>
        <v>59.066209637045851</v>
      </c>
      <c r="I50" s="77" t="str">
        <f t="shared" si="14"/>
        <v/>
      </c>
      <c r="J50" s="77">
        <f t="shared" si="14"/>
        <v>60.005756850599276</v>
      </c>
      <c r="K50" s="77">
        <f t="shared" si="14"/>
        <v>60.256834243391786</v>
      </c>
      <c r="L50" s="77">
        <f t="shared" si="14"/>
        <v>60.30536803127206</v>
      </c>
      <c r="M50" s="77">
        <f t="shared" si="14"/>
        <v>60.763942756838453</v>
      </c>
      <c r="N50" s="77">
        <f t="shared" si="14"/>
        <v>62.512016143515865</v>
      </c>
      <c r="O50" s="77">
        <f t="shared" si="14"/>
        <v>65.571995596576016</v>
      </c>
    </row>
    <row r="51" spans="1:16">
      <c r="A51" t="s">
        <v>46</v>
      </c>
      <c r="C51" s="30">
        <f>SUM(D51:O51)</f>
        <v>22129.688594094478</v>
      </c>
      <c r="D51" s="25">
        <f>Aurora!B31*1000</f>
        <v>2116.0636536012003</v>
      </c>
      <c r="E51" s="25">
        <f>Aurora!C31*1000</f>
        <v>1410.8646477971758</v>
      </c>
      <c r="F51" s="25">
        <f>Aurora!D31*1000</f>
        <v>922.53977544605732</v>
      </c>
      <c r="G51" s="25">
        <f>Aurora!E31*1000</f>
        <v>7626.5407025814056</v>
      </c>
      <c r="H51" s="25">
        <f>Aurora!F31*1000</f>
        <v>458.0272514905248</v>
      </c>
      <c r="I51" s="25">
        <f>Aurora!G31*1000</f>
        <v>0</v>
      </c>
      <c r="J51" s="25">
        <f>Aurora!H31*1000</f>
        <v>520.31466109412065</v>
      </c>
      <c r="K51" s="25">
        <f>Aurora!I31*1000</f>
        <v>2099.0028608058183</v>
      </c>
      <c r="L51" s="25">
        <f>Aurora!J31*1000</f>
        <v>3613.3281138326438</v>
      </c>
      <c r="M51" s="25">
        <f>Aurora!K31*1000</f>
        <v>215.66736554460866</v>
      </c>
      <c r="N51" s="25">
        <f>Aurora!L31*1000</f>
        <v>852.72015157554824</v>
      </c>
      <c r="O51" s="25">
        <f>Aurora!M31*1000</f>
        <v>2294.6194103253742</v>
      </c>
    </row>
    <row r="52" spans="1:16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6">
      <c r="A53" t="s">
        <v>42</v>
      </c>
      <c r="C53" s="53">
        <f>SUM(D53:O53)</f>
        <v>114627973.67816439</v>
      </c>
      <c r="D53" s="32">
        <f t="shared" ref="D53:J53" si="15">D23+D27+D31+D35+D39+D43+D47+D51</f>
        <v>10945851.342895584</v>
      </c>
      <c r="E53" s="32">
        <f t="shared" si="15"/>
        <v>10454312.063860217</v>
      </c>
      <c r="F53" s="32">
        <f t="shared" si="15"/>
        <v>10037236.525679158</v>
      </c>
      <c r="G53" s="32">
        <f t="shared" si="15"/>
        <v>6183698.241488996</v>
      </c>
      <c r="H53" s="32">
        <f t="shared" si="15"/>
        <v>3800991.7544538882</v>
      </c>
      <c r="I53" s="32">
        <f t="shared" si="15"/>
        <v>3221590.524764494</v>
      </c>
      <c r="J53" s="32">
        <f t="shared" si="15"/>
        <v>8908351.6804452762</v>
      </c>
      <c r="K53" s="32">
        <f>K23+K27+K31+K35+K39+K43+K47+K51</f>
        <v>10942387.773257246</v>
      </c>
      <c r="L53" s="32">
        <f>L23+L27+L31+L35+L39+L43+L47+L51</f>
        <v>11373659.690101195</v>
      </c>
      <c r="M53" s="32">
        <f>M23+M27+M31+M35+M39+M43+M47+M51</f>
        <v>12157850.128810592</v>
      </c>
      <c r="N53" s="32">
        <f>N23+N27+N31+N35+N39+N43+N47+N51</f>
        <v>12816686.590595646</v>
      </c>
      <c r="O53" s="32">
        <f>O23+O27+O31+O35+O39+O43+O47+O51</f>
        <v>13785357.361812104</v>
      </c>
    </row>
    <row r="54" spans="1:16">
      <c r="C54" s="25"/>
      <c r="D54" s="25"/>
      <c r="E54" s="25"/>
      <c r="F54" s="25"/>
      <c r="G54" s="25"/>
      <c r="H54" s="25"/>
      <c r="I54" s="25"/>
    </row>
    <row r="55" spans="1:16" s="12" customFormat="1">
      <c r="A55" s="34" t="s">
        <v>93</v>
      </c>
      <c r="B55" s="35"/>
      <c r="C55" s="72">
        <f>C53+C13+C9</f>
        <v>97542552.18879424</v>
      </c>
    </row>
    <row r="56" spans="1:16" s="12" customFormat="1">
      <c r="A56" s="9"/>
      <c r="C56" s="36"/>
      <c r="D56" s="36"/>
      <c r="E56" s="36"/>
      <c r="F56" s="36"/>
      <c r="G56" s="36"/>
      <c r="H56" s="36"/>
      <c r="I56" s="36"/>
    </row>
  </sheetData>
  <phoneticPr fontId="6" type="noConversion"/>
  <pageMargins left="0.75" right="0.75" top="1" bottom="1" header="0.5" footer="0.5"/>
  <pageSetup scale="54" orientation="landscape" r:id="rId1"/>
  <headerFooter alignWithMargins="0">
    <oddHeader>&amp;RExhibit No.___(WGJ-4)</oddHeader>
    <oddFooter>&amp;R&amp;"Geneva,Bold"&amp;12&amp;P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topLeftCell="A3" workbookViewId="0">
      <selection activeCell="B38" sqref="B38"/>
    </sheetView>
  </sheetViews>
  <sheetFormatPr defaultRowHeight="12.75"/>
  <cols>
    <col min="1" max="1" width="32.5703125" style="117" customWidth="1"/>
    <col min="2" max="2" width="13.140625" style="117" customWidth="1"/>
    <col min="3" max="14" width="11.7109375" style="117" customWidth="1"/>
    <col min="15" max="16384" width="9.140625" style="117"/>
  </cols>
  <sheetData>
    <row r="1" spans="1:14" ht="15.75">
      <c r="A1" s="136" t="s">
        <v>170</v>
      </c>
    </row>
    <row r="2" spans="1:14" ht="15.75">
      <c r="A2" s="136" t="s">
        <v>234</v>
      </c>
    </row>
    <row r="3" spans="1:14" ht="15.75">
      <c r="A3" s="136" t="s">
        <v>194</v>
      </c>
    </row>
    <row r="4" spans="1:14" s="137" customFormat="1" ht="15.75">
      <c r="A4" s="136" t="s">
        <v>249</v>
      </c>
    </row>
    <row r="5" spans="1:14" ht="15.75">
      <c r="A5" s="136"/>
    </row>
    <row r="6" spans="1:14">
      <c r="A6" s="118" t="s">
        <v>210</v>
      </c>
    </row>
    <row r="7" spans="1:14">
      <c r="A7" s="118"/>
    </row>
    <row r="8" spans="1:14">
      <c r="B8" s="138" t="s">
        <v>35</v>
      </c>
      <c r="C8" s="139" t="s">
        <v>219</v>
      </c>
      <c r="D8" s="139" t="s">
        <v>220</v>
      </c>
      <c r="E8" s="139" t="s">
        <v>221</v>
      </c>
      <c r="F8" s="139" t="s">
        <v>222</v>
      </c>
      <c r="G8" s="139" t="s">
        <v>84</v>
      </c>
      <c r="H8" s="139" t="s">
        <v>223</v>
      </c>
      <c r="I8" s="139" t="s">
        <v>224</v>
      </c>
      <c r="J8" s="139" t="s">
        <v>225</v>
      </c>
      <c r="K8" s="139" t="s">
        <v>226</v>
      </c>
      <c r="L8" s="139" t="s">
        <v>227</v>
      </c>
      <c r="M8" s="139" t="s">
        <v>228</v>
      </c>
      <c r="N8" s="139" t="s">
        <v>229</v>
      </c>
    </row>
    <row r="10" spans="1:14">
      <c r="A10" s="117" t="s">
        <v>156</v>
      </c>
      <c r="B10" s="140">
        <f>SUM(C10:N10)</f>
        <v>124898374.29551749</v>
      </c>
      <c r="C10" s="140">
        <f>'WGJ-2'!K34</f>
        <v>15057425.780213907</v>
      </c>
      <c r="D10" s="140">
        <f>'WGJ-2'!L34</f>
        <v>13069276.568239104</v>
      </c>
      <c r="E10" s="140">
        <f>'WGJ-2'!M34</f>
        <v>12427070.732362358</v>
      </c>
      <c r="F10" s="140">
        <f>'WGJ-2'!N34</f>
        <v>9677290.9559306968</v>
      </c>
      <c r="G10" s="140">
        <f>'WGJ-2'!O34</f>
        <v>7563380.316247873</v>
      </c>
      <c r="H10" s="140">
        <f>'WGJ-2'!P34</f>
        <v>7441855.6548197726</v>
      </c>
      <c r="I10" s="140">
        <f>'WGJ-2'!Q34</f>
        <v>7885267.7469576672</v>
      </c>
      <c r="J10" s="140">
        <f>'WGJ-2'!R34</f>
        <v>10622208.12779334</v>
      </c>
      <c r="K10" s="140">
        <f>'WGJ-2'!S34</f>
        <v>7886704.1734438362</v>
      </c>
      <c r="L10" s="140">
        <f>'WGJ-2'!T34</f>
        <v>8591205.7747086044</v>
      </c>
      <c r="M10" s="140">
        <f>'WGJ-2'!U34</f>
        <v>11881675.752474139</v>
      </c>
      <c r="N10" s="140">
        <f>'WGJ-2'!V34</f>
        <v>12795012.712326188</v>
      </c>
    </row>
    <row r="11" spans="1:14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>
      <c r="A12" s="117" t="s">
        <v>155</v>
      </c>
      <c r="B12" s="140">
        <f>SUM(C12:N12)</f>
        <v>31281532.362599783</v>
      </c>
      <c r="C12" s="140">
        <f>'WGJ-2'!K49</f>
        <v>2820247.3643798828</v>
      </c>
      <c r="D12" s="140">
        <f>'WGJ-2'!L49</f>
        <v>2695093.8533063615</v>
      </c>
      <c r="E12" s="140">
        <f>'WGJ-2'!M49</f>
        <v>2813110.8984026229</v>
      </c>
      <c r="F12" s="140">
        <f>'WGJ-2'!N49</f>
        <v>2052397.0982775008</v>
      </c>
      <c r="G12" s="140">
        <f>'WGJ-2'!O49</f>
        <v>1749976.7513130733</v>
      </c>
      <c r="H12" s="140">
        <f>'WGJ-2'!P49</f>
        <v>1518354.0194789341</v>
      </c>
      <c r="I12" s="140">
        <f>'WGJ-2'!Q49</f>
        <v>2783910.4908621651</v>
      </c>
      <c r="J12" s="140">
        <f>'WGJ-2'!R49</f>
        <v>2979309.0287737167</v>
      </c>
      <c r="K12" s="140">
        <f>'WGJ-2'!S49</f>
        <v>2918533.5364118302</v>
      </c>
      <c r="L12" s="140">
        <f>'WGJ-2'!T49</f>
        <v>3035572.1019112719</v>
      </c>
      <c r="M12" s="140">
        <f>'WGJ-2'!U49</f>
        <v>2907677.7173549104</v>
      </c>
      <c r="N12" s="140">
        <f>'WGJ-2'!V49</f>
        <v>3007349.5021275114</v>
      </c>
    </row>
    <row r="13" spans="1:14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>
      <c r="A14" s="117" t="s">
        <v>209</v>
      </c>
      <c r="B14" s="140">
        <f>SUM(C14:N14)</f>
        <v>93223395.157658949</v>
      </c>
      <c r="C14" s="140">
        <f>'WGJ-2'!K64</f>
        <v>9279967.8659786247</v>
      </c>
      <c r="D14" s="140">
        <f>'WGJ-2'!L64</f>
        <v>8964470.6988567151</v>
      </c>
      <c r="E14" s="140">
        <f>'WGJ-2'!M64</f>
        <v>8426254.905109331</v>
      </c>
      <c r="F14" s="140">
        <f>'WGJ-2'!N64</f>
        <v>4799342.2320825383</v>
      </c>
      <c r="G14" s="140">
        <f>'WGJ-2'!O64</f>
        <v>2677669.5868185321</v>
      </c>
      <c r="H14" s="140">
        <f>'WGJ-2'!P64</f>
        <v>2303749.7028602171</v>
      </c>
      <c r="I14" s="140">
        <f>'WGJ-2'!Q64</f>
        <v>6935052.7929235566</v>
      </c>
      <c r="J14" s="140">
        <f>'WGJ-2'!R64</f>
        <v>8683006.1583155412</v>
      </c>
      <c r="K14" s="140">
        <f>'WGJ-2'!S64</f>
        <v>9264453.3372489512</v>
      </c>
      <c r="L14" s="140">
        <f>'WGJ-2'!T64</f>
        <v>9815837.4450834431</v>
      </c>
      <c r="M14" s="140">
        <f>'WGJ-2'!U64</f>
        <v>10634167.387829214</v>
      </c>
      <c r="N14" s="140">
        <f>'WGJ-2'!V64</f>
        <v>11439423.044552296</v>
      </c>
    </row>
    <row r="15" spans="1:14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>
      <c r="A16" s="141" t="s">
        <v>154</v>
      </c>
      <c r="B16" s="142">
        <f>SUM(C16:N16)</f>
        <v>72807925.298536271</v>
      </c>
      <c r="C16" s="142">
        <f>'WGJ-2'!K100</f>
        <v>5834200.3932513492</v>
      </c>
      <c r="D16" s="142">
        <f>'WGJ-2'!L100</f>
        <v>5472818.8167973198</v>
      </c>
      <c r="E16" s="142">
        <f>'WGJ-2'!M100</f>
        <v>5913201.2432048097</v>
      </c>
      <c r="F16" s="142">
        <f>'WGJ-2'!N100</f>
        <v>6893810.1066746674</v>
      </c>
      <c r="G16" s="142">
        <f>'WGJ-2'!O100</f>
        <v>6769256.4971908415</v>
      </c>
      <c r="H16" s="142">
        <f>'WGJ-2'!P100</f>
        <v>5901752.9568147045</v>
      </c>
      <c r="I16" s="142">
        <f>'WGJ-2'!Q100</f>
        <v>6586370.5178552261</v>
      </c>
      <c r="J16" s="142">
        <f>'WGJ-2'!R100</f>
        <v>3687899.0998295397</v>
      </c>
      <c r="K16" s="142">
        <f>'WGJ-2'!S100</f>
        <v>5147960.6741636321</v>
      </c>
      <c r="L16" s="142">
        <f>'WGJ-2'!T100</f>
        <v>5793262.5465974119</v>
      </c>
      <c r="M16" s="142">
        <f>'WGJ-2'!U100</f>
        <v>7100309.6651493721</v>
      </c>
      <c r="N16" s="142">
        <f>'WGJ-2'!V100</f>
        <v>7707082.7810073961</v>
      </c>
    </row>
    <row r="17" spans="1:14" ht="12.75" customHeight="1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>
      <c r="A18" s="135" t="s">
        <v>151</v>
      </c>
      <c r="B18" s="140">
        <f>SUM(C18:N18)</f>
        <v>176595376.51723999</v>
      </c>
      <c r="C18" s="140">
        <f>SUM(C10:C14)-C16</f>
        <v>21323440.617321067</v>
      </c>
      <c r="D18" s="140">
        <f t="shared" ref="D18:N18" si="0">SUM(D10:D14)-D16</f>
        <v>19256022.30360486</v>
      </c>
      <c r="E18" s="140">
        <f t="shared" si="0"/>
        <v>17753235.292669501</v>
      </c>
      <c r="F18" s="140">
        <f t="shared" si="0"/>
        <v>9635220.1796160676</v>
      </c>
      <c r="G18" s="140">
        <f t="shared" si="0"/>
        <v>5221770.1571886381</v>
      </c>
      <c r="H18" s="140">
        <f t="shared" si="0"/>
        <v>5362206.4203442205</v>
      </c>
      <c r="I18" s="140">
        <f t="shared" si="0"/>
        <v>11017860.512888163</v>
      </c>
      <c r="J18" s="140">
        <f t="shared" si="0"/>
        <v>18596624.215053059</v>
      </c>
      <c r="K18" s="140">
        <f t="shared" si="0"/>
        <v>14921730.372940987</v>
      </c>
      <c r="L18" s="140">
        <f t="shared" si="0"/>
        <v>15649352.775105907</v>
      </c>
      <c r="M18" s="140">
        <f t="shared" si="0"/>
        <v>18323211.192508891</v>
      </c>
      <c r="N18" s="140">
        <f t="shared" si="0"/>
        <v>19534702.477998599</v>
      </c>
    </row>
    <row r="19" spans="1:14" ht="12.75" customHeight="1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ht="12.75" customHeight="1">
      <c r="A20" s="135" t="s">
        <v>195</v>
      </c>
      <c r="B20" s="140">
        <f>SUM(C20:N20)</f>
        <v>18058718.797799997</v>
      </c>
      <c r="C20" s="140">
        <f>'WGJ-2'!K78</f>
        <v>1520361.0699999998</v>
      </c>
      <c r="D20" s="140">
        <f>'WGJ-2'!L78</f>
        <v>1465382.28</v>
      </c>
      <c r="E20" s="140">
        <f>'WGJ-2'!M78</f>
        <v>1508738.57</v>
      </c>
      <c r="F20" s="140">
        <f>'WGJ-2'!N78</f>
        <v>1443538.0999999999</v>
      </c>
      <c r="G20" s="140">
        <f>'WGJ-2'!O78</f>
        <v>1426268.1199999999</v>
      </c>
      <c r="H20" s="140">
        <f>'WGJ-2'!P78</f>
        <v>1396751.7999999998</v>
      </c>
      <c r="I20" s="140">
        <f>'WGJ-2'!Q78</f>
        <v>1441174.7799999998</v>
      </c>
      <c r="J20" s="140">
        <f>'WGJ-2'!R78</f>
        <v>1489047.7799999998</v>
      </c>
      <c r="K20" s="140">
        <f>'WGJ-2'!S78</f>
        <v>1492163.1699999997</v>
      </c>
      <c r="L20" s="140">
        <f>'WGJ-2'!T78</f>
        <v>1556733.8418999999</v>
      </c>
      <c r="M20" s="140">
        <f>'WGJ-2'!U78</f>
        <v>1674187.0702</v>
      </c>
      <c r="N20" s="140">
        <f>'WGJ-2'!V78</f>
        <v>1644372.2157000001</v>
      </c>
    </row>
    <row r="21" spans="1:14" ht="12.75" customHeight="1">
      <c r="A21" s="135"/>
    </row>
    <row r="22" spans="1:14" ht="12.75" customHeight="1">
      <c r="A22" s="135" t="s">
        <v>246</v>
      </c>
      <c r="B22" s="121">
        <f>SUM(C22:N22)</f>
        <v>11065962.311999999</v>
      </c>
      <c r="C22" s="121">
        <v>930689.05533333321</v>
      </c>
      <c r="D22" s="121">
        <v>726134.92366666661</v>
      </c>
      <c r="E22" s="121">
        <v>842773.58533333323</v>
      </c>
      <c r="F22" s="121">
        <v>722784.99699999997</v>
      </c>
      <c r="G22" s="121">
        <v>834642.31833333336</v>
      </c>
      <c r="H22" s="121">
        <v>1006204.3086666666</v>
      </c>
      <c r="I22" s="121">
        <v>1168709.9840000002</v>
      </c>
      <c r="J22" s="121">
        <v>1028239.392</v>
      </c>
      <c r="K22" s="121">
        <v>948369.65666666662</v>
      </c>
      <c r="L22" s="121">
        <v>1086887.2973333334</v>
      </c>
      <c r="M22" s="121">
        <v>893864.68500000006</v>
      </c>
      <c r="N22" s="121">
        <v>876662.10866666667</v>
      </c>
    </row>
    <row r="23" spans="1:14" ht="12.75" customHeight="1">
      <c r="A23" s="135" t="s">
        <v>251</v>
      </c>
      <c r="B23" s="121">
        <f>SUM(C23:N23)</f>
        <v>392388</v>
      </c>
      <c r="C23" s="121">
        <v>32699</v>
      </c>
      <c r="D23" s="121">
        <v>32699</v>
      </c>
      <c r="E23" s="121">
        <v>32699</v>
      </c>
      <c r="F23" s="121">
        <v>32699</v>
      </c>
      <c r="G23" s="121">
        <v>32699</v>
      </c>
      <c r="H23" s="121">
        <v>32699</v>
      </c>
      <c r="I23" s="121">
        <v>32699</v>
      </c>
      <c r="J23" s="121">
        <v>32699</v>
      </c>
      <c r="K23" s="121">
        <v>32699</v>
      </c>
      <c r="L23" s="121">
        <v>32699</v>
      </c>
      <c r="M23" s="121">
        <v>32699</v>
      </c>
      <c r="N23" s="121">
        <v>32699</v>
      </c>
    </row>
    <row r="24" spans="1:14" ht="12.75" customHeight="1">
      <c r="A24" s="135"/>
      <c r="B24" s="121"/>
    </row>
    <row r="25" spans="1:14" ht="12.75" customHeight="1">
      <c r="A25" s="135" t="s">
        <v>204</v>
      </c>
      <c r="B25" s="121">
        <f>SUM(C25:N25)</f>
        <v>883711</v>
      </c>
      <c r="C25" s="140">
        <f>'WGJ-2'!K37</f>
        <v>42656</v>
      </c>
      <c r="D25" s="140">
        <f>'WGJ-2'!L37</f>
        <v>64015</v>
      </c>
      <c r="E25" s="140">
        <f>'WGJ-2'!M37</f>
        <v>129860</v>
      </c>
      <c r="F25" s="140">
        <f>'WGJ-2'!N37</f>
        <v>97390</v>
      </c>
      <c r="G25" s="140">
        <f>'WGJ-2'!O37</f>
        <v>52577</v>
      </c>
      <c r="H25" s="140">
        <f>'WGJ-2'!P37</f>
        <v>70281</v>
      </c>
      <c r="I25" s="140">
        <f>'WGJ-2'!Q37</f>
        <v>65808</v>
      </c>
      <c r="J25" s="140">
        <f>'WGJ-2'!R37</f>
        <v>76848</v>
      </c>
      <c r="K25" s="140">
        <f>'WGJ-2'!S37</f>
        <v>86944</v>
      </c>
      <c r="L25" s="140">
        <f>'WGJ-2'!T37</f>
        <v>43966</v>
      </c>
      <c r="M25" s="140">
        <f>'WGJ-2'!U37</f>
        <v>52696</v>
      </c>
      <c r="N25" s="140">
        <f>'WGJ-2'!V37</f>
        <v>100670</v>
      </c>
    </row>
    <row r="26" spans="1:14" ht="12.75" customHeight="1">
      <c r="A26" s="135"/>
    </row>
    <row r="27" spans="1:14" ht="12.75" customHeight="1">
      <c r="A27" s="135"/>
    </row>
    <row r="29" spans="1:14">
      <c r="A29" s="118" t="s">
        <v>247</v>
      </c>
    </row>
    <row r="31" spans="1:14">
      <c r="B31" s="138" t="s">
        <v>35</v>
      </c>
      <c r="C31" s="139" t="str">
        <f>C8</f>
        <v>January</v>
      </c>
      <c r="D31" s="139" t="str">
        <f t="shared" ref="D31:N31" si="1">D8</f>
        <v>February</v>
      </c>
      <c r="E31" s="139" t="str">
        <f t="shared" si="1"/>
        <v>March</v>
      </c>
      <c r="F31" s="139" t="str">
        <f t="shared" si="1"/>
        <v>April</v>
      </c>
      <c r="G31" s="139" t="str">
        <f t="shared" si="1"/>
        <v>May</v>
      </c>
      <c r="H31" s="139" t="str">
        <f t="shared" si="1"/>
        <v>June</v>
      </c>
      <c r="I31" s="139" t="str">
        <f t="shared" si="1"/>
        <v>July</v>
      </c>
      <c r="J31" s="139" t="str">
        <f t="shared" si="1"/>
        <v>August</v>
      </c>
      <c r="K31" s="139" t="str">
        <f t="shared" si="1"/>
        <v>September</v>
      </c>
      <c r="L31" s="139" t="str">
        <f t="shared" si="1"/>
        <v>October</v>
      </c>
      <c r="M31" s="139" t="str">
        <f t="shared" si="1"/>
        <v>November</v>
      </c>
      <c r="N31" s="139" t="str">
        <f t="shared" si="1"/>
        <v>December</v>
      </c>
    </row>
    <row r="33" spans="1:14">
      <c r="A33" s="135" t="s">
        <v>169</v>
      </c>
      <c r="B33" s="134">
        <f>SUM(C33:N33)</f>
        <v>5574856</v>
      </c>
      <c r="C33" s="134">
        <v>525347</v>
      </c>
      <c r="D33" s="134">
        <v>517091</v>
      </c>
      <c r="E33" s="134">
        <v>479129</v>
      </c>
      <c r="F33" s="134">
        <v>413722</v>
      </c>
      <c r="G33" s="134">
        <v>412815</v>
      </c>
      <c r="H33" s="134">
        <v>423337</v>
      </c>
      <c r="I33" s="134">
        <v>437672</v>
      </c>
      <c r="J33" s="134">
        <v>482257</v>
      </c>
      <c r="K33" s="134">
        <v>407780</v>
      </c>
      <c r="L33" s="134">
        <v>448458</v>
      </c>
      <c r="M33" s="134">
        <v>475296</v>
      </c>
      <c r="N33" s="134">
        <v>551952</v>
      </c>
    </row>
    <row r="35" spans="1:14">
      <c r="A35" s="135" t="s">
        <v>205</v>
      </c>
      <c r="B35" s="145">
        <v>33.29</v>
      </c>
      <c r="C35" s="143" t="s">
        <v>206</v>
      </c>
    </row>
    <row r="40" spans="1:14">
      <c r="A40" s="117" t="s">
        <v>248</v>
      </c>
    </row>
    <row r="41" spans="1:14">
      <c r="A41" s="117" t="s">
        <v>250</v>
      </c>
    </row>
    <row r="42" spans="1:14">
      <c r="A42" s="117" t="s">
        <v>252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Header>&amp;RExhibit No.___(WGJ-5)</oddHeader>
    <oddFooter>&amp;R&amp;"Arial,Bold"&amp;P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workbookViewId="0">
      <pane xSplit="4470" ySplit="825" activePane="bottomRight"/>
      <selection activeCell="B2" sqref="B2"/>
      <selection pane="topRight" activeCell="K1" sqref="K1"/>
      <selection pane="bottomLeft" activeCell="A30" sqref="A30"/>
      <selection pane="bottomRight" activeCell="D21" sqref="D21"/>
    </sheetView>
  </sheetViews>
  <sheetFormatPr defaultRowHeight="12.75"/>
  <cols>
    <col min="1" max="1" width="20.140625" style="61" customWidth="1"/>
    <col min="2" max="13" width="9.140625" style="61"/>
    <col min="14" max="14" width="10.28515625" style="63" customWidth="1"/>
    <col min="15" max="15" width="9.28515625" style="61" customWidth="1"/>
    <col min="16" max="16384" width="9.140625" style="61"/>
  </cols>
  <sheetData>
    <row r="1" spans="1:16" ht="16.5" thickBot="1">
      <c r="A1" s="58" t="s">
        <v>67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59"/>
    </row>
    <row r="2" spans="1:16">
      <c r="A2" s="62"/>
      <c r="B2" s="71" t="s">
        <v>80</v>
      </c>
      <c r="C2" s="71" t="s">
        <v>81</v>
      </c>
      <c r="D2" s="71" t="s">
        <v>82</v>
      </c>
      <c r="E2" s="71" t="s">
        <v>83</v>
      </c>
      <c r="F2" s="71" t="s">
        <v>84</v>
      </c>
      <c r="G2" s="71" t="s">
        <v>85</v>
      </c>
      <c r="H2" s="71" t="s">
        <v>86</v>
      </c>
      <c r="I2" s="71" t="s">
        <v>87</v>
      </c>
      <c r="J2" s="71" t="s">
        <v>88</v>
      </c>
      <c r="K2" s="71" t="s">
        <v>89</v>
      </c>
      <c r="L2" s="71" t="s">
        <v>90</v>
      </c>
      <c r="M2" s="71" t="s">
        <v>91</v>
      </c>
    </row>
    <row r="3" spans="1:16">
      <c r="B3" s="64">
        <v>1</v>
      </c>
      <c r="C3" s="64">
        <v>2</v>
      </c>
      <c r="D3" s="64">
        <v>3</v>
      </c>
      <c r="E3" s="64">
        <v>4</v>
      </c>
      <c r="F3" s="64">
        <v>5</v>
      </c>
      <c r="G3" s="64">
        <v>6</v>
      </c>
      <c r="H3" s="64">
        <v>7</v>
      </c>
      <c r="I3" s="64">
        <v>8</v>
      </c>
      <c r="J3" s="64">
        <v>9</v>
      </c>
      <c r="K3" s="64">
        <v>10</v>
      </c>
      <c r="L3" s="64">
        <v>11</v>
      </c>
      <c r="M3" s="64">
        <v>12</v>
      </c>
      <c r="N3" s="65" t="s">
        <v>68</v>
      </c>
    </row>
    <row r="4" spans="1:16">
      <c r="A4" s="75" t="s">
        <v>69</v>
      </c>
      <c r="N4" s="76" t="s">
        <v>95</v>
      </c>
    </row>
    <row r="5" spans="1:16">
      <c r="A5" s="66" t="s">
        <v>70</v>
      </c>
      <c r="B5" s="67">
        <v>2.0409033018929619</v>
      </c>
      <c r="C5" s="67">
        <v>1.8337772092001778</v>
      </c>
      <c r="D5" s="67">
        <v>1.2868986188616072</v>
      </c>
      <c r="E5" s="67">
        <v>0.8495943540436881</v>
      </c>
      <c r="F5" s="67">
        <v>0.47501524488074437</v>
      </c>
      <c r="G5" s="67">
        <v>2.6525381020137247E-2</v>
      </c>
      <c r="H5" s="67">
        <v>0.1792953473840441</v>
      </c>
      <c r="I5" s="67">
        <v>0.45984928178361478</v>
      </c>
      <c r="J5" s="67">
        <v>0.39465522594451902</v>
      </c>
      <c r="K5" s="67">
        <v>0.10397170795542854</v>
      </c>
      <c r="L5" s="67">
        <v>0.9061735664367675</v>
      </c>
      <c r="M5" s="67">
        <v>1.6879774402073451</v>
      </c>
      <c r="N5" s="63">
        <f>SUM(B5:M5)</f>
        <v>10.244636679611034</v>
      </c>
      <c r="O5" s="61">
        <f>N5/8760*1000</f>
        <v>1.1694790730149582</v>
      </c>
    </row>
    <row r="6" spans="1:16">
      <c r="A6" s="66" t="s">
        <v>24</v>
      </c>
      <c r="B6" s="67">
        <v>135.41877229352679</v>
      </c>
      <c r="C6" s="67">
        <v>131.19896523437498</v>
      </c>
      <c r="D6" s="67">
        <v>135.85712960379462</v>
      </c>
      <c r="E6" s="67">
        <v>101.27540638950892</v>
      </c>
      <c r="F6" s="67">
        <v>88.685321121651782</v>
      </c>
      <c r="G6" s="67">
        <v>82.789092564174112</v>
      </c>
      <c r="H6" s="67">
        <v>135.12548180803572</v>
      </c>
      <c r="I6" s="67">
        <v>143.55972343749997</v>
      </c>
      <c r="J6" s="67">
        <v>141.7625955357143</v>
      </c>
      <c r="K6" s="67">
        <v>146.6342875</v>
      </c>
      <c r="L6" s="67">
        <v>142.93304179687502</v>
      </c>
      <c r="M6" s="67">
        <v>145.69412756696428</v>
      </c>
      <c r="N6" s="63">
        <f t="shared" ref="N6:N12" si="0">SUM(B6:M6)</f>
        <v>1530.9339448521205</v>
      </c>
      <c r="O6" s="61">
        <f t="shared" ref="O6:O14" si="1">N6/8760*1000</f>
        <v>174.76414895572151</v>
      </c>
    </row>
    <row r="7" spans="1:16">
      <c r="A7" s="66" t="s">
        <v>71</v>
      </c>
      <c r="B7" s="67">
        <v>131.38627575683594</v>
      </c>
      <c r="C7" s="67">
        <v>131.08545803571428</v>
      </c>
      <c r="D7" s="67">
        <v>122.44496470424107</v>
      </c>
      <c r="E7" s="67">
        <v>67.724570338245798</v>
      </c>
      <c r="F7" s="67">
        <v>43.65484825439453</v>
      </c>
      <c r="G7" s="67">
        <v>35.206418746512284</v>
      </c>
      <c r="H7" s="67">
        <v>109.86716685267855</v>
      </c>
      <c r="I7" s="67">
        <v>143.55329299665178</v>
      </c>
      <c r="J7" s="67">
        <v>150.48010189732145</v>
      </c>
      <c r="K7" s="67">
        <v>160.67691328125002</v>
      </c>
      <c r="L7" s="67">
        <v>165.35134185267856</v>
      </c>
      <c r="M7" s="67">
        <v>173.54238777295012</v>
      </c>
      <c r="N7" s="63">
        <f t="shared" si="0"/>
        <v>1434.9737404894747</v>
      </c>
      <c r="O7" s="61">
        <f t="shared" si="1"/>
        <v>163.80978772710898</v>
      </c>
      <c r="P7" s="61">
        <f>SUM(B7:M7)</f>
        <v>1434.9737404894747</v>
      </c>
    </row>
    <row r="8" spans="1:16">
      <c r="A8" s="66" t="s">
        <v>22</v>
      </c>
      <c r="B8" s="67">
        <v>31.999142075892856</v>
      </c>
      <c r="C8" s="67">
        <v>29.708080887276786</v>
      </c>
      <c r="D8" s="67">
        <v>31.401782564871649</v>
      </c>
      <c r="E8" s="67">
        <v>21.550669963727678</v>
      </c>
      <c r="F8" s="67">
        <v>17.215473369053434</v>
      </c>
      <c r="G8" s="67">
        <v>11.665431040300641</v>
      </c>
      <c r="H8" s="67">
        <v>28.880233565848211</v>
      </c>
      <c r="I8" s="67">
        <v>33.08568270089286</v>
      </c>
      <c r="J8" s="67">
        <v>32.455225837053568</v>
      </c>
      <c r="K8" s="67">
        <v>33.490012499999999</v>
      </c>
      <c r="L8" s="67">
        <v>32.498914062499999</v>
      </c>
      <c r="M8" s="67">
        <v>33.467704213169647</v>
      </c>
      <c r="N8" s="63">
        <f t="shared" si="0"/>
        <v>337.41835278058733</v>
      </c>
      <c r="O8" s="61">
        <f t="shared" si="1"/>
        <v>38.518076801436905</v>
      </c>
    </row>
    <row r="9" spans="1:16">
      <c r="A9" s="66" t="s">
        <v>72</v>
      </c>
      <c r="B9" s="67">
        <v>1.5605434934752327</v>
      </c>
      <c r="C9" s="67">
        <v>1.4589788377761841</v>
      </c>
      <c r="D9" s="67">
        <v>1.0381458128520422</v>
      </c>
      <c r="E9" s="67">
        <v>1.0493774945667813</v>
      </c>
      <c r="F9" s="67">
        <v>0.81156655383791232</v>
      </c>
      <c r="G9" s="67">
        <v>0.22961623992409025</v>
      </c>
      <c r="H9" s="67">
        <v>0.57699760981968473</v>
      </c>
      <c r="I9" s="67">
        <v>0.89266881910051621</v>
      </c>
      <c r="J9" s="67">
        <v>0.90388359178815569</v>
      </c>
      <c r="K9" s="67">
        <v>0.59285367758614682</v>
      </c>
      <c r="L9" s="67">
        <v>1.0035378230503627</v>
      </c>
      <c r="M9" s="67">
        <v>1.8933139766148157</v>
      </c>
      <c r="N9" s="63">
        <f t="shared" si="0"/>
        <v>12.011483930391925</v>
      </c>
      <c r="O9" s="61">
        <f t="shared" si="1"/>
        <v>1.3711739646566126</v>
      </c>
    </row>
    <row r="10" spans="1:16">
      <c r="A10" s="66" t="s">
        <v>186</v>
      </c>
      <c r="B10" s="67">
        <v>139.24803506208147</v>
      </c>
      <c r="C10" s="67">
        <v>133.9838226876395</v>
      </c>
      <c r="D10" s="67">
        <v>128.93541342817034</v>
      </c>
      <c r="E10" s="67">
        <v>74.856049281529025</v>
      </c>
      <c r="F10" s="67">
        <v>26.667898606218611</v>
      </c>
      <c r="G10" s="67">
        <v>23.687489474051333</v>
      </c>
      <c r="H10" s="67">
        <v>100.90541909877231</v>
      </c>
      <c r="I10" s="67">
        <v>127.45337706473214</v>
      </c>
      <c r="J10" s="67">
        <v>142.54580033482142</v>
      </c>
      <c r="K10" s="67">
        <v>156.68058906250002</v>
      </c>
      <c r="L10" s="67">
        <v>161.98647957589284</v>
      </c>
      <c r="M10" s="67">
        <v>166.30939033115931</v>
      </c>
    </row>
    <row r="11" spans="1:16">
      <c r="A11" s="66" t="s">
        <v>73</v>
      </c>
      <c r="B11" s="67">
        <v>3.4511978888458444E-2</v>
      </c>
      <c r="C11" s="67">
        <v>2.3177299826485767E-2</v>
      </c>
      <c r="D11" s="67">
        <v>1.5288499737637386E-2</v>
      </c>
      <c r="E11" s="67">
        <v>0.1296658513205392</v>
      </c>
      <c r="F11" s="67">
        <v>7.7544717073440546E-3</v>
      </c>
      <c r="G11" s="67">
        <v>0</v>
      </c>
      <c r="H11" s="67">
        <v>8.6710790497916083E-3</v>
      </c>
      <c r="I11" s="67">
        <v>3.4834270455156059E-2</v>
      </c>
      <c r="J11" s="67">
        <v>5.9917188664845057E-2</v>
      </c>
      <c r="K11" s="67">
        <v>3.5492654979228972E-3</v>
      </c>
      <c r="L11" s="67">
        <v>1.3640899849044425E-2</v>
      </c>
      <c r="M11" s="67">
        <v>3.4993893192495622E-2</v>
      </c>
      <c r="N11" s="63">
        <f t="shared" si="0"/>
        <v>0.36600469818972059</v>
      </c>
      <c r="O11" s="61">
        <f t="shared" si="1"/>
        <v>4.1781358240835682E-2</v>
      </c>
    </row>
    <row r="12" spans="1:16">
      <c r="A12" s="66" t="s">
        <v>74</v>
      </c>
      <c r="B12" s="67">
        <v>4.0345036734444752</v>
      </c>
      <c r="C12" s="67">
        <v>1.8054384852409364</v>
      </c>
      <c r="D12" s="67">
        <v>0.60586230283464715</v>
      </c>
      <c r="E12" s="67">
        <v>1.6010158628191267</v>
      </c>
      <c r="F12" s="67">
        <v>8.7727763475690584E-2</v>
      </c>
      <c r="G12" s="67">
        <v>0</v>
      </c>
      <c r="H12" s="67">
        <v>0.56622899431501117</v>
      </c>
      <c r="I12" s="67">
        <v>1.8877249226808546</v>
      </c>
      <c r="J12" s="67">
        <v>0.44574279701369152</v>
      </c>
      <c r="K12" s="67">
        <v>1.3578813389369419E-2</v>
      </c>
      <c r="L12" s="67">
        <v>1.380301136125837</v>
      </c>
      <c r="M12" s="67">
        <v>1.4473061977931432</v>
      </c>
      <c r="N12" s="63">
        <f t="shared" si="0"/>
        <v>13.875430949132785</v>
      </c>
      <c r="O12" s="61">
        <f t="shared" si="1"/>
        <v>1.5839533046955232</v>
      </c>
    </row>
    <row r="13" spans="1:16">
      <c r="A13" s="66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>
        <f>SUM(N5:N12)</f>
        <v>3339.8235943795075</v>
      </c>
      <c r="O13" s="61">
        <f t="shared" si="1"/>
        <v>381.25840118487531</v>
      </c>
    </row>
    <row r="14" spans="1:16">
      <c r="A14" s="62" t="s">
        <v>96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9"/>
      <c r="O14" s="61">
        <f t="shared" si="1"/>
        <v>0</v>
      </c>
    </row>
    <row r="15" spans="1:16">
      <c r="A15" s="66" t="s">
        <v>70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</row>
    <row r="16" spans="1:16">
      <c r="A16" s="66" t="s">
        <v>24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</row>
    <row r="17" spans="1:15">
      <c r="A17" s="66" t="s">
        <v>71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</row>
    <row r="18" spans="1:15">
      <c r="A18" s="66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</row>
    <row r="19" spans="1:15">
      <c r="A19" s="66" t="s">
        <v>72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</row>
    <row r="20" spans="1:15">
      <c r="A20" s="66" t="s">
        <v>186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5">
      <c r="A21" s="66" t="s">
        <v>73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</row>
    <row r="22" spans="1:15">
      <c r="A22" s="66" t="s">
        <v>74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</row>
    <row r="23" spans="1:15">
      <c r="A23" s="66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>
        <f>SUM(N15:N22)</f>
        <v>0</v>
      </c>
    </row>
    <row r="24" spans="1:15">
      <c r="A24" s="75" t="s">
        <v>75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</row>
    <row r="25" spans="1:15">
      <c r="A25" s="66" t="s">
        <v>70</v>
      </c>
      <c r="B25" s="67">
        <v>88.058468965973177</v>
      </c>
      <c r="C25" s="67">
        <v>78.55230269772666</v>
      </c>
      <c r="D25" s="67">
        <v>54.645500169481551</v>
      </c>
      <c r="E25" s="67">
        <v>35.164417523997173</v>
      </c>
      <c r="F25" s="67">
        <v>19.744061783275434</v>
      </c>
      <c r="G25" s="67">
        <v>1.1098602665322168</v>
      </c>
      <c r="H25" s="67">
        <v>7.5709742897323196</v>
      </c>
      <c r="I25" s="67">
        <v>19.498969354480504</v>
      </c>
      <c r="J25" s="67">
        <v>16.748027453252249</v>
      </c>
      <c r="K25" s="67">
        <v>4.4458107770553656</v>
      </c>
      <c r="L25" s="67">
        <v>39.862519073486325</v>
      </c>
      <c r="M25" s="67">
        <v>77.888776537350239</v>
      </c>
      <c r="N25" s="68">
        <f>SUM(B25:M25)</f>
        <v>443.28968889234318</v>
      </c>
    </row>
    <row r="26" spans="1:15">
      <c r="A26" s="66" t="s">
        <v>24</v>
      </c>
      <c r="B26" s="67">
        <v>1834.1793683733258</v>
      </c>
      <c r="C26" s="67">
        <v>1772.8479056222097</v>
      </c>
      <c r="D26" s="67">
        <v>1846.4995178222657</v>
      </c>
      <c r="E26" s="67">
        <v>1395.7256367274692</v>
      </c>
      <c r="F26" s="67">
        <v>1224.9952784946986</v>
      </c>
      <c r="G26" s="67">
        <v>1151.422578212193</v>
      </c>
      <c r="H26" s="67">
        <v>1841.9354553222656</v>
      </c>
      <c r="I26" s="67">
        <v>1942.9393362862722</v>
      </c>
      <c r="J26" s="67">
        <v>1914.2002825055804</v>
      </c>
      <c r="K26" s="67">
        <v>1979.7586382184709</v>
      </c>
      <c r="L26" s="67">
        <v>1928.2169154575893</v>
      </c>
      <c r="M26" s="67">
        <v>1965.5015659877233</v>
      </c>
      <c r="N26" s="68">
        <f t="shared" ref="N26:N32" si="2">SUM(B26:M26)</f>
        <v>20798.222479030068</v>
      </c>
    </row>
    <row r="27" spans="1:15">
      <c r="A27" s="66" t="s">
        <v>71</v>
      </c>
      <c r="B27" s="67">
        <v>3875.5393534718382</v>
      </c>
      <c r="C27" s="67">
        <v>3815.7509581510631</v>
      </c>
      <c r="D27" s="67">
        <v>3532.6993769974947</v>
      </c>
      <c r="E27" s="67">
        <v>1909.3438290417437</v>
      </c>
      <c r="F27" s="67">
        <v>1245.1177305604242</v>
      </c>
      <c r="G27" s="67">
        <v>1022.9536341623703</v>
      </c>
      <c r="H27" s="67">
        <v>3216.5185228485711</v>
      </c>
      <c r="I27" s="67">
        <v>4204.7431753860274</v>
      </c>
      <c r="J27" s="67">
        <v>4360.6921442923194</v>
      </c>
      <c r="K27" s="67">
        <v>4662.1079025346962</v>
      </c>
      <c r="L27" s="67">
        <v>4955.8419232941287</v>
      </c>
      <c r="M27" s="67">
        <v>5433.4147286138386</v>
      </c>
      <c r="N27" s="68">
        <f t="shared" si="2"/>
        <v>42234.723279354512</v>
      </c>
      <c r="O27" s="61">
        <f>N27/8760*1000</f>
        <v>4821.3154428486887</v>
      </c>
    </row>
    <row r="28" spans="1:15">
      <c r="A28" s="66" t="s">
        <v>22</v>
      </c>
      <c r="B28" s="67">
        <v>963.81599600655693</v>
      </c>
      <c r="C28" s="67">
        <v>894.19994768415177</v>
      </c>
      <c r="D28" s="67">
        <v>947.05438058035713</v>
      </c>
      <c r="E28" s="67">
        <v>654.16946155003143</v>
      </c>
      <c r="F28" s="67">
        <v>522.71447281837459</v>
      </c>
      <c r="G28" s="67">
        <v>354.15944126674106</v>
      </c>
      <c r="H28" s="67">
        <v>871.12303553989955</v>
      </c>
      <c r="I28" s="67">
        <v>995.61069248744423</v>
      </c>
      <c r="J28" s="67">
        <v>975.88525390625</v>
      </c>
      <c r="K28" s="67">
        <v>1007.0904636928013</v>
      </c>
      <c r="L28" s="67">
        <v>977.1148018973214</v>
      </c>
      <c r="M28" s="67">
        <v>1006.4229361397879</v>
      </c>
      <c r="N28" s="68">
        <f t="shared" si="2"/>
        <v>10169.360883569718</v>
      </c>
      <c r="O28" s="61">
        <f>N28/8760*1000</f>
        <v>1160.8859456129815</v>
      </c>
    </row>
    <row r="29" spans="1:15">
      <c r="A29" s="66" t="s">
        <v>72</v>
      </c>
      <c r="B29" s="67">
        <v>65.2807926684618</v>
      </c>
      <c r="C29" s="67">
        <v>60.592961941446575</v>
      </c>
      <c r="D29" s="67">
        <v>42.739483268558978</v>
      </c>
      <c r="E29" s="67">
        <v>42.109918764659334</v>
      </c>
      <c r="F29" s="67">
        <v>32.705703239994392</v>
      </c>
      <c r="G29" s="67">
        <v>9.3147266828321982</v>
      </c>
      <c r="H29" s="67">
        <v>23.622051593235561</v>
      </c>
      <c r="I29" s="67">
        <v>36.698418739863804</v>
      </c>
      <c r="J29" s="67">
        <v>37.18939884730748</v>
      </c>
      <c r="K29" s="67">
        <v>24.577865082877022</v>
      </c>
      <c r="L29" s="67">
        <v>42.80041095188686</v>
      </c>
      <c r="M29" s="67">
        <v>84.701621137346535</v>
      </c>
      <c r="N29" s="68">
        <f t="shared" si="2"/>
        <v>502.33335291847055</v>
      </c>
      <c r="O29" s="61">
        <f>N29/8760*1000</f>
        <v>57.34399005918614</v>
      </c>
    </row>
    <row r="30" spans="1:15">
      <c r="A30" s="66" t="s">
        <v>186</v>
      </c>
      <c r="B30" s="67">
        <v>3910.4313591419441</v>
      </c>
      <c r="C30" s="67">
        <v>3737.8937312045205</v>
      </c>
      <c r="D30" s="67">
        <v>3581.1660924465768</v>
      </c>
      <c r="E30" s="67">
        <v>2060.9669692113989</v>
      </c>
      <c r="F30" s="67">
        <v>750.79943334880511</v>
      </c>
      <c r="G30" s="67">
        <v>682.63028417382543</v>
      </c>
      <c r="H30" s="67">
        <v>2918.6826171474645</v>
      </c>
      <c r="I30" s="67">
        <v>3646.1915114701314</v>
      </c>
      <c r="J30" s="67">
        <v>4042.8857482400072</v>
      </c>
      <c r="K30" s="67">
        <v>4478.9571574681868</v>
      </c>
      <c r="L30" s="67">
        <v>4800.0766666613545</v>
      </c>
      <c r="M30" s="67">
        <v>5133.6626699905983</v>
      </c>
      <c r="N30" s="68"/>
    </row>
    <row r="31" spans="1:15">
      <c r="A31" s="66" t="s">
        <v>73</v>
      </c>
      <c r="B31" s="67">
        <v>2.1160636536012003</v>
      </c>
      <c r="C31" s="67">
        <v>1.4108646477971758</v>
      </c>
      <c r="D31" s="67">
        <v>0.92253977544605736</v>
      </c>
      <c r="E31" s="67">
        <v>7.6265407025814058</v>
      </c>
      <c r="F31" s="67">
        <v>0.45802725149052481</v>
      </c>
      <c r="G31" s="67">
        <v>0</v>
      </c>
      <c r="H31" s="67">
        <v>0.52031466109412061</v>
      </c>
      <c r="I31" s="67">
        <v>2.0990028608058182</v>
      </c>
      <c r="J31" s="67">
        <v>3.6133281138326439</v>
      </c>
      <c r="K31" s="67">
        <v>0.21566736554460866</v>
      </c>
      <c r="L31" s="67">
        <v>0.85272015157554826</v>
      </c>
      <c r="M31" s="67">
        <v>2.2946194103253741</v>
      </c>
      <c r="N31" s="68">
        <f t="shared" si="2"/>
        <v>22.129688594094482</v>
      </c>
    </row>
    <row r="32" spans="1:15">
      <c r="A32" s="66" t="s">
        <v>74</v>
      </c>
      <c r="B32" s="67">
        <v>206.42994061388288</v>
      </c>
      <c r="C32" s="67">
        <v>93.06339191130229</v>
      </c>
      <c r="D32" s="67">
        <v>31.509634618977138</v>
      </c>
      <c r="E32" s="67">
        <v>78.591467967115136</v>
      </c>
      <c r="F32" s="67">
        <v>4.4570469568252564</v>
      </c>
      <c r="G32" s="67">
        <v>0</v>
      </c>
      <c r="H32" s="67">
        <v>28.378709043012346</v>
      </c>
      <c r="I32" s="67">
        <v>94.606666672221252</v>
      </c>
      <c r="J32" s="67">
        <v>22.445506742644312</v>
      </c>
      <c r="K32" s="67">
        <v>0.69662367095947264</v>
      </c>
      <c r="L32" s="67">
        <v>71.920633108302525</v>
      </c>
      <c r="M32" s="67">
        <v>81.47044399513517</v>
      </c>
      <c r="N32" s="68">
        <f t="shared" si="2"/>
        <v>713.57006530037779</v>
      </c>
    </row>
    <row r="33" spans="1:15">
      <c r="A33" s="66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9">
        <f>SUM(N25:N32)</f>
        <v>74883.629437659591</v>
      </c>
    </row>
    <row r="34" spans="1:15">
      <c r="A34" s="75" t="s">
        <v>76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5">
      <c r="A35" s="66" t="s">
        <v>77</v>
      </c>
      <c r="B35" s="68">
        <v>93.058978738839272</v>
      </c>
      <c r="C35" s="61">
        <v>66.667106940569198</v>
      </c>
      <c r="D35" s="61">
        <v>66.738373127092643</v>
      </c>
      <c r="E35" s="61">
        <v>42.813166895185198</v>
      </c>
      <c r="F35" s="67">
        <v>16.852844142505102</v>
      </c>
      <c r="G35" s="67">
        <v>31.632039485822407</v>
      </c>
      <c r="H35" s="67">
        <v>25.438631141008653</v>
      </c>
      <c r="I35" s="67">
        <v>100.5732302734375</v>
      </c>
      <c r="J35" s="67">
        <v>31.544970152064732</v>
      </c>
      <c r="K35" s="67">
        <v>27.572789757973808</v>
      </c>
      <c r="L35" s="67">
        <v>17.093564689908707</v>
      </c>
      <c r="M35" s="67">
        <v>31.398831354122503</v>
      </c>
      <c r="N35" s="68">
        <f>SUM(B35:M35)</f>
        <v>551.38452669852973</v>
      </c>
    </row>
    <row r="36" spans="1:15">
      <c r="A36" s="66" t="s">
        <v>78</v>
      </c>
      <c r="B36" s="68">
        <v>-65.076088264683321</v>
      </c>
      <c r="C36" s="67">
        <v>-61.388499435424805</v>
      </c>
      <c r="D36" s="61">
        <v>-77.388955485316686</v>
      </c>
      <c r="E36" s="61">
        <v>-113.50607947823661</v>
      </c>
      <c r="F36" s="67">
        <v>-174.2837121651786</v>
      </c>
      <c r="G36" s="67">
        <v>-158.77737667410713</v>
      </c>
      <c r="H36" s="67">
        <v>-121.6497054966518</v>
      </c>
      <c r="I36" s="67">
        <v>-28.021165729631697</v>
      </c>
      <c r="J36" s="67">
        <v>-72.862265262276793</v>
      </c>
      <c r="K36" s="67">
        <v>-76.178226478794627</v>
      </c>
      <c r="L36" s="67">
        <v>-111.10721540178572</v>
      </c>
      <c r="M36" s="67">
        <v>-117.28754839619228</v>
      </c>
      <c r="N36" s="68">
        <f>SUM(B36:M36)</f>
        <v>-1177.52683826828</v>
      </c>
    </row>
    <row r="37" spans="1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9">
        <f>SUM(B35:B36)</f>
        <v>27.982890474155951</v>
      </c>
      <c r="O37" s="61">
        <f>N37/8.76</f>
        <v>3.19439388974383</v>
      </c>
    </row>
    <row r="38" spans="1:15">
      <c r="A38" s="75" t="s">
        <v>79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5">
      <c r="A39" s="66" t="s">
        <v>77</v>
      </c>
      <c r="B39" s="63">
        <v>3101.178516496931</v>
      </c>
      <c r="C39" s="61">
        <v>2360.6232036045621</v>
      </c>
      <c r="D39" s="61">
        <v>2004.00608858381</v>
      </c>
      <c r="E39" s="61">
        <v>882.64781738775116</v>
      </c>
      <c r="F39" s="67">
        <v>360.68379944477761</v>
      </c>
      <c r="G39" s="67">
        <v>646.87278836114069</v>
      </c>
      <c r="H39" s="67">
        <v>1078.790237072536</v>
      </c>
      <c r="I39" s="67">
        <v>4028.7768886021204</v>
      </c>
      <c r="J39" s="67">
        <v>1264.9287523542132</v>
      </c>
      <c r="K39" s="67">
        <v>1097.4186071412903</v>
      </c>
      <c r="L39" s="67">
        <v>706.82365579434804</v>
      </c>
      <c r="M39" s="67">
        <v>1157.9749622716702</v>
      </c>
      <c r="N39" s="68">
        <f>SUM(B39:M39)</f>
        <v>18690.725317115153</v>
      </c>
    </row>
    <row r="40" spans="1:15">
      <c r="A40" s="66" t="s">
        <v>78</v>
      </c>
      <c r="B40" s="63">
        <v>-2297.4008260999408</v>
      </c>
      <c r="C40" s="61">
        <v>-2235.4912756374906</v>
      </c>
      <c r="D40" s="61">
        <v>-2590.1533985682895</v>
      </c>
      <c r="E40" s="61">
        <v>-3360.5310792105538</v>
      </c>
      <c r="F40" s="67">
        <v>-3516.536994280134</v>
      </c>
      <c r="G40" s="67">
        <v>-2765.2937893458775</v>
      </c>
      <c r="H40" s="67">
        <v>-3899.5470302036829</v>
      </c>
      <c r="I40" s="67">
        <v>-899.0077774047852</v>
      </c>
      <c r="J40" s="67">
        <v>-2492.6479675292967</v>
      </c>
      <c r="K40" s="67">
        <v>-2719.1095319475448</v>
      </c>
      <c r="L40" s="67">
        <v>-4254.3877859933036</v>
      </c>
      <c r="M40" s="67">
        <v>-4746.0393502644129</v>
      </c>
      <c r="N40" s="68">
        <f>SUM(B40:M40)</f>
        <v>-35776.146806485318</v>
      </c>
    </row>
    <row r="41" spans="1:15">
      <c r="N41" s="69">
        <f>SUM(N39:N40)</f>
        <v>-17085.421489370165</v>
      </c>
    </row>
    <row r="43" spans="1:15">
      <c r="M43" s="70" t="s">
        <v>97</v>
      </c>
      <c r="N43" s="69">
        <f>N33+N41</f>
        <v>57798.207948289426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DA560180296F4D8A5AF8F621B9F1B1" ma:contentTypeVersion="139" ma:contentTypeDescription="" ma:contentTypeScope="" ma:versionID="f7e85c6a68d1622128025f843de68a3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2012-04-02T07:00:00+00:00</OpenedDate>
    <Date1 xmlns="dc463f71-b30c-4ab2-9473-d307f9d35888">2012-04-02T07:00:00+00:00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3080E74-8514-41E3-9465-EFE23E1C7B2A}"/>
</file>

<file path=customXml/itemProps2.xml><?xml version="1.0" encoding="utf-8"?>
<ds:datastoreItem xmlns:ds="http://schemas.openxmlformats.org/officeDocument/2006/customXml" ds:itemID="{D222633E-580E-403C-8C70-AA990BDD12A7}"/>
</file>

<file path=customXml/itemProps3.xml><?xml version="1.0" encoding="utf-8"?>
<ds:datastoreItem xmlns:ds="http://schemas.openxmlformats.org/officeDocument/2006/customXml" ds:itemID="{1364AE06-76AA-4013-ADC7-92F989110087}"/>
</file>

<file path=customXml/itemProps4.xml><?xml version="1.0" encoding="utf-8"?>
<ds:datastoreItem xmlns:ds="http://schemas.openxmlformats.org/officeDocument/2006/customXml" ds:itemID="{B41B11E5-CEFD-423D-B434-695DAAB4A20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WGJ-2</vt:lpstr>
      <vt:lpstr>WGJ-4</vt:lpstr>
      <vt:lpstr>WGJ-5</vt:lpstr>
      <vt:lpstr>Aurora</vt:lpstr>
      <vt:lpstr>Index!Print_Area</vt:lpstr>
      <vt:lpstr>'WGJ-2'!Print_Area</vt:lpstr>
      <vt:lpstr>'WGJ-4'!Print_Area</vt:lpstr>
      <vt:lpstr>'WGJ-2'!Print_Titles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Paul W. Kimball</cp:lastModifiedBy>
  <cp:lastPrinted>2012-03-20T14:13:04Z</cp:lastPrinted>
  <dcterms:created xsi:type="dcterms:W3CDTF">1998-10-07T00:01:47Z</dcterms:created>
  <dcterms:modified xsi:type="dcterms:W3CDTF">2012-03-20T14:13:51Z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0x0101006E56B4D1795A2E4DB2F0B01679ED314A00A4DA560180296F4D8A5AF8F621B9F1B1</vt:lpwstr>
  </property>
  <property fmtid="{D5CDD505-2E9C-101B-9397-08002B2CF9AE}" pid="3" name="_docset_NoMedatataSyncRequired">
    <vt:lpwstr>False</vt:lpwstr>
  </property>
</Properties>
</file>